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CA74B912-021C-4F9D-9D87-8E32EEAC67B3}" xr6:coauthVersionLast="47" xr6:coauthVersionMax="47" xr10:uidLastSave="{00000000-0000-0000-0000-000000000000}"/>
  <bookViews>
    <workbookView xWindow="12525" yWindow="810" windowWidth="21405" windowHeight="14760" activeTab="1" xr2:uid="{2B80791E-3021-4C39-A87E-BBF1F07DB1A2}"/>
  </bookViews>
  <sheets>
    <sheet name="Field_Activities" sheetId="2" r:id="rId1"/>
    <sheet name="Budget" sheetId="1" r:id="rId2"/>
  </sheets>
  <externalReferences>
    <externalReference r:id="rId3"/>
    <externalReference r:id="rId4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5" i="1" l="1"/>
  <c r="F14" i="1"/>
  <c r="F13" i="1"/>
  <c r="F12" i="1"/>
  <c r="F11" i="1"/>
  <c r="F10" i="1"/>
  <c r="F9" i="1"/>
  <c r="F8" i="1"/>
  <c r="F7" i="1"/>
  <c r="F6" i="1"/>
  <c r="F3" i="1"/>
  <c r="A56" i="1"/>
  <c r="A55" i="1"/>
  <c r="A54" i="1"/>
  <c r="A49" i="1"/>
  <c r="A42" i="1"/>
  <c r="A41" i="1"/>
  <c r="A40" i="1"/>
  <c r="A39" i="1"/>
  <c r="A38" i="1"/>
  <c r="A36" i="1"/>
  <c r="A34" i="1"/>
  <c r="A31" i="1"/>
  <c r="A22" i="1"/>
  <c r="A21" i="1"/>
  <c r="A20" i="1"/>
  <c r="A19" i="1"/>
  <c r="A18" i="1"/>
  <c r="A17" i="1"/>
  <c r="A16" i="1"/>
  <c r="A15" i="1"/>
  <c r="A12" i="1"/>
  <c r="A11" i="1"/>
  <c r="A10" i="1"/>
  <c r="A9" i="1"/>
  <c r="A8" i="1"/>
  <c r="F49" i="1" l="1"/>
  <c r="F48" i="1"/>
  <c r="F47" i="1"/>
  <c r="F43" i="1"/>
  <c r="F41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29" i="1" l="1"/>
  <c r="F50" i="1"/>
  <c r="F28" i="1"/>
  <c r="F36" i="1" s="1"/>
  <c r="F44" i="1" l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E7286BAA-DEC1-4C30-99F9-EBEEF94F9205}">
      <text>
        <r>
          <rPr>
            <sz val="9"/>
            <color indexed="81"/>
            <rFont val="Tahoma"/>
            <family val="2"/>
          </rPr>
          <t xml:space="preserve">Seeding rate of 150,000 seed per acre at $0.58/thousand seed.
</t>
        </r>
      </text>
    </comment>
    <comment ref="F13" authorId="0" shapeId="0" xr:uid="{D5FF2D0D-134F-447B-BC68-90672CEC9D52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Liberty at $0.59/oz
3.5 oz Zidua SC at $4.93/oz
32 oz Liberty at $0.59/oz
12.8 oz Outlook at $0.87/oz</t>
        </r>
      </text>
    </comment>
    <comment ref="F14" authorId="0" shapeId="0" xr:uid="{AE39AEDF-8066-471B-BFB1-9E8BA53BAC6A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6F5A2EEB-F051-4518-A38A-7A1A673B011E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<sst xmlns="http://schemas.openxmlformats.org/spreadsheetml/2006/main" count="138" uniqueCount="84">
  <si>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</si>
  <si>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</si>
  <si>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</si>
  <si>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</si>
  <si>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</si>
  <si>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</si>
  <si>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</si>
  <si>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</si>
  <si>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</si>
  <si>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</si>
  <si>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</si>
  <si>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</si>
  <si>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</si>
  <si>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</si>
  <si>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</si>
  <si>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</si>
  <si>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</si>
  <si>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</si>
  <si>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</si>
  <si>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</si>
  <si>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</si>
  <si>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</si>
  <si>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</si>
  <si>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</si>
  <si>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</si>
  <si>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</si>
  <si>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</si>
  <si>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</si>
  <si>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</si>
  <si>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</si>
  <si>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</si>
  <si>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</si>
  <si>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</si>
  <si>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</si>
  <si>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</si>
  <si>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</si>
  <si>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</si>
  <si>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</si>
  <si>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</si>
  <si>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</si>
  <si>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</si>
  <si>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Field Trip</t>
  </si>
  <si>
    <t>Width</t>
  </si>
  <si>
    <t>Activity</t>
  </si>
  <si>
    <t>LL</t>
  </si>
  <si>
    <t>Estimated Costs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</si>
  <si>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</si>
  <si>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</si>
  <si>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</si>
  <si>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</si>
  <si>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</si>
  <si>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</si>
  <si>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</si>
  <si>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</si>
  <si>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</si>
  <si>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</si>
  <si>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</si>
  <si>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</si>
  <si>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</si>
  <si>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</si>
  <si>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</si>
  <si>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</si>
  <si>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</si>
  <si>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</si>
  <si>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</si>
  <si>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Liberty, 3.5 oz Zidua SC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</si>
  <si>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</si>
  <si>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</si>
  <si>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</si>
  <si>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</si>
  <si>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</si>
  <si>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</si>
  <si>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</si>
  <si>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</si>
  <si>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</si>
  <si>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</si>
  <si>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</si>
  <si>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</si>
  <si>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Bu.</t>
  </si>
  <si>
    <t>Thous</t>
  </si>
  <si>
    <t>Lbs/ac</t>
  </si>
  <si>
    <t xml:space="preserve"> </t>
  </si>
  <si>
    <t>Table 36. 2023 Soybean Enterprise Budget, LL, Center Pivot Irrigation</t>
  </si>
  <si>
    <t>Table A-36. Soybean Field Activities, LL,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</si>
</sst>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9" xfId="0" applyFill="1" applyBorder="1"/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/>
    <xf numFmtId="167" fontId="17" fillId="3" borderId="15" xfId="0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/>
    <xf numFmtId="167" fontId="17" fillId="3" borderId="17" xfId="0" applyNumberFormat="1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0" xfId="0" applyFont="1" applyFill="1"/>
    <xf numFmtId="0" fontId="17" fillId="3" borderId="17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9" fillId="3" borderId="0" xfId="0" applyFont="1" applyFill="1"/>
    <xf numFmtId="0" fontId="17" fillId="3" borderId="19" xfId="0" applyFont="1" applyFill="1" applyBorder="1"/>
    <xf numFmtId="0" fontId="17" fillId="3" borderId="20" xfId="0" applyFont="1" applyFill="1" applyBorder="1"/>
    <xf numFmtId="0" fontId="18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7" fillId="3" borderId="24" xfId="0" applyFont="1" applyFill="1" applyBorder="1"/>
    <xf numFmtId="0" fontId="17" fillId="3" borderId="7" xfId="0" applyFont="1" applyFill="1" applyBorder="1"/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8" fillId="2" borderId="0" xfId="0" applyFont="1" applyFill="1"/>
    <xf numFmtId="4" fontId="10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0_SoybeanLL_Pivot_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19_SoybeanLL_Furrow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Sheet1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  <row r="9">
          <cell r="B9">
            <v>1</v>
          </cell>
        </row>
        <row r="10">
          <cell r="B10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 t="str">
            <v>Fungicide</v>
          </cell>
        </row>
        <row r="17">
          <cell r="C17" t="str">
            <v>Other Chemical</v>
          </cell>
        </row>
        <row r="18">
          <cell r="C18" t="str">
            <v>Other Chemical</v>
          </cell>
        </row>
        <row r="21">
          <cell r="C21" t="str">
            <v>Pre-Harvest Custom Operations</v>
          </cell>
        </row>
        <row r="24">
          <cell r="C24" t="str">
            <v xml:space="preserve">   Ground Application: Fertilizer &amp; Chemical</v>
          </cell>
        </row>
        <row r="25">
          <cell r="C25" t="str">
            <v xml:space="preserve">   Air Application: Fertilizer &amp; Chemical</v>
          </cell>
        </row>
        <row r="26">
          <cell r="C26" t="str">
            <v xml:space="preserve">   Air Application: Lbs.</v>
          </cell>
        </row>
        <row r="27">
          <cell r="C27" t="str">
            <v xml:space="preserve">   Other Custom Hire, Air Seeding</v>
          </cell>
        </row>
        <row r="30">
          <cell r="C30" t="str">
            <v>Other Inputs</v>
          </cell>
        </row>
        <row r="31">
          <cell r="C31" t="str">
            <v>Other Expenses</v>
          </cell>
        </row>
        <row r="34">
          <cell r="C34" t="str">
            <v>Interest, Annual Rate Applied for 6 Months</v>
          </cell>
        </row>
        <row r="44">
          <cell r="C44" t="str">
            <v xml:space="preserve">    Expense</v>
          </cell>
        </row>
        <row r="59">
          <cell r="B59" t="str">
            <v>Note 1: Yield and inputs are based on Extension research data. Enter expected farm yield and inputs.</v>
          </cell>
        </row>
        <row r="67">
          <cell r="B67" t="str">
            <v>Note 3: Boll weevil eradication fee is $3 in Arkansas.</v>
          </cell>
        </row>
        <row r="73">
          <cell r="B73" t="str">
            <v xml:space="preserve">Note 2: All price estimates do NOT include rebates, bulk deals, or discounts available through suppliers.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</row>
      </sheetData>
      <sheetData sheetId="20"/>
      <sheetData sheetId="21">
        <row r="24">
          <cell r="D24" t="str">
            <v>Post-Harvest Expenses</v>
          </cell>
        </row>
        <row r="27">
          <cell r="B27" t="str">
            <v xml:space="preserve">   Drying</v>
          </cell>
        </row>
        <row r="28">
          <cell r="B28" t="str">
            <v xml:space="preserve">   Hauling</v>
          </cell>
        </row>
        <row r="29">
          <cell r="B29" t="str">
            <v xml:space="preserve">   Check Off, Boards</v>
          </cell>
        </row>
        <row r="45">
          <cell r="B45" t="str">
            <v>Note 3: Estimate based on machinery and equipment.</v>
          </cell>
        </row>
      </sheetData>
      <sheetData sheetId="22">
        <row r="4">
          <cell r="B4" t="str">
            <v>Phosphate (0-46-0)</v>
          </cell>
        </row>
        <row r="5">
          <cell r="B5" t="str">
            <v>Potash (0-0-60)</v>
          </cell>
        </row>
        <row r="6">
          <cell r="B6" t="str">
            <v>Ammonium Sulfate (21-0-0-24)</v>
          </cell>
        </row>
        <row r="7">
          <cell r="B7" t="str">
            <v>Boron 15%</v>
          </cell>
        </row>
        <row r="8">
          <cell r="B8" t="str">
            <v>Other Nutrients, Including Poultry Litter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DCEA-02BA-45EE-B25B-36A4BD972368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29.28515625" bestFit="1" customWidth="1"/>
    <col min="5" max="5" width="21.7109375" bestFit="1" customWidth="1"/>
  </cols>
  <sheetData>
    <row r="1" spans="1:26" ht="15.75" customHeight="1" thickBot="1" x14ac:dyDescent="0.3">
      <c r="A1" s="107"/>
      <c r="B1" s="107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08" t="s">
        <v>83</v>
      </c>
      <c r="B2" s="109"/>
      <c r="C2" s="109"/>
      <c r="D2" s="109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41</v>
      </c>
      <c r="B3" s="70" t="s">
        <v>42</v>
      </c>
      <c r="C3" s="71" t="s">
        <v>43</v>
      </c>
      <c r="D3" s="72" t="s">
        <v>44</v>
      </c>
      <c r="E3" s="72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46</v>
      </c>
      <c r="B4" s="74" t="s">
        <v>47</v>
      </c>
      <c r="C4" s="75" t="s">
        <v>48</v>
      </c>
      <c r="D4" s="76"/>
      <c r="E4" s="7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8" t="s">
        <v>49</v>
      </c>
      <c r="B5" s="74" t="s">
        <v>50</v>
      </c>
      <c r="C5" s="75" t="s">
        <v>48</v>
      </c>
      <c r="D5" s="79"/>
      <c r="E5" s="80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1" t="s">
        <v>51</v>
      </c>
      <c r="B6" s="82" t="s">
        <v>52</v>
      </c>
      <c r="C6" s="75" t="s">
        <v>53</v>
      </c>
      <c r="D6" s="83" t="s">
        <v>54</v>
      </c>
      <c r="E6" s="80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8" t="s">
        <v>49</v>
      </c>
      <c r="B7" s="74" t="s">
        <v>50</v>
      </c>
      <c r="C7" s="84" t="s">
        <v>55</v>
      </c>
      <c r="D7" s="83"/>
      <c r="E7" s="80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1" t="s">
        <v>56</v>
      </c>
      <c r="B8" s="82" t="s">
        <v>57</v>
      </c>
      <c r="C8" s="83" t="s">
        <v>58</v>
      </c>
      <c r="D8" s="83" t="s">
        <v>59</v>
      </c>
      <c r="E8" s="80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8" t="s">
        <v>60</v>
      </c>
      <c r="B9" s="74" t="s">
        <v>50</v>
      </c>
      <c r="C9" s="83" t="s">
        <v>55</v>
      </c>
      <c r="D9" s="83"/>
      <c r="E9" s="80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8" t="s">
        <v>61</v>
      </c>
      <c r="B10" s="74" t="s">
        <v>50</v>
      </c>
      <c r="C10" s="83" t="s">
        <v>62</v>
      </c>
      <c r="D10" s="83" t="s">
        <v>63</v>
      </c>
      <c r="E10" s="80">
        <v>98.388666827550509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8" t="s">
        <v>51</v>
      </c>
      <c r="B11" s="74" t="s">
        <v>52</v>
      </c>
      <c r="C11" s="83" t="s">
        <v>14</v>
      </c>
      <c r="D11" s="83" t="s">
        <v>64</v>
      </c>
      <c r="E11" s="80">
        <v>31.838978698767441</v>
      </c>
      <c r="F11" s="3"/>
      <c r="G11" s="3"/>
      <c r="H11" s="3"/>
      <c r="I11" s="8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8" t="s">
        <v>51</v>
      </c>
      <c r="B12" s="86" t="s">
        <v>52</v>
      </c>
      <c r="C12" s="83" t="s">
        <v>14</v>
      </c>
      <c r="D12" s="83" t="s">
        <v>65</v>
      </c>
      <c r="E12" s="80">
        <v>40.993978698767435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8" t="s">
        <v>51</v>
      </c>
      <c r="B13" s="86" t="s">
        <v>52</v>
      </c>
      <c r="C13" s="83" t="s">
        <v>14</v>
      </c>
      <c r="D13" s="83" t="s">
        <v>66</v>
      </c>
      <c r="E13" s="80">
        <v>34.874978698767443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1" t="s">
        <v>67</v>
      </c>
      <c r="B14" s="82"/>
      <c r="C14" s="83" t="s">
        <v>15</v>
      </c>
      <c r="D14" s="83" t="s">
        <v>68</v>
      </c>
      <c r="E14" s="80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87" t="s">
        <v>67</v>
      </c>
      <c r="B15" s="88"/>
      <c r="C15" s="89" t="s">
        <v>69</v>
      </c>
      <c r="D15" s="83" t="s">
        <v>70</v>
      </c>
      <c r="E15" s="80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71</v>
      </c>
      <c r="B16" s="82" t="s">
        <v>72</v>
      </c>
      <c r="C16" s="90" t="s">
        <v>73</v>
      </c>
      <c r="D16" s="91"/>
      <c r="E16" s="92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1" t="s">
        <v>74</v>
      </c>
      <c r="B17" s="82" t="s">
        <v>75</v>
      </c>
      <c r="C17" s="90" t="s">
        <v>73</v>
      </c>
      <c r="D17" s="93"/>
      <c r="E17" s="94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5" t="s">
        <v>76</v>
      </c>
      <c r="B18" s="96"/>
      <c r="C18" s="89" t="s">
        <v>73</v>
      </c>
      <c r="D18" s="97"/>
      <c r="E18" s="98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99" t="s">
        <v>77</v>
      </c>
      <c r="B19" s="82"/>
      <c r="C19" s="100"/>
      <c r="D19" s="8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2"/>
      <c r="B20" s="82"/>
      <c r="C20" s="100"/>
      <c r="D20" s="8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82"/>
      <c r="B21" s="82"/>
      <c r="C21" s="100"/>
      <c r="D21" s="8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2"/>
      <c r="B22" s="82"/>
      <c r="C22" s="100"/>
      <c r="D22" s="8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82"/>
      <c r="B23" s="82"/>
      <c r="C23" s="100"/>
      <c r="D23" s="8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F3A23-EAFC-40E7-BC77-D4BC5628E5A2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5" customWidth="1"/>
    <col min="9" max="9" width="8.7109375" style="45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6" t="s">
        <v>82</v>
      </c>
      <c r="B1" s="66"/>
      <c r="C1" s="66"/>
      <c r="D1" s="66"/>
      <c r="E1" s="66"/>
      <c r="F1" s="67"/>
      <c r="G1" s="1"/>
      <c r="H1" s="23"/>
      <c r="I1" s="23"/>
      <c r="J1" s="23"/>
      <c r="K1" s="23"/>
      <c r="L1" s="2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6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5"/>
      <c r="H2" s="3" t="s">
        <v>40</v>
      </c>
      <c r="I2" s="23"/>
      <c r="J2" s="23"/>
      <c r="K2" s="23"/>
      <c r="L2" s="2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5" t="s">
        <v>6</v>
      </c>
      <c r="B3" s="6">
        <v>1</v>
      </c>
      <c r="C3" s="51" t="s">
        <v>78</v>
      </c>
      <c r="D3" s="7">
        <v>60</v>
      </c>
      <c r="E3" s="7">
        <v>13.6</v>
      </c>
      <c r="F3" s="53">
        <f>D3*E3*B3</f>
        <v>816</v>
      </c>
      <c r="G3" s="8"/>
      <c r="H3" s="3"/>
      <c r="I3" s="23"/>
      <c r="J3" s="23"/>
      <c r="K3" s="23"/>
      <c r="L3" s="2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7"/>
      <c r="B4" s="50"/>
      <c r="C4" s="51"/>
      <c r="D4" s="52"/>
      <c r="E4" s="57"/>
      <c r="F4" s="53"/>
      <c r="G4" s="10"/>
      <c r="H4" s="3"/>
      <c r="I4" s="23"/>
      <c r="J4" s="23"/>
      <c r="K4" s="23"/>
      <c r="L4" s="23"/>
      <c r="M4" s="3"/>
      <c r="N4" s="3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46" t="s">
        <v>7</v>
      </c>
      <c r="B5" s="47"/>
      <c r="C5" s="63" t="s">
        <v>2</v>
      </c>
      <c r="D5" s="63" t="s">
        <v>8</v>
      </c>
      <c r="E5" s="64" t="s">
        <v>9</v>
      </c>
      <c r="F5" s="63" t="s">
        <v>10</v>
      </c>
      <c r="G5" s="10"/>
      <c r="H5" s="3"/>
      <c r="I5" s="23"/>
      <c r="J5" s="23"/>
      <c r="K5" s="23"/>
      <c r="L5" s="23"/>
      <c r="M5" s="3"/>
      <c r="N5" s="3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47" t="s">
        <v>11</v>
      </c>
      <c r="B6" s="6">
        <v>1</v>
      </c>
      <c r="C6" s="61" t="s">
        <v>79</v>
      </c>
      <c r="D6" s="62">
        <v>150</v>
      </c>
      <c r="E6" s="57">
        <v>0.57999999999999996</v>
      </c>
      <c r="F6" s="53">
        <f>D6*E6*B6</f>
        <v>87</v>
      </c>
      <c r="G6" s="10"/>
      <c r="H6" s="3"/>
      <c r="I6" s="23"/>
      <c r="J6" s="23"/>
      <c r="K6" s="23"/>
      <c r="L6" s="23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47" t="s">
        <v>12</v>
      </c>
      <c r="B7" s="6">
        <v>1</v>
      </c>
      <c r="C7" s="51" t="s">
        <v>80</v>
      </c>
      <c r="D7" s="57">
        <v>0</v>
      </c>
      <c r="E7" s="12">
        <v>0.4</v>
      </c>
      <c r="F7" s="53">
        <f t="shared" ref="F7:F15" si="0">D7*E7*B7</f>
        <v>0</v>
      </c>
      <c r="G7" s="10"/>
      <c r="H7" s="3"/>
      <c r="I7" s="23"/>
      <c r="J7" s="23"/>
      <c r="K7" s="23"/>
      <c r="L7" s="2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7" t="str">
        <f>[2]Fertilizer!B4</f>
        <v>Phosphate (0-46-0)</v>
      </c>
      <c r="B8" s="6">
        <v>1</v>
      </c>
      <c r="C8" s="51" t="s">
        <v>80</v>
      </c>
      <c r="D8" s="57">
        <v>90</v>
      </c>
      <c r="E8" s="12">
        <v>0.44500000000000001</v>
      </c>
      <c r="F8" s="53">
        <f t="shared" si="0"/>
        <v>40.049999999999997</v>
      </c>
      <c r="G8" s="5"/>
      <c r="H8" s="3"/>
      <c r="I8" s="23"/>
      <c r="J8" s="23"/>
      <c r="K8" s="23"/>
      <c r="L8" s="2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7" t="str">
        <f>[2]Fertilizer!B5</f>
        <v>Potash (0-0-60)</v>
      </c>
      <c r="B9" s="6">
        <v>1</v>
      </c>
      <c r="C9" s="51" t="s">
        <v>80</v>
      </c>
      <c r="D9" s="57">
        <v>100</v>
      </c>
      <c r="E9" s="12">
        <v>0.41499999999999998</v>
      </c>
      <c r="F9" s="53">
        <f t="shared" si="0"/>
        <v>41.5</v>
      </c>
      <c r="G9" s="8"/>
      <c r="H9" s="3"/>
      <c r="I9" s="23"/>
      <c r="J9" s="23"/>
      <c r="K9" s="23"/>
      <c r="L9" s="2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7" t="str">
        <f>[2]Fertilizer!B6</f>
        <v>Ammonium Sulfate (21-0-0-24)</v>
      </c>
      <c r="B10" s="6">
        <v>1</v>
      </c>
      <c r="C10" s="51" t="s">
        <v>80</v>
      </c>
      <c r="D10" s="57">
        <v>0</v>
      </c>
      <c r="E10" s="12">
        <v>0.23499999999999999</v>
      </c>
      <c r="F10" s="53">
        <f t="shared" si="0"/>
        <v>0</v>
      </c>
      <c r="G10" s="13"/>
      <c r="H10" s="3"/>
      <c r="I10" s="23"/>
      <c r="J10" s="23"/>
      <c r="K10" s="23"/>
      <c r="L10" s="2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7" t="str">
        <f>[2]Fertilizer!B7</f>
        <v>Boron 15%</v>
      </c>
      <c r="B11" s="6">
        <v>1</v>
      </c>
      <c r="C11" s="51" t="s">
        <v>80</v>
      </c>
      <c r="D11" s="57">
        <v>0</v>
      </c>
      <c r="E11" s="12">
        <v>1.28</v>
      </c>
      <c r="F11" s="53">
        <f t="shared" si="0"/>
        <v>0</v>
      </c>
      <c r="G11" s="102"/>
      <c r="H11" s="103"/>
      <c r="I11" s="23"/>
      <c r="J11" s="23"/>
      <c r="K11" s="23"/>
      <c r="L11" s="2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7" t="str">
        <f>[2]Fertilizer!B8</f>
        <v>Other Nutrients, Including Poultry Litter</v>
      </c>
      <c r="B12" s="6">
        <v>1</v>
      </c>
      <c r="C12" s="51" t="s">
        <v>13</v>
      </c>
      <c r="D12" s="51">
        <v>1</v>
      </c>
      <c r="E12" s="57">
        <v>0</v>
      </c>
      <c r="F12" s="53">
        <f t="shared" si="0"/>
        <v>0</v>
      </c>
      <c r="G12" s="13"/>
      <c r="H12" s="23"/>
      <c r="I12" s="23"/>
      <c r="J12" s="23"/>
      <c r="K12" s="23"/>
      <c r="L12" s="2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7" t="s">
        <v>14</v>
      </c>
      <c r="B13" s="6">
        <v>1</v>
      </c>
      <c r="C13" s="51" t="s">
        <v>13</v>
      </c>
      <c r="D13" s="51">
        <v>1</v>
      </c>
      <c r="E13" s="57">
        <v>103.37</v>
      </c>
      <c r="F13" s="53">
        <f t="shared" si="0"/>
        <v>103.37</v>
      </c>
      <c r="G13" s="8"/>
      <c r="H13" s="23"/>
      <c r="I13" s="23"/>
      <c r="J13" s="23"/>
      <c r="K13" s="23"/>
      <c r="L13" s="2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7" t="s">
        <v>15</v>
      </c>
      <c r="B14" s="6">
        <v>1</v>
      </c>
      <c r="C14" s="51" t="s">
        <v>13</v>
      </c>
      <c r="D14" s="51">
        <v>1</v>
      </c>
      <c r="E14" s="57">
        <v>21.419999999999998</v>
      </c>
      <c r="F14" s="53">
        <f t="shared" si="0"/>
        <v>21.419999999999998</v>
      </c>
      <c r="G14" s="13"/>
      <c r="H14" s="23"/>
      <c r="I14" s="23"/>
      <c r="J14" s="23"/>
      <c r="K14" s="23"/>
      <c r="L14" s="2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7" t="str">
        <f>IF(OR([2]A2_Budget_Look_Up!B7=1,[2]A2_Budget_Look_Up!B13=1),"Nematicide",[2]Program_Variables!C16)</f>
        <v>Fungicide</v>
      </c>
      <c r="B15" s="6">
        <v>1</v>
      </c>
      <c r="C15" s="51" t="s">
        <v>13</v>
      </c>
      <c r="D15" s="51">
        <v>1</v>
      </c>
      <c r="E15" s="57">
        <v>25.9</v>
      </c>
      <c r="F15" s="53">
        <f t="shared" si="0"/>
        <v>25.9</v>
      </c>
      <c r="G15" s="13"/>
      <c r="H15" s="23"/>
      <c r="I15" s="23"/>
      <c r="J15" s="23"/>
      <c r="K15" s="23"/>
      <c r="L15" s="2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7" t="str">
        <f>IF([2]A2_Budget_Look_Up!B7=1,"Growth Regulator", IF([2]A2_Budget_Look_Up!B13=1,"Fungicide",[2]Program_Variables!C17))</f>
        <v>Other Chemical</v>
      </c>
      <c r="B16" s="6">
        <v>1</v>
      </c>
      <c r="C16" s="51" t="s">
        <v>13</v>
      </c>
      <c r="D16" s="51">
        <v>1</v>
      </c>
      <c r="E16" s="57">
        <v>0</v>
      </c>
      <c r="F16" s="53">
        <f t="shared" ref="F16:F17" si="1">D16*E16*B16</f>
        <v>0</v>
      </c>
      <c r="G16" s="15"/>
      <c r="H16" s="23"/>
      <c r="I16" s="23"/>
      <c r="J16" s="23"/>
      <c r="K16" s="23"/>
      <c r="L16" s="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7" t="str">
        <f>IF([2]A2_Budget_Look_Up!B7=1,"Defoliant",[2]Program_Variables!C18)</f>
        <v>Other Chemical</v>
      </c>
      <c r="B17" s="6">
        <v>1</v>
      </c>
      <c r="C17" s="51" t="s">
        <v>13</v>
      </c>
      <c r="D17" s="51">
        <v>1</v>
      </c>
      <c r="E17" s="57">
        <v>0</v>
      </c>
      <c r="F17" s="53">
        <f t="shared" si="1"/>
        <v>0</v>
      </c>
      <c r="G17" s="15"/>
      <c r="H17" s="23"/>
      <c r="I17" s="23"/>
      <c r="J17" s="23"/>
      <c r="K17" s="23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7" t="str">
        <f>IF([2]A2_Budget_Look_Up!B14&lt;1,"Custom Chemical &amp; Fertilizer Applications",[2]Program_Variables!C21)</f>
        <v>Custom Chemical &amp; Fertilizer Applications</v>
      </c>
      <c r="B18" s="47"/>
      <c r="C18" s="51"/>
      <c r="D18" s="51"/>
      <c r="E18" s="57"/>
      <c r="F18" s="57"/>
      <c r="G18" s="15"/>
      <c r="H18" s="23"/>
      <c r="I18" s="23"/>
      <c r="J18" s="23"/>
      <c r="K18" s="23"/>
      <c r="L18" s="23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47" t="str">
        <f>[2]Program_Variables!C24</f>
        <v xml:space="preserve">   Ground Application: Fertilizer &amp; Chemical</v>
      </c>
      <c r="B19" s="6">
        <v>1</v>
      </c>
      <c r="C19" s="51" t="s">
        <v>13</v>
      </c>
      <c r="D19" s="20">
        <v>0</v>
      </c>
      <c r="E19" s="21">
        <v>8</v>
      </c>
      <c r="F19" s="53">
        <f>D19*E19*B19</f>
        <v>0</v>
      </c>
      <c r="G19" s="13"/>
      <c r="H19" s="23"/>
      <c r="I19" s="23"/>
      <c r="J19" s="23"/>
      <c r="K19" s="23"/>
      <c r="L19" s="23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47" t="str">
        <f>[2]Program_Variables!C25</f>
        <v xml:space="preserve">   Air Application: Fertilizer &amp; Chemical</v>
      </c>
      <c r="B20" s="6">
        <v>1</v>
      </c>
      <c r="C20" s="51" t="s">
        <v>13</v>
      </c>
      <c r="D20" s="24">
        <v>2</v>
      </c>
      <c r="E20" s="21">
        <v>8</v>
      </c>
      <c r="F20" s="53">
        <f>D20*E20*B20</f>
        <v>16</v>
      </c>
      <c r="G20" s="13"/>
      <c r="H20" s="23"/>
      <c r="I20" s="23"/>
      <c r="J20" s="23"/>
      <c r="K20" s="23"/>
      <c r="L20" s="23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47" t="str">
        <f>[2]Program_Variables!C26</f>
        <v xml:space="preserve">   Air Application: Lbs.</v>
      </c>
      <c r="B21" s="6">
        <v>1</v>
      </c>
      <c r="C21" s="51" t="s">
        <v>80</v>
      </c>
      <c r="D21" s="24">
        <v>0</v>
      </c>
      <c r="E21" s="25">
        <v>0.08</v>
      </c>
      <c r="F21" s="53">
        <f>D21*E21*B21</f>
        <v>0</v>
      </c>
      <c r="G21" s="13"/>
      <c r="H21" s="23"/>
      <c r="I21" s="23"/>
      <c r="J21" s="23"/>
      <c r="K21" s="23"/>
      <c r="L21" s="23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47" t="str">
        <f>[2]Program_Variables!C27</f>
        <v xml:space="preserve">   Other Custom Hire, Air Seeding</v>
      </c>
      <c r="B22" s="6">
        <v>1</v>
      </c>
      <c r="C22" s="51" t="s">
        <v>13</v>
      </c>
      <c r="D22" s="24">
        <v>0</v>
      </c>
      <c r="E22" s="21">
        <v>8</v>
      </c>
      <c r="F22" s="53">
        <f>D22*E22*B22</f>
        <v>0</v>
      </c>
      <c r="G22" s="13"/>
      <c r="H22" s="23"/>
      <c r="I22" s="23"/>
      <c r="J22" s="23"/>
      <c r="K22" s="23"/>
      <c r="L22" s="23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7" t="s">
        <v>16</v>
      </c>
      <c r="B23" s="47"/>
      <c r="C23" s="47"/>
      <c r="D23" s="47"/>
      <c r="E23" s="47"/>
      <c r="F23" s="47"/>
      <c r="G23" s="13"/>
      <c r="H23" s="23"/>
      <c r="I23" s="23"/>
      <c r="J23" s="23"/>
      <c r="K23" s="23"/>
      <c r="L23" s="23"/>
      <c r="M23" s="9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7" t="s">
        <v>17</v>
      </c>
      <c r="B24" s="6">
        <v>1</v>
      </c>
      <c r="C24" s="51" t="s">
        <v>18</v>
      </c>
      <c r="D24" s="12">
        <v>3.5654894286999546</v>
      </c>
      <c r="E24" s="28">
        <v>4.5</v>
      </c>
      <c r="F24" s="53">
        <f t="shared" ref="F24:F35" si="2">D24*E24*B24</f>
        <v>16.044702429149794</v>
      </c>
      <c r="G24" s="29"/>
      <c r="H24" s="23"/>
      <c r="I24" s="23"/>
      <c r="J24" s="23"/>
      <c r="K24" s="23"/>
      <c r="L24" s="23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7" t="s">
        <v>19</v>
      </c>
      <c r="B25" s="6">
        <v>1</v>
      </c>
      <c r="C25" s="51" t="s">
        <v>13</v>
      </c>
      <c r="D25" s="51">
        <v>1</v>
      </c>
      <c r="E25" s="57">
        <v>7.6460633731313425</v>
      </c>
      <c r="F25" s="53">
        <f t="shared" si="2"/>
        <v>7.6460633731313425</v>
      </c>
      <c r="G25" s="13"/>
      <c r="H25" s="23"/>
      <c r="I25" s="23"/>
      <c r="J25" s="23"/>
      <c r="K25" s="23"/>
      <c r="L25" s="23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7" t="s">
        <v>20</v>
      </c>
      <c r="B26" s="6">
        <v>1</v>
      </c>
      <c r="C26" s="51" t="s">
        <v>18</v>
      </c>
      <c r="D26" s="12">
        <v>2.0274973147153599</v>
      </c>
      <c r="E26" s="28">
        <v>4.5</v>
      </c>
      <c r="F26" s="53">
        <f t="shared" si="2"/>
        <v>9.1237379162191203</v>
      </c>
      <c r="G26" s="13"/>
      <c r="H26" s="23"/>
      <c r="I26" s="23"/>
      <c r="J26" s="23"/>
      <c r="K26" s="23"/>
      <c r="L26" s="23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7" t="s">
        <v>21</v>
      </c>
      <c r="B27" s="6">
        <v>1</v>
      </c>
      <c r="C27" s="51" t="s">
        <v>13</v>
      </c>
      <c r="D27" s="51">
        <v>1</v>
      </c>
      <c r="E27" s="57">
        <v>7.76</v>
      </c>
      <c r="F27" s="53">
        <f t="shared" si="2"/>
        <v>7.76</v>
      </c>
      <c r="G27" s="15"/>
      <c r="H27" s="23"/>
      <c r="I27" s="23"/>
      <c r="J27" s="23"/>
      <c r="K27" s="23"/>
      <c r="L27" s="23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7" t="s">
        <v>22</v>
      </c>
      <c r="B28" s="6">
        <v>1</v>
      </c>
      <c r="C28" s="51" t="s">
        <v>23</v>
      </c>
      <c r="D28" s="30">
        <v>12</v>
      </c>
      <c r="E28" s="57">
        <v>8.0737161654135345</v>
      </c>
      <c r="F28" s="53">
        <f t="shared" si="2"/>
        <v>96.884593984962407</v>
      </c>
      <c r="G28" s="15"/>
      <c r="H28" s="23"/>
      <c r="I28" s="23"/>
      <c r="J28" s="23"/>
      <c r="K28" s="23"/>
      <c r="L28" s="23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7" t="s">
        <v>24</v>
      </c>
      <c r="B29" s="50"/>
      <c r="C29" s="51" t="s">
        <v>23</v>
      </c>
      <c r="D29" s="60">
        <v>12</v>
      </c>
      <c r="E29" s="57">
        <v>0.83457692307692311</v>
      </c>
      <c r="F29" s="53">
        <f>D29*E29</f>
        <v>10.014923076923077</v>
      </c>
      <c r="G29" s="13"/>
      <c r="H29" s="23"/>
      <c r="I29" s="23"/>
      <c r="J29" s="23"/>
      <c r="K29" s="23"/>
      <c r="L29" s="23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7" t="s">
        <v>25</v>
      </c>
      <c r="B30" s="6">
        <v>1</v>
      </c>
      <c r="C30" s="51" t="s">
        <v>13</v>
      </c>
      <c r="D30" s="31">
        <v>1</v>
      </c>
      <c r="E30" s="21">
        <v>0</v>
      </c>
      <c r="F30" s="53">
        <f t="shared" si="2"/>
        <v>0</v>
      </c>
      <c r="G30" s="13"/>
      <c r="H30" s="23"/>
      <c r="I30" s="23"/>
      <c r="J30" s="23"/>
      <c r="K30" s="23"/>
      <c r="L30" s="23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7" t="str">
        <f>IF(OR([2]A2_Budget_Look_Up!B9=1,[2]A2_Budget_Look_Up!B10=1),"Levee Gates",[2]Program_Variables!C30)</f>
        <v>Levee Gates</v>
      </c>
      <c r="B31" s="6">
        <v>1</v>
      </c>
      <c r="C31" s="51" t="s">
        <v>13</v>
      </c>
      <c r="D31" s="31">
        <v>1</v>
      </c>
      <c r="E31" s="21">
        <v>0</v>
      </c>
      <c r="F31" s="53">
        <f t="shared" si="2"/>
        <v>0</v>
      </c>
      <c r="G31" s="13"/>
      <c r="H31" s="23"/>
      <c r="I31" s="23"/>
      <c r="J31" s="23"/>
      <c r="K31" s="23"/>
      <c r="L31" s="23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7" t="s">
        <v>26</v>
      </c>
      <c r="B32" s="6">
        <v>1</v>
      </c>
      <c r="C32" s="51" t="s">
        <v>27</v>
      </c>
      <c r="D32" s="12">
        <v>0.68904888365602657</v>
      </c>
      <c r="E32" s="34">
        <v>12.45</v>
      </c>
      <c r="F32" s="53">
        <f t="shared" si="2"/>
        <v>8.5786586015175299</v>
      </c>
      <c r="G32" s="13"/>
      <c r="H32" s="23"/>
      <c r="I32" s="23"/>
      <c r="J32" s="23"/>
      <c r="K32" s="23"/>
      <c r="L32" s="23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7" t="s">
        <v>28</v>
      </c>
      <c r="B33" s="6">
        <v>1</v>
      </c>
      <c r="C33" s="51" t="s">
        <v>13</v>
      </c>
      <c r="D33" s="31">
        <v>1</v>
      </c>
      <c r="E33" s="21">
        <v>6.5</v>
      </c>
      <c r="F33" s="53">
        <f t="shared" si="2"/>
        <v>6.5</v>
      </c>
      <c r="G33" s="13"/>
      <c r="H33" s="23"/>
      <c r="I33" s="23"/>
      <c r="J33" s="23"/>
      <c r="K33" s="23"/>
      <c r="L33" s="23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7" t="str">
        <f>IF([2]A2_Budget_Look_Up!B7=1,"Boll Weevil Eradication Fee; See Note 3",[2]Program_Variables!C31)</f>
        <v>Other Expenses</v>
      </c>
      <c r="B34" s="6">
        <v>1</v>
      </c>
      <c r="C34" s="51" t="s">
        <v>13</v>
      </c>
      <c r="D34" s="31">
        <v>1</v>
      </c>
      <c r="E34" s="21">
        <v>0</v>
      </c>
      <c r="F34" s="53">
        <f t="shared" si="2"/>
        <v>0</v>
      </c>
      <c r="G34" s="15"/>
      <c r="H34" s="23"/>
      <c r="I34" s="23"/>
      <c r="J34" s="23"/>
      <c r="K34" s="23"/>
      <c r="L34" s="23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7" t="s">
        <v>29</v>
      </c>
      <c r="B35" s="6">
        <v>1</v>
      </c>
      <c r="C35" s="51" t="s">
        <v>13</v>
      </c>
      <c r="D35" s="31">
        <v>1</v>
      </c>
      <c r="E35" s="21">
        <v>4.8</v>
      </c>
      <c r="F35" s="53">
        <f t="shared" si="2"/>
        <v>4.8</v>
      </c>
      <c r="G35" s="13"/>
      <c r="H35" s="23"/>
      <c r="I35" s="23"/>
      <c r="J35" s="23"/>
      <c r="K35" s="23"/>
      <c r="L35" s="23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7" t="str">
        <f>[2]Program_Variables!C34</f>
        <v>Interest, Annual Rate Applied for 6 Months</v>
      </c>
      <c r="B36" s="6">
        <v>1</v>
      </c>
      <c r="C36" s="51" t="s">
        <v>30</v>
      </c>
      <c r="D36" s="28">
        <v>7</v>
      </c>
      <c r="E36" s="53">
        <f>SUM(F6:F35)</f>
        <v>502.59267938190328</v>
      </c>
      <c r="F36" s="53">
        <f>((D36/100)*0.5*SUM(F6:F35)*B36)</f>
        <v>17.590743778366615</v>
      </c>
      <c r="G36" s="13"/>
      <c r="H36" s="23"/>
      <c r="I36" s="23"/>
      <c r="J36" s="23"/>
      <c r="K36" s="23"/>
      <c r="L36" s="23"/>
      <c r="M36" s="22"/>
      <c r="N36" s="23"/>
      <c r="O36" s="17"/>
      <c r="P36" s="40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7" t="s">
        <v>31</v>
      </c>
      <c r="B37" s="6">
        <v>1</v>
      </c>
      <c r="C37" s="51" t="s">
        <v>13</v>
      </c>
      <c r="D37" s="28">
        <v>0</v>
      </c>
      <c r="E37" s="21">
        <v>0</v>
      </c>
      <c r="F37" s="53">
        <f>D37*E37*B37</f>
        <v>0</v>
      </c>
      <c r="G37" s="13"/>
      <c r="H37" s="23"/>
      <c r="I37" s="23"/>
      <c r="J37" s="23"/>
      <c r="K37" s="23"/>
      <c r="L37" s="23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7" t="str">
        <f>IF([2]A2_Budget_Look_Up!B7=1,"Post-Harvest Expenses; See Note 4",[2]C1_Messages_Indicators!D24)</f>
        <v>Post-Harvest Expenses</v>
      </c>
      <c r="B38" s="59"/>
      <c r="C38" s="51"/>
      <c r="D38" s="52" t="s">
        <v>81</v>
      </c>
      <c r="E38" s="52" t="s">
        <v>81</v>
      </c>
      <c r="F38" s="53"/>
      <c r="G38" s="13"/>
      <c r="H38" s="23"/>
      <c r="I38" s="23"/>
      <c r="J38" s="23"/>
      <c r="K38" s="23"/>
      <c r="L38" s="23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47" t="str">
        <f>IF([2]A2_Budget_Look_Up!B7=1,"   Hauling, Ginning",[2]C1_Messages_Indicators!B27)</f>
        <v xml:space="preserve">   Drying</v>
      </c>
      <c r="B39" s="6">
        <v>1</v>
      </c>
      <c r="C39" s="51" t="s">
        <v>78</v>
      </c>
      <c r="D39" s="57">
        <v>60</v>
      </c>
      <c r="E39" s="21">
        <v>0</v>
      </c>
      <c r="F39" s="53">
        <f>D39*E39*B39</f>
        <v>0</v>
      </c>
      <c r="G39" s="13"/>
      <c r="H39" s="23"/>
      <c r="I39" s="23"/>
      <c r="J39" s="23"/>
      <c r="K39" s="23"/>
      <c r="L39" s="23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47" t="str">
        <f>IF([2]A2_Budget_Look_Up!B7=1,"   Storage and Warehousing",[2]C1_Messages_Indicators!B28)</f>
        <v xml:space="preserve">   Hauling</v>
      </c>
      <c r="B40" s="6">
        <v>1</v>
      </c>
      <c r="C40" s="51" t="s">
        <v>78</v>
      </c>
      <c r="D40" s="52">
        <v>60</v>
      </c>
      <c r="E40" s="21">
        <v>0.27</v>
      </c>
      <c r="F40" s="53">
        <f>D40*E40*B40</f>
        <v>16.200000000000003</v>
      </c>
      <c r="G40" s="13"/>
      <c r="H40" s="23"/>
      <c r="I40" s="23"/>
      <c r="J40" s="23"/>
      <c r="K40" s="23"/>
      <c r="L40" s="23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47" t="str">
        <f>IF([2]A2_Budget_Look_Up!B7=1,"   Promotions, Boards, Classing",[2]C1_Messages_Indicators!B29)</f>
        <v xml:space="preserve">   Check Off, Boards</v>
      </c>
      <c r="B41" s="6">
        <v>1</v>
      </c>
      <c r="C41" s="51" t="s">
        <v>78</v>
      </c>
      <c r="D41" s="52">
        <v>60</v>
      </c>
      <c r="E41" s="58">
        <v>1.9E-2</v>
      </c>
      <c r="F41" s="53">
        <f>D41*E41*B41</f>
        <v>1.1399999999999999</v>
      </c>
      <c r="G41" s="13"/>
      <c r="H41" s="23"/>
      <c r="I41" s="23"/>
      <c r="J41" s="23"/>
      <c r="K41" s="23"/>
      <c r="L41" s="23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7" t="str">
        <f>IF([2]A2_Budget_Look_Up!B13&gt;0,"   NPB Check Off",IF([2]A2_Budget_Look_Up!B14&gt;0,[2]Program_Variables!C44," "))</f>
        <v xml:space="preserve"> </v>
      </c>
      <c r="B42" s="50"/>
      <c r="C42" s="51"/>
      <c r="D42" s="52" t="s">
        <v>81</v>
      </c>
      <c r="E42" s="57" t="s">
        <v>81</v>
      </c>
      <c r="F42" s="53"/>
      <c r="G42" s="13"/>
      <c r="H42" s="23"/>
      <c r="I42" s="23"/>
      <c r="J42" s="23"/>
      <c r="K42" s="23"/>
      <c r="L42" s="23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7" t="s">
        <v>32</v>
      </c>
      <c r="B43" s="47"/>
      <c r="C43" s="51" t="s">
        <v>13</v>
      </c>
      <c r="D43" s="51">
        <v>1</v>
      </c>
      <c r="E43" s="21">
        <v>0</v>
      </c>
      <c r="F43" s="57">
        <f>D43*E43</f>
        <v>0</v>
      </c>
      <c r="G43" s="13"/>
      <c r="H43" s="23"/>
      <c r="I43" s="23"/>
      <c r="J43" s="23"/>
      <c r="K43" s="23"/>
      <c r="L43" s="23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6" t="s">
        <v>33</v>
      </c>
      <c r="B44" s="47"/>
      <c r="C44" s="47"/>
      <c r="D44" s="47"/>
      <c r="E44" s="47"/>
      <c r="F44" s="48">
        <f>SUM(F6:F42)</f>
        <v>537.52342316026989</v>
      </c>
      <c r="G44" s="13"/>
      <c r="H44" s="23"/>
      <c r="I44" s="23"/>
      <c r="J44" s="23"/>
      <c r="K44" s="23"/>
      <c r="L44" s="23"/>
      <c r="M44" s="41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6" t="s">
        <v>34</v>
      </c>
      <c r="B45" s="46"/>
      <c r="C45" s="46"/>
      <c r="D45" s="46"/>
      <c r="E45" s="46"/>
      <c r="F45" s="49">
        <f>F3-F43-F44</f>
        <v>278.47657683973011</v>
      </c>
      <c r="G45" s="13"/>
      <c r="H45" s="23"/>
      <c r="I45" s="23"/>
      <c r="J45" s="23"/>
      <c r="K45" s="23"/>
      <c r="L45" s="23"/>
      <c r="M45" s="42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6" t="s">
        <v>35</v>
      </c>
      <c r="B46" s="47"/>
      <c r="C46" s="47"/>
      <c r="D46" s="47"/>
      <c r="E46" s="47"/>
      <c r="F46" s="47"/>
      <c r="G46" s="13"/>
      <c r="H46" s="23"/>
      <c r="I46" s="23"/>
      <c r="J46" s="23"/>
      <c r="K46" s="23"/>
      <c r="L46" s="23"/>
      <c r="M46" s="9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7" t="s">
        <v>16</v>
      </c>
      <c r="B47" s="50"/>
      <c r="C47" s="51" t="s">
        <v>13</v>
      </c>
      <c r="D47" s="51">
        <v>1</v>
      </c>
      <c r="E47" s="52">
        <v>87.56</v>
      </c>
      <c r="F47" s="53">
        <f>D47*E47</f>
        <v>87.56</v>
      </c>
      <c r="G47" s="13"/>
      <c r="H47" s="23"/>
      <c r="I47" s="23"/>
      <c r="J47" s="23"/>
      <c r="K47" s="23"/>
      <c r="L47" s="23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7" t="s">
        <v>36</v>
      </c>
      <c r="B48" s="50"/>
      <c r="C48" s="51" t="s">
        <v>13</v>
      </c>
      <c r="D48" s="51">
        <v>1</v>
      </c>
      <c r="E48" s="52">
        <v>84.66</v>
      </c>
      <c r="F48" s="53">
        <f>D48*E48</f>
        <v>84.66</v>
      </c>
      <c r="G48" s="13"/>
      <c r="H48" s="23"/>
      <c r="I48" s="23"/>
      <c r="J48" s="23"/>
      <c r="K48" s="23"/>
      <c r="L48" s="23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7" t="str">
        <f>IF([2]A2_Budget_Look_Up!B7=1,"Farm Overhead; See Note 5","Farm Overhead; See Note 3 ")</f>
        <v xml:space="preserve">Farm Overhead; See Note 3 </v>
      </c>
      <c r="B49" s="50"/>
      <c r="C49" s="51" t="s">
        <v>13</v>
      </c>
      <c r="D49" s="51">
        <v>1</v>
      </c>
      <c r="E49" s="52">
        <v>4.38</v>
      </c>
      <c r="F49" s="53">
        <f>D49*E49</f>
        <v>4.38</v>
      </c>
      <c r="G49" s="15"/>
      <c r="H49" s="23"/>
      <c r="I49" s="23"/>
      <c r="J49" s="23"/>
      <c r="K49" s="23"/>
      <c r="L49" s="23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6" t="s">
        <v>37</v>
      </c>
      <c r="B50" s="47"/>
      <c r="C50" s="47"/>
      <c r="D50" s="47"/>
      <c r="E50" s="47"/>
      <c r="F50" s="48">
        <f>SUM(F47:F49)</f>
        <v>176.6</v>
      </c>
      <c r="G50" s="13"/>
      <c r="H50" s="23"/>
      <c r="I50" s="23"/>
      <c r="J50" s="23"/>
      <c r="K50" s="23"/>
      <c r="L50" s="23"/>
      <c r="M50" s="41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6" t="s">
        <v>38</v>
      </c>
      <c r="B51" s="46"/>
      <c r="C51" s="46"/>
      <c r="D51" s="46"/>
      <c r="E51" s="46"/>
      <c r="F51" s="49">
        <f>F44+F50</f>
        <v>714.12342316026991</v>
      </c>
      <c r="G51" s="13"/>
      <c r="H51" s="23"/>
      <c r="I51" s="23"/>
      <c r="J51" s="23"/>
      <c r="K51" s="23"/>
      <c r="L51" s="23"/>
      <c r="M51" s="42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4" t="s">
        <v>39</v>
      </c>
      <c r="B52" s="54"/>
      <c r="C52" s="54"/>
      <c r="D52" s="54"/>
      <c r="E52" s="54"/>
      <c r="F52" s="55">
        <f>F3-F43-F51</f>
        <v>101.87657683973009</v>
      </c>
      <c r="G52" s="29"/>
      <c r="H52" s="23"/>
      <c r="I52" s="23"/>
      <c r="J52" s="23"/>
      <c r="K52" s="23"/>
      <c r="L52" s="23"/>
      <c r="M52" s="42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6"/>
      <c r="B53" s="56"/>
      <c r="C53" s="56"/>
      <c r="D53" s="56"/>
      <c r="E53" s="56"/>
      <c r="F53" s="56"/>
      <c r="G53" s="14"/>
      <c r="H53" s="23"/>
      <c r="I53" s="23"/>
      <c r="J53" s="23"/>
      <c r="K53" s="23"/>
      <c r="L53" s="23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7" t="str">
        <f>[2]Program_Variables!B59</f>
        <v>Note 1: Yield and inputs are based on Extension research data. Enter expected farm yield and inputs.</v>
      </c>
      <c r="B54" s="47"/>
      <c r="C54" s="51"/>
      <c r="D54" s="51"/>
      <c r="E54" s="52"/>
      <c r="F54" s="57"/>
      <c r="G54" s="13"/>
      <c r="H54" s="23"/>
      <c r="I54" s="23"/>
      <c r="J54" s="23"/>
      <c r="K54" s="23"/>
      <c r="L54" s="23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7" t="str">
        <f>[2]Program_Variables!B73</f>
        <v xml:space="preserve">Note 2: All price estimates do NOT include rebates, bulk deals, or discounts available through suppliers. </v>
      </c>
      <c r="B55" s="47"/>
      <c r="C55" s="51"/>
      <c r="D55" s="51"/>
      <c r="E55" s="52"/>
      <c r="F55" s="57"/>
      <c r="G55" s="13"/>
      <c r="H55" s="23"/>
      <c r="I55" s="23"/>
      <c r="J55" s="23"/>
      <c r="K55" s="23"/>
      <c r="L55" s="23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7" t="str">
        <f>IF([2]A2_Budget_Look_Up!B7=1,[2]Program_Variables!B67,[2]C1_Messages_Indicators!B45)</f>
        <v>Note 3: Estimate based on machinery and equipment.</v>
      </c>
      <c r="B56" s="46"/>
      <c r="C56" s="46"/>
      <c r="D56" s="46"/>
      <c r="E56" s="46"/>
      <c r="F56" s="49"/>
      <c r="G56" s="13"/>
      <c r="H56" s="23"/>
      <c r="I56" s="23"/>
      <c r="J56" s="23"/>
      <c r="K56" s="23"/>
      <c r="L56" s="23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7"/>
      <c r="B57" s="46"/>
      <c r="C57" s="46"/>
      <c r="D57" s="46"/>
      <c r="E57" s="46"/>
      <c r="F57" s="49"/>
      <c r="G57" s="10"/>
      <c r="H57" s="23"/>
      <c r="I57" s="23"/>
      <c r="J57" s="23"/>
      <c r="K57" s="23"/>
      <c r="L57" s="23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1"/>
      <c r="B58" s="104"/>
      <c r="C58" s="104"/>
      <c r="D58" s="104"/>
      <c r="E58" s="104"/>
      <c r="F58" s="105"/>
      <c r="G58" s="106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4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44"/>
      <c r="C62" s="4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4"/>
      <c r="C63" s="4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4"/>
      <c r="C64" s="4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2021-11-22T02:53:46Z</dcterms:created>
  <dcterms:modified xsi:type="dcterms:W3CDTF">2022-11-16T17:52:21Z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2022-11-16T17:52:04Z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ea7ceeb3-8e7d-4b5d-b972-f3c5812ec925</vt:lpwstr>
  </property>
  <property fmtid="{D5CDD505-2E9C-101B-9397-08002B2CF9AE}" pid="8" name="MSIP_Label_0570d0e1-5e3d-4557-a9f8-84d8494b9cc8_ContentBits">
    <vt:lpwstr>0</vt:lpwstr>
  </property>
</Properties>
</file>