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1" documentId="8_{5B1F56D1-79BF-4C50-A32D-89AB216BA590}" xr6:coauthVersionLast="47" xr6:coauthVersionMax="47" xr10:uidLastSave="{095F6AB0-9B0F-4A18-8F07-61466270F244}"/>
  <bookViews>
    <workbookView xWindow="368" yWindow="368" windowWidth="16170" windowHeight="13650" firstSheet="16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F64" i="41"/>
  <c r="D73" i="39"/>
  <c r="D73" i="11"/>
  <c r="AL73" i="11"/>
  <c r="AM73" i="11" s="1"/>
  <c r="E63" i="12" s="1"/>
  <c r="J63" i="12" s="1"/>
  <c r="AM73" i="39"/>
  <c r="F61" i="41" l="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B20" i="35"/>
  <c r="C20" i="35" s="1"/>
  <c r="F26" i="19"/>
  <c r="C14" i="37" s="1"/>
  <c r="H14" i="37" s="1"/>
  <c r="B17" i="30"/>
  <c r="D17" i="30" s="1"/>
  <c r="B17" i="15"/>
  <c r="G17" i="15" s="1"/>
  <c r="B19" i="15"/>
  <c r="G19" i="15" s="1"/>
  <c r="P17" i="27"/>
  <c r="Q17" i="27" s="1"/>
  <c r="S17" i="27" s="1"/>
  <c r="B17" i="35"/>
  <c r="C17" i="35" s="1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C13" i="27" l="1"/>
  <c r="C29" i="27" s="1"/>
  <c r="B20" i="30"/>
  <c r="C20" i="30" s="1"/>
  <c r="C24" i="35"/>
  <c r="I24" i="35"/>
  <c r="C24" i="30"/>
  <c r="D24" i="30"/>
  <c r="K28" i="27"/>
  <c r="K9" i="27" s="1"/>
  <c r="AH16" i="27"/>
  <c r="C17" i="30"/>
  <c r="F17" i="30"/>
  <c r="C30" i="37"/>
  <c r="E17" i="35"/>
  <c r="I17" i="35" s="1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D20" i="30" l="1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<sst xmlns="http://schemas.openxmlformats.org/spreadsheetml/2006/main" count="8711" uniqueCount="1245">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</sst>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210</v>
      </c>
      <c r="Q2" s="1177">
        <f>P2</f>
        <v>210</v>
      </c>
      <c r="R2" s="650">
        <v>220</v>
      </c>
      <c r="S2" s="1177">
        <f>IF(Irrigation!$B$2&lt;3,(Q2*$Q$36)+(R2*$R$36),A1_Link!Q2)</f>
        <v>214.67203660559773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210</v>
      </c>
      <c r="D3" s="3"/>
      <c r="E3" s="1190"/>
      <c r="F3" s="4" t="s">
        <v>2</v>
      </c>
      <c r="G3" s="1272" t="str">
        <f>Budget!C3</f>
        <v>Bu.</v>
      </c>
      <c r="H3" s="3"/>
      <c r="I3" s="1190"/>
      <c r="J3" s="651" t="s">
        <v>492</v>
      </c>
      <c r="K3" s="1183">
        <f>C3</f>
        <v>210</v>
      </c>
      <c r="L3" s="182"/>
      <c r="M3" s="1190"/>
      <c r="N3" s="3"/>
      <c r="O3" s="648" t="s">
        <v>21</v>
      </c>
      <c r="P3" s="1181">
        <f>Budget!E3</f>
        <v>4.5</v>
      </c>
      <c r="Q3" s="1177">
        <f>P3</f>
        <v>4.5</v>
      </c>
      <c r="R3" s="650">
        <v>4</v>
      </c>
      <c r="S3" s="1177">
        <f>IF(Irrigation!$B$2&lt;3,(Q3*$Q$36)+(R3*$R$36),A1_Link!Q3)</f>
        <v>4.2663981697201141</v>
      </c>
      <c r="T3" s="650"/>
      <c r="U3" s="1190"/>
      <c r="V3" s="3"/>
      <c r="W3" s="3"/>
      <c r="X3" s="648" t="s">
        <v>21</v>
      </c>
      <c r="Y3" s="650">
        <f>Budget!E3</f>
        <v>4.5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62.24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4.5</v>
      </c>
      <c r="D4" s="3"/>
      <c r="E4" s="1190"/>
      <c r="F4" s="4" t="s">
        <v>786</v>
      </c>
      <c r="G4" s="1189">
        <f>C3</f>
        <v>210</v>
      </c>
      <c r="H4" s="3"/>
      <c r="I4" s="1190"/>
      <c r="J4" s="651" t="s">
        <v>493</v>
      </c>
      <c r="K4" s="1245">
        <f>C4</f>
        <v>4.5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>
        <f>IF(Irrigation!$B$2&lt;3,(IF(A2_Budget_Look_Up!B7&gt;0,Q4,0)*$Q$36)+(IF(A2_Budget_Look_Up!B7&gt;0,R4,0)*$R$36),A1_Link!Q4)</f>
        <v>0</v>
      </c>
      <c r="T4" s="650"/>
      <c r="U4" s="1190"/>
      <c r="V4" s="3"/>
      <c r="W4" s="3"/>
      <c r="X4" s="648" t="s">
        <v>15</v>
      </c>
      <c r="Y4" s="650">
        <f>Budget!D3</f>
        <v>210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62.24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4.5</v>
      </c>
      <c r="H6" s="3"/>
      <c r="I6" s="1190"/>
      <c r="J6" s="652" t="s">
        <v>231</v>
      </c>
      <c r="K6" s="173">
        <f>K3*K4*(K5)</f>
        <v>945</v>
      </c>
      <c r="L6" s="182"/>
      <c r="M6" s="1190"/>
      <c r="N6" s="3"/>
      <c r="O6" s="648" t="s">
        <v>481</v>
      </c>
      <c r="P6" s="1181">
        <f>Budget!F6</f>
        <v>124.48</v>
      </c>
      <c r="Q6" s="1177">
        <f t="shared" ref="Q6:Q26" si="0">P6</f>
        <v>124.48</v>
      </c>
      <c r="R6" s="650">
        <v>125.73</v>
      </c>
      <c r="S6" s="1177">
        <f>IF(Irrigation!$B$2&lt;3,(Q6*$Q$36)+(R6*$R$36),A1_Link!Q6)</f>
        <v>125.06400457569971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122.16249999999999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122.16249999999999</v>
      </c>
      <c r="Q7" s="1177">
        <f t="shared" si="0"/>
        <v>122.16249999999999</v>
      </c>
      <c r="R7" s="650">
        <v>104.82639999999999</v>
      </c>
      <c r="S7" s="1177">
        <f>IF(Irrigation!$B$2&lt;3,(Q7*$Q$36)+(R7*$R$36),A1_Link!Q7)</f>
        <v>114.06301062016975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679.20450527799233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70.875</v>
      </c>
      <c r="AI7" s="3"/>
    </row>
    <row r="8" spans="2:35" ht="13.9" x14ac:dyDescent="0.4">
      <c r="B8" s="1185" t="s">
        <v>223</v>
      </c>
      <c r="C8" s="1186">
        <f>Budget!F6</f>
        <v>124.48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70.875</v>
      </c>
      <c r="Q8" s="1177">
        <f t="shared" si="0"/>
        <v>70.875</v>
      </c>
      <c r="R8" s="650">
        <v>30</v>
      </c>
      <c r="S8" s="1177">
        <f>IF(Irrigation!$B$2&lt;3,(Q8*$Q$36)+(R8*$R$36),A1_Link!Q8)</f>
        <v>51.778050374619376</v>
      </c>
      <c r="T8" s="650"/>
      <c r="U8" s="1190"/>
      <c r="V8" s="3"/>
      <c r="W8" s="3"/>
      <c r="X8" s="648" t="s">
        <v>1</v>
      </c>
      <c r="Y8" s="650">
        <f>Budget!F36</f>
        <v>34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28.6</v>
      </c>
      <c r="AI8" s="3"/>
    </row>
    <row r="9" spans="2:35" ht="13.9" x14ac:dyDescent="0.4">
      <c r="B9" s="1185" t="s">
        <v>224</v>
      </c>
      <c r="C9" s="1186">
        <f>SUM(Budget!F7:F13)</f>
        <v>302.14249999999998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613.10681469830035</v>
      </c>
      <c r="L9" s="182">
        <v>491.31931557339078</v>
      </c>
      <c r="M9" s="1190"/>
      <c r="N9" s="3"/>
      <c r="O9" s="648" t="s">
        <v>483</v>
      </c>
      <c r="P9" s="1181">
        <f>Budget!F9</f>
        <v>28.6</v>
      </c>
      <c r="Q9" s="1177">
        <f t="shared" si="0"/>
        <v>28.6</v>
      </c>
      <c r="R9" s="650">
        <v>33.299999999999997</v>
      </c>
      <c r="S9" s="1177">
        <f>IF(Irrigation!$B$2&lt;3,(Q9*$Q$36)+(R9*$R$36),A1_Link!Q9)</f>
        <v>30.79585720463092</v>
      </c>
      <c r="T9" s="650"/>
      <c r="U9" s="1190"/>
      <c r="V9" s="3"/>
      <c r="W9" s="3"/>
      <c r="X9" s="648" t="s">
        <v>55</v>
      </c>
      <c r="Y9" s="650">
        <f>Trips!E45+Trips!E51+(Trips!E72*(1-W10))+Trips!E76</f>
        <v>9.9588875547249955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80.504999999999995</v>
      </c>
      <c r="AI9" s="3"/>
    </row>
    <row r="10" spans="2:35" ht="13.9" x14ac:dyDescent="0.4">
      <c r="B10" s="1185" t="s">
        <v>494</v>
      </c>
      <c r="C10" s="1186">
        <f>SUM(Budget!F14:F18)</f>
        <v>53.767500000000005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34</v>
      </c>
      <c r="L10" s="182">
        <v>0</v>
      </c>
      <c r="M10" s="1190"/>
      <c r="N10" s="3"/>
      <c r="O10" s="648" t="s">
        <v>484</v>
      </c>
      <c r="P10" s="1181">
        <f>SUM(Budget!F10:F13)</f>
        <v>80.504999999999995</v>
      </c>
      <c r="Q10" s="1177">
        <f t="shared" si="0"/>
        <v>80.504999999999995</v>
      </c>
      <c r="R10" s="650">
        <v>22.159999999999997</v>
      </c>
      <c r="S10" s="1177">
        <f>IF(Irrigation!$B$2&lt;3,(Q10*$Q$36)+(R10*$R$36),A1_Link!Q10)</f>
        <v>53.246002424640182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210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53.767500000000005</v>
      </c>
      <c r="AI10" s="3"/>
    </row>
    <row r="11" spans="2:35" ht="13.9" x14ac:dyDescent="0.4">
      <c r="B11" s="1185" t="s">
        <v>225</v>
      </c>
      <c r="C11" s="1186">
        <f>SUM(Budget!F20:F23)</f>
        <v>57.5</v>
      </c>
      <c r="D11" s="3"/>
      <c r="E11" s="1190"/>
      <c r="F11" s="1185" t="s">
        <v>223</v>
      </c>
      <c r="G11" s="1186">
        <f>C8</f>
        <v>124.48</v>
      </c>
      <c r="H11" s="3"/>
      <c r="I11" s="1190"/>
      <c r="J11" s="648" t="s">
        <v>789</v>
      </c>
      <c r="K11" s="665">
        <f>K30+SUM(K32:K35)</f>
        <v>83.637796093600656</v>
      </c>
      <c r="L11" s="182">
        <v>58.670258247720405</v>
      </c>
      <c r="M11" s="1190"/>
      <c r="N11" s="3"/>
      <c r="O11" s="648" t="s">
        <v>183</v>
      </c>
      <c r="P11" s="1181">
        <f>Budget!F14</f>
        <v>53.767500000000005</v>
      </c>
      <c r="Q11" s="1177">
        <f t="shared" si="0"/>
        <v>53.767500000000005</v>
      </c>
      <c r="R11" s="650">
        <v>23.8</v>
      </c>
      <c r="S11" s="1177">
        <f>IF(Irrigation!$B$2&lt;3,(Q11*$Q$36)+(R11*$R$36),A1_Link!Q11)</f>
        <v>39.76657430217508</v>
      </c>
      <c r="T11" s="650"/>
      <c r="U11" s="1190"/>
      <c r="V11" s="3"/>
      <c r="W11" s="3"/>
      <c r="X11" s="648" t="s">
        <v>811</v>
      </c>
      <c r="Y11" s="650">
        <f>Budget!F27</f>
        <v>7.5812179591836752</v>
      </c>
      <c r="Z11" s="650">
        <f>Budget!D$3</f>
        <v>210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0</v>
      </c>
      <c r="AI11" s="3"/>
    </row>
    <row r="12" spans="2:35" ht="13.9" x14ac:dyDescent="0.4">
      <c r="B12" s="1185" t="s">
        <v>421</v>
      </c>
      <c r="C12" s="1186">
        <f>Budget!F31+Budget!F32</f>
        <v>0</v>
      </c>
      <c r="D12" s="3"/>
      <c r="E12" s="1190"/>
      <c r="F12" s="1185" t="s">
        <v>420</v>
      </c>
      <c r="G12" s="1186">
        <f t="shared" ref="G12:G21" si="2">C9</f>
        <v>302.14249999999998</v>
      </c>
      <c r="H12" s="3"/>
      <c r="I12" s="1190"/>
      <c r="J12" s="648" t="s">
        <v>790</v>
      </c>
      <c r="K12" s="664">
        <f>SUM(K36:K37)</f>
        <v>94.5</v>
      </c>
      <c r="L12" s="182">
        <v>105.03</v>
      </c>
      <c r="M12" s="1190"/>
      <c r="N12" s="3"/>
      <c r="O12" s="648" t="s">
        <v>184</v>
      </c>
      <c r="P12" s="1181">
        <f>Budget!F15</f>
        <v>0</v>
      </c>
      <c r="Q12" s="1177">
        <f t="shared" si="0"/>
        <v>0</v>
      </c>
      <c r="R12" s="650">
        <v>0</v>
      </c>
      <c r="S12" s="1177">
        <f>IF(Irrigation!$B$2&lt;3,(Q12*$Q$36)+(R12*$R$36),A1_Link!Q12)</f>
        <v>0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210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0</v>
      </c>
      <c r="AI12" s="3"/>
    </row>
    <row r="13" spans="2:35" ht="13.9" x14ac:dyDescent="0.4">
      <c r="B13" s="1185" t="s">
        <v>779</v>
      </c>
      <c r="C13" s="1186">
        <f>Budget!F25+Budget!F27</f>
        <v>13.425973645668794</v>
      </c>
      <c r="D13" s="3"/>
      <c r="E13" s="1190"/>
      <c r="F13" s="1185" t="s">
        <v>494</v>
      </c>
      <c r="G13" s="1186">
        <f t="shared" si="2"/>
        <v>53.767500000000005</v>
      </c>
      <c r="H13" s="3"/>
      <c r="I13" s="1190"/>
      <c r="J13" s="652" t="s">
        <v>168</v>
      </c>
      <c r="K13" s="173">
        <f>SUM(K9:K12)-K7</f>
        <v>825.24461079190098</v>
      </c>
      <c r="L13" s="182"/>
      <c r="M13" s="1190"/>
      <c r="N13" s="3"/>
      <c r="O13" s="648" t="s">
        <v>91</v>
      </c>
      <c r="P13" s="1181">
        <f>SUM(Budget!F16:F18)</f>
        <v>0</v>
      </c>
      <c r="Q13" s="1177">
        <f t="shared" si="0"/>
        <v>0</v>
      </c>
      <c r="R13" s="650">
        <v>0</v>
      </c>
      <c r="S13" s="1177">
        <f>IF(Irrigation!$B$2&lt;3,(Q13*$Q$36)+(R13*$R$36),A1_Link!Q13)</f>
        <v>0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94.5</v>
      </c>
      <c r="Z13" s="650">
        <f>SUM(Y7:Y13)-Y5</f>
        <v>825.2446107919011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57.5</v>
      </c>
      <c r="AI13" s="3"/>
    </row>
    <row r="14" spans="2:35" ht="13.9" x14ac:dyDescent="0.4">
      <c r="B14" s="1185" t="s">
        <v>422</v>
      </c>
      <c r="C14" s="1186">
        <f>Budget!F29</f>
        <v>61.790841052631592</v>
      </c>
      <c r="D14" s="3"/>
      <c r="E14" s="1190"/>
      <c r="F14" s="1185" t="s">
        <v>225</v>
      </c>
      <c r="G14" s="1186">
        <f t="shared" si="2"/>
        <v>57.5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57.5</v>
      </c>
      <c r="Q14" s="1177">
        <f t="shared" si="0"/>
        <v>57.5</v>
      </c>
      <c r="R14" s="650">
        <v>7.0000000000000009</v>
      </c>
      <c r="S14" s="1177">
        <f>IF(Irrigation!$B$2&lt;3,(Q14*$Q$36)+(R14*$R$36),A1_Link!Q14)</f>
        <v>33.906215141731586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5.8447556864851196</v>
      </c>
      <c r="AI14" s="3"/>
    </row>
    <row r="15" spans="2:35" ht="13.9" x14ac:dyDescent="0.4">
      <c r="B15" s="1185" t="s">
        <v>778</v>
      </c>
      <c r="C15" s="1186">
        <f>Budget!F34+Budget!F35</f>
        <v>6</v>
      </c>
      <c r="D15" s="3"/>
      <c r="E15" s="1190"/>
      <c r="F15" s="1185" t="s">
        <v>780</v>
      </c>
      <c r="G15" s="1186">
        <f t="shared" si="2"/>
        <v>0</v>
      </c>
      <c r="H15" s="3"/>
      <c r="I15" s="1190"/>
      <c r="J15" s="652" t="s">
        <v>233</v>
      </c>
      <c r="K15" s="173">
        <f>(K3*K4*K5)-K13-K14</f>
        <v>119.75538920809902</v>
      </c>
      <c r="L15" s="182"/>
      <c r="M15" s="1190"/>
      <c r="N15" s="3"/>
      <c r="O15" s="648" t="s">
        <v>424</v>
      </c>
      <c r="P15" s="1181">
        <f>Budget!F25</f>
        <v>5.8447556864851196</v>
      </c>
      <c r="Q15" s="1177">
        <f t="shared" si="0"/>
        <v>5.8447556864851196</v>
      </c>
      <c r="R15" s="650">
        <v>10.547472063880164</v>
      </c>
      <c r="S15" s="1177">
        <f>IF(Irrigation!$B$2&lt;3,(Q15*$Q$36)+(R15*$R$36),A1_Link!Q15)</f>
        <v>8.0418819925784675</v>
      </c>
      <c r="T15" s="650"/>
      <c r="U15" s="1190"/>
      <c r="V15" s="3"/>
      <c r="W15" s="3"/>
      <c r="X15" s="648" t="s">
        <v>584</v>
      </c>
      <c r="Y15" s="650">
        <f>Budget!F48</f>
        <v>114.58436047063228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6.4220053427833932</v>
      </c>
      <c r="AI15" s="3"/>
    </row>
    <row r="16" spans="2:35" ht="13.9" x14ac:dyDescent="0.4">
      <c r="B16" s="1185" t="s">
        <v>1</v>
      </c>
      <c r="C16" s="1186">
        <f>Budget!F36</f>
        <v>34</v>
      </c>
      <c r="D16" s="3"/>
      <c r="E16" s="1190"/>
      <c r="F16" s="1185" t="s">
        <v>779</v>
      </c>
      <c r="G16" s="1186">
        <f t="shared" si="2"/>
        <v>13.425973645668794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6.4220053427833932</v>
      </c>
      <c r="Q16" s="1177">
        <f t="shared" si="0"/>
        <v>6.4220053427833932</v>
      </c>
      <c r="R16" s="650">
        <v>9.3388892486480266</v>
      </c>
      <c r="S16" s="1177">
        <f>IF(Irrigation!$B$2&lt;3,(Q16*$Q$36)+(R16*$R$36),A1_Link!Q16)</f>
        <v>7.784784181031231</v>
      </c>
      <c r="T16" s="650"/>
      <c r="U16" s="1190"/>
      <c r="V16" s="3"/>
      <c r="W16" s="3"/>
      <c r="X16" s="648" t="s">
        <v>303</v>
      </c>
      <c r="Y16" s="650">
        <f>Budget!F49</f>
        <v>130.38087113369883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7.5812179591836744</v>
      </c>
      <c r="AI16" s="3"/>
    </row>
    <row r="17" spans="2:35" ht="13.9" x14ac:dyDescent="0.4">
      <c r="B17" s="1185" t="s">
        <v>226</v>
      </c>
      <c r="C17" s="1186">
        <f>Budget!F26+Budget!F28+Budget!F30</f>
        <v>37.772212433074053</v>
      </c>
      <c r="D17" s="3"/>
      <c r="E17" s="1190"/>
      <c r="F17" s="1185" t="s">
        <v>422</v>
      </c>
      <c r="G17" s="1186">
        <f t="shared" si="2"/>
        <v>61.790841052631592</v>
      </c>
      <c r="H17" s="3"/>
      <c r="I17" s="1190"/>
      <c r="J17" s="648" t="s">
        <v>249</v>
      </c>
      <c r="K17" s="978">
        <f>SUM(K40:K42)</f>
        <v>250.69444962786272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7.5812179591836744</v>
      </c>
      <c r="Q17" s="1177">
        <f t="shared" si="0"/>
        <v>7.5812179591836744</v>
      </c>
      <c r="R17" s="650">
        <v>7.4958759183673482</v>
      </c>
      <c r="S17" s="1177">
        <f>IF(Irrigation!$B$2&lt;3,(Q17*$Q$36)+(R17*$R$36),A1_Link!Q17)</f>
        <v>7.5413458453146465</v>
      </c>
      <c r="T17" s="650"/>
      <c r="U17" s="1190"/>
      <c r="V17" s="3"/>
      <c r="W17" s="3"/>
      <c r="X17" s="648" t="s">
        <v>585</v>
      </c>
      <c r="Y17" s="650">
        <f>Budget!F50</f>
        <v>5.7292180235316144</v>
      </c>
      <c r="Z17" s="650">
        <f>SUM(Y15:Y17)</f>
        <v>250.69444962786272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17.037719910803478</v>
      </c>
      <c r="AI17" s="3"/>
    </row>
    <row r="18" spans="2:35" ht="13.9" x14ac:dyDescent="0.4">
      <c r="B18" s="1185" t="s">
        <v>214</v>
      </c>
      <c r="C18" s="1186">
        <f>Trips!E45+Trips!E51+Trips!E72+Trips!E76</f>
        <v>9.9588875547249955</v>
      </c>
      <c r="D18" s="3"/>
      <c r="E18" s="1190"/>
      <c r="F18" s="1185" t="s">
        <v>778</v>
      </c>
      <c r="G18" s="1186">
        <f t="shared" si="2"/>
        <v>6</v>
      </c>
      <c r="H18" s="3"/>
      <c r="I18" s="1190"/>
      <c r="J18" s="308" t="s">
        <v>650</v>
      </c>
      <c r="K18" s="173">
        <f>K13+K17</f>
        <v>1075.9390604197638</v>
      </c>
      <c r="L18" s="182"/>
      <c r="M18" s="1190"/>
      <c r="N18" s="3"/>
      <c r="O18" s="648" t="s">
        <v>17</v>
      </c>
      <c r="P18" s="1181">
        <f>(Budget!F28/Budget!D3)*P2</f>
        <v>17.037719910803478</v>
      </c>
      <c r="Q18" s="1177">
        <f t="shared" si="0"/>
        <v>17.037719910803478</v>
      </c>
      <c r="R18" s="650">
        <v>12.958564105965449</v>
      </c>
      <c r="S18" s="1177">
        <f>IF(Irrigation!$B$2&lt;3,(Q18*$Q$36)+(R18*$R$36),A1_Link!Q18)</f>
        <v>15.131923386789515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61.790841052631592</v>
      </c>
      <c r="AI18" s="3"/>
    </row>
    <row r="19" spans="2:35" ht="13.9" x14ac:dyDescent="0.4">
      <c r="B19" s="1185" t="s">
        <v>28</v>
      </c>
      <c r="C19" s="1186">
        <f>Budget!F37</f>
        <v>29.906696105801601</v>
      </c>
      <c r="D19" s="3"/>
      <c r="E19" s="1190"/>
      <c r="F19" s="1185" t="s">
        <v>1</v>
      </c>
      <c r="G19" s="1186">
        <f t="shared" si="2"/>
        <v>34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61.790841052631592</v>
      </c>
      <c r="Q19" s="1177">
        <f t="shared" si="0"/>
        <v>61.790841052631592</v>
      </c>
      <c r="R19" s="650">
        <v>27.046874608695653</v>
      </c>
      <c r="S19" s="1177">
        <f>IF(Irrigation!$B$2&lt;3,(Q19*$Q$36)+(R19*$R$36),A1_Link!Q19)</f>
        <v>45.558332747658888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14.31248717948718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37.772212433074053</v>
      </c>
      <c r="H20" s="3"/>
      <c r="I20" s="1190"/>
      <c r="J20" s="308" t="s">
        <v>761</v>
      </c>
      <c r="K20" s="173">
        <f>(K3*K4*K5)-K14-K18</f>
        <v>-130.93906041976379</v>
      </c>
      <c r="L20" s="182"/>
      <c r="M20" s="1190"/>
      <c r="N20" s="3"/>
      <c r="O20" s="648" t="s">
        <v>295</v>
      </c>
      <c r="P20" s="1181">
        <f>Budget!F30</f>
        <v>14.31248717948718</v>
      </c>
      <c r="Q20" s="1177">
        <f t="shared" si="0"/>
        <v>14.31248717948718</v>
      </c>
      <c r="R20" s="650">
        <v>1.6916666666666667</v>
      </c>
      <c r="S20" s="1177">
        <f>IF(Irrigation!$B$2&lt;3,(Q20*$Q$36)+(R20*$R$36),A1_Link!Q20)</f>
        <v>8.4159936366295955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92.4</v>
      </c>
      <c r="D21" s="3"/>
      <c r="E21" s="1190"/>
      <c r="F21" s="1185" t="s">
        <v>214</v>
      </c>
      <c r="G21" s="1186">
        <f t="shared" si="2"/>
        <v>9.9588875547249955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1.6118526289312085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2.1</v>
      </c>
      <c r="D22" s="3"/>
      <c r="E22" s="1190"/>
      <c r="F22" s="1185" t="s">
        <v>784</v>
      </c>
      <c r="G22" s="1186">
        <f>SUM(G11:G21)*(0.0475/2)</f>
        <v>16.644900473794863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</v>
      </c>
      <c r="Q22" s="1177">
        <f t="shared" si="0"/>
        <v>0</v>
      </c>
      <c r="R22" s="650">
        <v>0</v>
      </c>
      <c r="S22" s="1177">
        <f>IF(Irrigation!$B$2&lt;3,(Q22*$Q$36)+(R22*$R$36),A1_Link!Q22)</f>
        <v>0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124.48</v>
      </c>
      <c r="L23" s="1251">
        <v>1</v>
      </c>
      <c r="M23" s="1190"/>
      <c r="N23" s="3"/>
      <c r="O23" s="648" t="s">
        <v>214</v>
      </c>
      <c r="P23" s="1181">
        <f>Budget!F33</f>
        <v>34.131787554724994</v>
      </c>
      <c r="Q23" s="1177">
        <f t="shared" si="0"/>
        <v>34.131787554724994</v>
      </c>
      <c r="R23" s="650">
        <v>11.817977438585899</v>
      </c>
      <c r="S23" s="1177">
        <f>IF(Irrigation!$B$2&lt;3,(Q23*$Q$36)+(R23*$R$36),A1_Link!Q23)</f>
        <v>23.70669378742917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34.131787554724994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94.5</v>
      </c>
      <c r="H24" s="3"/>
      <c r="I24" s="1190"/>
      <c r="J24" s="1185" t="s">
        <v>224</v>
      </c>
      <c r="K24" s="1249">
        <f t="shared" ref="K24:K38" si="3">C9*L24</f>
        <v>302.14249999999998</v>
      </c>
      <c r="L24" s="1251">
        <v>1</v>
      </c>
      <c r="M24" s="1190"/>
      <c r="N24" s="3"/>
      <c r="O24" s="648" t="s">
        <v>23</v>
      </c>
      <c r="P24" s="1181">
        <f>Budget!F34</f>
        <v>6</v>
      </c>
      <c r="Q24" s="1177">
        <f t="shared" si="0"/>
        <v>6</v>
      </c>
      <c r="R24" s="650">
        <v>0</v>
      </c>
      <c r="S24" s="1177">
        <f>IF(Irrigation!$B$2&lt;3,(Q24*$Q$36)+(R24*$R$36),A1_Link!Q24)</f>
        <v>3.1967780366413763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6</v>
      </c>
      <c r="AI24" s="3"/>
    </row>
    <row r="25" spans="2:35" ht="13.9" x14ac:dyDescent="0.4">
      <c r="B25" s="648" t="s">
        <v>123</v>
      </c>
      <c r="C25" s="665">
        <f>Budget!F48</f>
        <v>114.58436047063228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53.767500000000005</v>
      </c>
      <c r="L25" s="1251">
        <v>1</v>
      </c>
      <c r="M25" s="1190"/>
      <c r="N25" s="3"/>
      <c r="O25" s="648" t="s">
        <v>487</v>
      </c>
      <c r="P25" s="1181">
        <f>Budget!F35</f>
        <v>0</v>
      </c>
      <c r="Q25" s="1177">
        <f t="shared" si="0"/>
        <v>0</v>
      </c>
      <c r="R25" s="650">
        <v>0</v>
      </c>
      <c r="S25" s="1177">
        <f>IF(Irrigation!$B$2&lt;3,(Q25*$Q$36)+(R25*$R$36),A1_Link!Q25)</f>
        <v>0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0</v>
      </c>
      <c r="AI25" s="3"/>
    </row>
    <row r="26" spans="2:35" ht="13.9" x14ac:dyDescent="0.4">
      <c r="B26" s="648" t="s">
        <v>303</v>
      </c>
      <c r="C26" s="665">
        <f>Budget!F49</f>
        <v>130.38087113369883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57.5</v>
      </c>
      <c r="L26" s="1251">
        <v>1</v>
      </c>
      <c r="M26" s="1190"/>
      <c r="N26" s="3"/>
      <c r="O26" s="648" t="s">
        <v>1</v>
      </c>
      <c r="P26" s="1181">
        <f>Budget!F36</f>
        <v>34</v>
      </c>
      <c r="Q26" s="1177">
        <f t="shared" si="0"/>
        <v>34</v>
      </c>
      <c r="R26" s="650">
        <v>0</v>
      </c>
      <c r="S26" s="1177">
        <f>IF(Irrigation!$B$2&lt;3,(Q26*$Q$36)+(R26*$R$36),A1_Link!Q26)</f>
        <v>18.115075540967801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29.906696105801597</v>
      </c>
      <c r="AI26" s="650">
        <f>SUM(AH3:AH26)</f>
        <v>720.9175107919009</v>
      </c>
    </row>
    <row r="27" spans="2:35" ht="13.9" x14ac:dyDescent="0.4">
      <c r="B27" s="648" t="s">
        <v>585</v>
      </c>
      <c r="C27" s="664">
        <f>Budget!F50</f>
        <v>5.7292180235316144</v>
      </c>
      <c r="D27" s="3"/>
      <c r="E27" s="1190"/>
      <c r="F27" s="648" t="s">
        <v>997</v>
      </c>
      <c r="G27" s="1186">
        <f>C25+C26</f>
        <v>244.96523160433111</v>
      </c>
      <c r="H27" s="3"/>
      <c r="I27" s="1190"/>
      <c r="J27" s="1185" t="s">
        <v>421</v>
      </c>
      <c r="K27" s="1249">
        <f t="shared" si="3"/>
        <v>0</v>
      </c>
      <c r="L27" s="1251">
        <v>1</v>
      </c>
      <c r="M27" s="1190"/>
      <c r="N27" s="173"/>
      <c r="O27" s="648" t="s">
        <v>263</v>
      </c>
      <c r="P27" s="1181">
        <f>SUM(P6:P26)*((Budget!D37/100)/2)</f>
        <v>29.906696105801597</v>
      </c>
      <c r="Q27" s="1177">
        <f>P27</f>
        <v>29.906696105801597</v>
      </c>
      <c r="R27" s="650">
        <v>10.240138351206717</v>
      </c>
      <c r="S27" s="1177">
        <f>IF(Irrigation!$B$2&lt;3,(Q27*$Q$36)+(R27*$R$36),A1_Link!Q27)</f>
        <v>20.718408332244728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39.9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5.7292180235316144</v>
      </c>
      <c r="H28" s="3"/>
      <c r="I28" s="1190"/>
      <c r="J28" s="1185" t="s">
        <v>779</v>
      </c>
      <c r="K28" s="1249">
        <f t="shared" si="3"/>
        <v>13.425973645668794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39.9</v>
      </c>
      <c r="Q28" s="1177">
        <f>P28</f>
        <v>39.9</v>
      </c>
      <c r="R28" s="650">
        <v>41.8</v>
      </c>
      <c r="S28" s="1177">
        <f>IF(Irrigation!$B$2&lt;3,(Q28*$Q$36)+(R28*$R$36),A1_Link!Q28)</f>
        <v>40.787686955063563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52.5</v>
      </c>
      <c r="AI28" s="3"/>
    </row>
    <row r="29" spans="2:35" ht="13.9" x14ac:dyDescent="0.4">
      <c r="B29" s="652" t="s">
        <v>777</v>
      </c>
      <c r="C29" s="173">
        <f>SUM(C8:C14)</f>
        <v>613.10681469830035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61.790841052631592</v>
      </c>
      <c r="L29" s="1251">
        <v>1</v>
      </c>
      <c r="M29" s="1190"/>
      <c r="N29" s="3"/>
      <c r="O29" s="648" t="s">
        <v>489</v>
      </c>
      <c r="P29" s="1181">
        <f>Budget!F41</f>
        <v>52.5</v>
      </c>
      <c r="Q29" s="1177">
        <f>P29</f>
        <v>52.5</v>
      </c>
      <c r="R29" s="650">
        <v>55</v>
      </c>
      <c r="S29" s="1177">
        <f>IF(Irrigation!$B$2&lt;3,(Q29*$Q$36)+(R29*$R$36),A1_Link!Q29)</f>
        <v>53.668009151399431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2.1</v>
      </c>
      <c r="AI29" s="3"/>
    </row>
    <row r="30" spans="2:35" ht="13.9" x14ac:dyDescent="0.4">
      <c r="B30" s="652" t="s">
        <v>640</v>
      </c>
      <c r="C30" s="173">
        <f>SUM(C8:C18)</f>
        <v>700.83791468609945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6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2.1</v>
      </c>
      <c r="Q30" s="1177">
        <f>P30</f>
        <v>2.1</v>
      </c>
      <c r="R30" s="650">
        <v>2.2000000000000002</v>
      </c>
      <c r="S30" s="1177">
        <f>IF(Irrigation!$B$2&lt;3,(Q30*$Q$36)+(R30*$R$36),A1_Link!Q30)</f>
        <v>2.1467203660559768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825.2446107919011</v>
      </c>
      <c r="D31" s="3"/>
      <c r="E31" s="1190"/>
      <c r="F31" s="1308">
        <f>SUM(C8:C22)</f>
        <v>825.2446107919011</v>
      </c>
      <c r="G31" s="3"/>
      <c r="H31" s="3"/>
      <c r="I31" s="1190"/>
      <c r="J31" s="1185" t="s">
        <v>1</v>
      </c>
      <c r="K31" s="1249">
        <f t="shared" si="3"/>
        <v>34</v>
      </c>
      <c r="L31" s="1251">
        <v>1</v>
      </c>
      <c r="M31" s="1190"/>
      <c r="N31" s="534"/>
      <c r="O31" s="1309">
        <f>P31+IF(A2_Budget_Look_Up!B7&gt;0,P4,0)</f>
        <v>849.4175107919009</v>
      </c>
      <c r="P31" s="1178">
        <f>SUM(P6:P30)-IF(A2_Budget_Look_Up!B7&gt;0,P4,0)</f>
        <v>849.4175107919009</v>
      </c>
      <c r="Q31" s="1178">
        <f>SUM(Q6:Q30)-IF(A2_Budget_Look_Up!B7&gt;0,Q4,0)</f>
        <v>849.4175107919009</v>
      </c>
      <c r="R31" s="1178">
        <f>SUM(R6:R30)-IF(A2_Budget_Look_Up!B7&gt;0,R4,0)</f>
        <v>540.40385840201589</v>
      </c>
      <c r="S31" s="1179">
        <f>SUM(S6:S30)-IF(A2_Budget_Look_Up!B7&gt;0,S4,0)</f>
        <v>705.04520123240229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114.58436047063228</v>
      </c>
      <c r="AI31" s="3"/>
    </row>
    <row r="32" spans="2:35" ht="13.9" x14ac:dyDescent="0.4">
      <c r="B32" s="173" t="s">
        <v>249</v>
      </c>
      <c r="C32" s="173">
        <f>SUM(C25:C27)</f>
        <v>250.69444962786272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37.772212433074053</v>
      </c>
      <c r="L32" s="1251">
        <v>1</v>
      </c>
      <c r="M32" s="1190"/>
      <c r="N32" s="183"/>
      <c r="O32" s="648" t="s">
        <v>123</v>
      </c>
      <c r="P32" s="1181">
        <f>Budget!F48</f>
        <v>114.58436047063228</v>
      </c>
      <c r="Q32" s="1177">
        <f>P32</f>
        <v>114.58436047063228</v>
      </c>
      <c r="R32" s="650">
        <v>62.654368717931924</v>
      </c>
      <c r="S32" s="1177">
        <f>IF(Irrigation!$B$2&lt;3,(Q32*$Q$36)+(R32*$R$36),A1_Link!Q32)</f>
        <v>90.322478230931978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130.38087113369883</v>
      </c>
      <c r="AI32" s="3"/>
    </row>
    <row r="33" spans="2:35" ht="13.9" x14ac:dyDescent="0.4">
      <c r="B33" s="308" t="s">
        <v>650</v>
      </c>
      <c r="C33" s="173">
        <f>C31+C32</f>
        <v>1075.9390604197638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9.9588875547249955</v>
      </c>
      <c r="L33" s="1251">
        <v>1</v>
      </c>
      <c r="M33" s="1190"/>
      <c r="N33" s="182"/>
      <c r="O33" s="648" t="s">
        <v>303</v>
      </c>
      <c r="P33" s="1181">
        <f>Budget!F49</f>
        <v>130.38087113369883</v>
      </c>
      <c r="Q33" s="1177">
        <f>P33</f>
        <v>130.38087113369883</v>
      </c>
      <c r="R33" s="650">
        <v>11.440610711903465</v>
      </c>
      <c r="S33" s="1177">
        <f>IF(Irrigation!$B$2&lt;3,(Q33*$Q$36)+(R33*$R$36),A1_Link!Q33)</f>
        <v>74.811546076703635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5.7292180235316144</v>
      </c>
      <c r="AI33" s="3"/>
    </row>
    <row r="34" spans="2:35" ht="13.9" x14ac:dyDescent="0.4">
      <c r="B34" s="308" t="s">
        <v>761</v>
      </c>
      <c r="C34" s="173">
        <f>(C3*C4*C5)-C23-C33</f>
        <v>-130.93906041976379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29.906696105801601</v>
      </c>
      <c r="L34" s="1251">
        <v>1</v>
      </c>
      <c r="M34" s="1190"/>
      <c r="N34" s="182"/>
      <c r="O34" s="648" t="s">
        <v>491</v>
      </c>
      <c r="P34" s="1181">
        <f>Budget!F50</f>
        <v>5.7292180235316144</v>
      </c>
      <c r="Q34" s="1177">
        <f>P34</f>
        <v>5.7292180235316144</v>
      </c>
      <c r="R34" s="650">
        <v>7.4094979429835393</v>
      </c>
      <c r="S34" s="1177">
        <f>IF(Irrigation!$B$2&lt;3,(Q34*$Q$36)+(R34*$R$36),A1_Link!Q34)</f>
        <v>6.5142509526646304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250.69444962786272</v>
      </c>
      <c r="Q35" s="1178">
        <f>SUM(Q32:Q34)</f>
        <v>250.69444962786272</v>
      </c>
      <c r="R35" s="1178">
        <f>SUM(R32:R34)</f>
        <v>81.504477372818926</v>
      </c>
      <c r="S35" s="1179">
        <f>SUM(S32:S34)</f>
        <v>171.64827526030027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92.4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-121.11196041976362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2.1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114.58436047063228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130.38087113369883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5.7292180235316144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2. Machinery Capital Recovery and Operating Costs, Corn, Pivot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>
        <f>IF(Trips!G9&gt;0,Trips!G9," ")</f>
        <v>9.2111314161529911</v>
      </c>
      <c r="C10" s="96">
        <f>IF(Trips!H9&gt;0,Trips!H9," ")</f>
        <v>1.2667960902293078</v>
      </c>
      <c r="D10" s="96">
        <f>IF(Trips!I9&gt;0,Trips!I9," ")</f>
        <v>1.3728970588235292</v>
      </c>
      <c r="E10" s="96">
        <f>IF(Trips!J9&gt;0,Trips!J9," ")</f>
        <v>0.85054411764705884</v>
      </c>
      <c r="F10" s="96">
        <f>IF(Trips!K9&gt;0,Trips!K9," ")</f>
        <v>12.701368682852888</v>
      </c>
      <c r="G10" s="528">
        <f>IF(Machine!B19&gt;0,Machine!B19," ")</f>
        <v>1</v>
      </c>
      <c r="H10" s="97">
        <f>IF(Machine!B19&gt;0,Machine!D19," ")</f>
        <v>32</v>
      </c>
    </row>
    <row r="11" spans="1:8" ht="13.9" x14ac:dyDescent="0.4">
      <c r="A11" s="91" t="str">
        <f>Machine!A20</f>
        <v>Bedder, Hipper</v>
      </c>
      <c r="B11" s="96">
        <f>IF(Trips!G10&gt;0,Trips!G10," ")</f>
        <v>8.575859042404959</v>
      </c>
      <c r="C11" s="96">
        <f>IF(Trips!H10&gt;0,Trips!H10," ")</f>
        <v>1.0846891460606569</v>
      </c>
      <c r="D11" s="96">
        <f>IF(Trips!I10&gt;0,Trips!I10," ")</f>
        <v>1.5013552631578946</v>
      </c>
      <c r="E11" s="96">
        <f>IF(Trips!J10&gt;0,Trips!J10," ")</f>
        <v>0.93012719298245616</v>
      </c>
      <c r="F11" s="96">
        <f>IF(Trips!K10&gt;0,Trips!K10," ")</f>
        <v>12.092030644605964</v>
      </c>
      <c r="G11" s="528">
        <f>IF(Machine!B20&gt;0,Machine!B20," ")</f>
        <v>1</v>
      </c>
      <c r="H11" s="97">
        <f>IF(Machine!B20&gt;0,Machine!D20," ")</f>
        <v>38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 t="str">
        <f>IF(Trips!G15&gt;0,Trips!G15," ")</f>
        <v xml:space="preserve"> </v>
      </c>
      <c r="C16" s="96" t="str">
        <f>IF(Trips!H15&gt;0,Trips!H15," ")</f>
        <v xml:space="preserve"> </v>
      </c>
      <c r="D16" s="96" t="str">
        <f>IF(Trips!I15&gt;0,Trips!I15," ")</f>
        <v xml:space="preserve"> </v>
      </c>
      <c r="E16" s="96" t="str">
        <f>IF(Trips!J15&gt;0,Trips!J15," ")</f>
        <v xml:space="preserve"> </v>
      </c>
      <c r="F16" s="96" t="str">
        <f>IF(Trips!K15&gt;0,Trips!K15," ")</f>
        <v xml:space="preserve"> </v>
      </c>
      <c r="G16" s="528" t="str">
        <f>IF(Machine!B25&gt;0,Machine!B25," ")</f>
        <v xml:space="preserve"> 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>
        <f>IF(Trips!G18&gt;0,Trips!G18," ")</f>
        <v>5.5774602530790922</v>
      </c>
      <c r="C19" s="96">
        <f>IF(Trips!H18&gt;0,Trips!H18," ")</f>
        <v>0.98421540662822871</v>
      </c>
      <c r="D19" s="96">
        <f>IF(Trips!I18&gt;0,Trips!I18," ")</f>
        <v>0.82187034813925552</v>
      </c>
      <c r="E19" s="96">
        <f>IF(Trips!J18&gt;0,Trips!J18," ")</f>
        <v>0.50916926770708282</v>
      </c>
      <c r="F19" s="96">
        <f>IF(Trips!K18&gt;0,Trips!K18," ")</f>
        <v>7.8927152755536598</v>
      </c>
      <c r="G19" s="528">
        <f>IF(Machine!B28&gt;0,Machine!B28," ")</f>
        <v>1</v>
      </c>
      <c r="H19" s="97">
        <f>IF(Machine!B28&gt;0,Machine!D28," ")</f>
        <v>42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 t="str">
        <f>IF(Trips!G22&gt;0,Trips!G22," ")</f>
        <v xml:space="preserve"> </v>
      </c>
      <c r="C23" s="96" t="str">
        <f>IF(Trips!H22&gt;0,Trips!H22," ")</f>
        <v xml:space="preserve"> </v>
      </c>
      <c r="D23" s="96" t="str">
        <f>IF(Trips!I22&gt;0,Trips!I22," ")</f>
        <v xml:space="preserve"> </v>
      </c>
      <c r="E23" s="96" t="str">
        <f>IF(Trips!J22&gt;0,Trips!J22," ")</f>
        <v xml:space="preserve"> </v>
      </c>
      <c r="F23" s="96" t="str">
        <f>IF(Trips!K22&gt;0,Trips!K22," ")</f>
        <v xml:space="preserve"> </v>
      </c>
      <c r="G23" s="528" t="str">
        <f>IF(Machine!B32&gt;0,Machine!B32," ")</f>
        <v xml:space="preserve"> </v>
      </c>
      <c r="H23" s="97" t="str">
        <f>IF(Machine!B32&gt;0,Machine!D32," ")</f>
        <v xml:space="preserve"> 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>
        <f>IF(Trips!G24&gt;0,Trips!G24," ")</f>
        <v>4.1824183654847626</v>
      </c>
      <c r="C25" s="96">
        <f>IF(Trips!H24&gt;0,Trips!H24," ")</f>
        <v>0.5321405183449972</v>
      </c>
      <c r="D25" s="96">
        <f>IF(Trips!I24&gt;0,Trips!I24," ")</f>
        <v>0.90838301636444041</v>
      </c>
      <c r="E25" s="96">
        <f>IF(Trips!J24&gt;0,Trips!J24," ")</f>
        <v>0.56276603272888104</v>
      </c>
      <c r="F25" s="96">
        <f>IF(Trips!K24&gt;0,Trips!K24," ")</f>
        <v>6.1857079329230809</v>
      </c>
      <c r="G25" s="528">
        <f>IF(Machine!B34&gt;0,Machine!B34," ")</f>
        <v>1</v>
      </c>
      <c r="H25" s="97">
        <f>IF(Machine!B34&gt;0,Machine!D34," ")</f>
        <v>38</v>
      </c>
    </row>
    <row r="26" spans="1:8" ht="13.9" x14ac:dyDescent="0.4">
      <c r="A26" s="91" t="str">
        <f>Machine!A35</f>
        <v>Planter</v>
      </c>
      <c r="B26" s="96">
        <f>IF(Trips!G25&gt;0,Trips!G25," ")</f>
        <v>9.5302699588514628</v>
      </c>
      <c r="C26" s="96">
        <f>IF(Trips!H25&gt;0,Trips!H25," ")</f>
        <v>2.554164181520203</v>
      </c>
      <c r="D26" s="96">
        <f>IF(Trips!I25&gt;0,Trips!I25," ")</f>
        <v>1.2402499999999999</v>
      </c>
      <c r="E26" s="96">
        <f>IF(Trips!J25&gt;0,Trips!J25," ")</f>
        <v>1.0108482905982903</v>
      </c>
      <c r="F26" s="96">
        <f>IF(Trips!K25&gt;0,Trips!K25," ")</f>
        <v>14.335532430969955</v>
      </c>
      <c r="G26" s="528">
        <f>IF(Machine!B35&gt;0,Machine!B35," ")</f>
        <v>1</v>
      </c>
      <c r="H26" s="97">
        <f>IF(Machine!B35&gt;0,Machine!D35," ")</f>
        <v>36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 t="str">
        <f>IF(Trips!G27&gt;0,Trips!G27," ")</f>
        <v xml:space="preserve"> </v>
      </c>
      <c r="C28" s="96" t="str">
        <f>IF(Trips!H27&gt;0,Trips!H27," ")</f>
        <v xml:space="preserve"> </v>
      </c>
      <c r="D28" s="96" t="str">
        <f>IF(Trips!I27&gt;0,Trips!I27," ")</f>
        <v xml:space="preserve"> </v>
      </c>
      <c r="E28" s="96" t="str">
        <f>IF(Trips!J27&gt;0,Trips!J27," ")</f>
        <v xml:space="preserve"> </v>
      </c>
      <c r="F28" s="96" t="str">
        <f>IF(Trips!K27&gt;0,Trips!K27," ")</f>
        <v xml:space="preserve"> </v>
      </c>
      <c r="G28" s="528" t="str">
        <f>IF(Machine!B37&gt;0,Machine!B37," ")</f>
        <v xml:space="preserve"> </v>
      </c>
      <c r="H28" s="97" t="str">
        <f>IF(Machine!B37&gt;0,Machine!D37," ")</f>
        <v xml:space="preserve"> 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>
        <f>IF(Trips!G59&gt;0,Trips!G59," ")</f>
        <v>58.329242022756155</v>
      </c>
      <c r="C60" s="96">
        <f>IF(Trips!H59&gt;0,Trips!H59," ")</f>
        <v>10.903834352539555</v>
      </c>
      <c r="D60" s="96">
        <f>IF(Trips!I59&gt;0,Trips!I59," ")</f>
        <v>4.7382612244897961</v>
      </c>
      <c r="E60" s="96">
        <f>IF(Trips!J59&gt;0,Trips!J59," ")</f>
        <v>2.217236326530613</v>
      </c>
      <c r="F60" s="96">
        <f>IF(Trips!K59&gt;0,Trips!K59," ")</f>
        <v>76.18857392631611</v>
      </c>
      <c r="G60" s="528">
        <f>IF(Machine!B69&gt;0,Machine!B69," ")</f>
        <v>1</v>
      </c>
      <c r="H60" s="118" t="str">
        <f>IF(Machine!B69&gt;0,"NA"," ")</f>
        <v>NA</v>
      </c>
    </row>
    <row r="61" spans="1:8" ht="13.9" x14ac:dyDescent="0.4">
      <c r="A61" s="91" t="str">
        <f>Machine!A70</f>
        <v>Corn Head</v>
      </c>
      <c r="B61" s="96">
        <f>IF(Trips!G60&gt;0,Trips!G60," ")</f>
        <v>5.3593444294250911</v>
      </c>
      <c r="C61" s="96">
        <f>IF(Trips!H60&gt;0,Trips!H60," ")</f>
        <v>3.4251018477670359</v>
      </c>
      <c r="D61" s="118" t="str">
        <f>IF(Machine!B70&gt;0,"NA"," ")</f>
        <v>NA</v>
      </c>
      <c r="E61" s="118" t="str">
        <f>IF(Machine!B70&gt;0,"NA"," ")</f>
        <v>NA</v>
      </c>
      <c r="F61" s="96">
        <f>IF(Trips!K60&gt;0,Trips!K60," ")</f>
        <v>8.7844462771921279</v>
      </c>
      <c r="G61" s="528">
        <f>IF(Machine!B70&gt;0,Machine!B70," ")</f>
        <v>1</v>
      </c>
      <c r="H61" s="97">
        <f>IF(Machine!B70&gt;0,Machine!D70," ")</f>
        <v>25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>
        <f>IF(Trips!G64&gt;0,Trips!G64," ")</f>
        <v>13.818634982477771</v>
      </c>
      <c r="C65" s="96">
        <f>IF(Trips!H64&gt;0,Trips!H64," ")</f>
        <v>2.7087837104968888</v>
      </c>
      <c r="D65" s="96">
        <f>IF(Trips!I64&gt;0,Trips!I64," ")</f>
        <v>2.8429567346938787</v>
      </c>
      <c r="E65" s="96">
        <f>IF(Trips!J64&gt;0,Trips!J64," ")</f>
        <v>2.217236326530613</v>
      </c>
      <c r="F65" s="96">
        <f>IF(Trips!K64&gt;0,Trips!K64," ")</f>
        <v>21.587611754199152</v>
      </c>
      <c r="G65" s="528">
        <f>IF(Machine!B74&gt;0,Machine!B74," ")</f>
        <v>1</v>
      </c>
      <c r="H65" s="118" t="str">
        <f>IF(Machine!B74&gt;0,"NA"," ")</f>
        <v>NA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2. Machinery Capital Recovery and Operating Costs, Corn, Pivot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>
        <f>IF(Trips!G10&gt;0,Trips!G10," ")</f>
        <v>8.575859042404959</v>
      </c>
      <c r="C6" s="96">
        <f>IF(Trips!H10&gt;0,Trips!H10," ")</f>
        <v>1.0846891460606569</v>
      </c>
      <c r="D6" s="96">
        <f>IF(Trips!I10&gt;0,Trips!I10," ")</f>
        <v>1.5013552631578946</v>
      </c>
      <c r="E6" s="96">
        <f>IF(Trips!J10&gt;0,Trips!J10," ")</f>
        <v>0.93012719298245616</v>
      </c>
      <c r="F6" s="96">
        <f>IF(Trips!K10&gt;0,Trips!K10," ")</f>
        <v>12.092030644605964</v>
      </c>
      <c r="G6" s="528">
        <f>IF(Machine!B20&gt;0,Machine!B20," ")</f>
        <v>1</v>
      </c>
      <c r="H6" s="97">
        <f>IF(Machine!B20&gt;0,Machine!D20," ")</f>
        <v>38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>
        <f>IF(Trips!G24&gt;0,Trips!G24," ")</f>
        <v>4.1824183654847626</v>
      </c>
      <c r="C8" s="96">
        <f>IF(Trips!H24&gt;0,Trips!H24," ")</f>
        <v>0.5321405183449972</v>
      </c>
      <c r="D8" s="96">
        <f>IF(Trips!I24&gt;0,Trips!I24," ")</f>
        <v>0.90838301636444041</v>
      </c>
      <c r="E8" s="96">
        <f>IF(Trips!J24&gt;0,Trips!J24," ")</f>
        <v>0.56276603272888104</v>
      </c>
      <c r="F8" s="96">
        <f>IF(Trips!K24&gt;0,Trips!K24," ")</f>
        <v>6.1857079329230809</v>
      </c>
      <c r="G8" s="528">
        <f>IF(Machine!B34&gt;0,Machine!B34," ")</f>
        <v>1</v>
      </c>
      <c r="H8" s="97">
        <f>IF(Machine!B34&gt;0,Machine!D34," ")</f>
        <v>38</v>
      </c>
    </row>
    <row r="9" spans="1:8" ht="13.9" x14ac:dyDescent="0.4">
      <c r="A9" s="91" t="str">
        <f>Machine!A35</f>
        <v>Planter</v>
      </c>
      <c r="B9" s="96">
        <f>IF(Trips!G25&gt;0,Trips!G25," ")</f>
        <v>9.5302699588514628</v>
      </c>
      <c r="C9" s="96">
        <f>IF(Trips!H25&gt;0,Trips!H25," ")</f>
        <v>2.554164181520203</v>
      </c>
      <c r="D9" s="96">
        <f>IF(Trips!I25&gt;0,Trips!I25," ")</f>
        <v>1.2402499999999999</v>
      </c>
      <c r="E9" s="96">
        <f>IF(Trips!J25&gt;0,Trips!J25," ")</f>
        <v>1.0108482905982903</v>
      </c>
      <c r="F9" s="96">
        <f>IF(Trips!K25&gt;0,Trips!K25," ")</f>
        <v>14.335532430969955</v>
      </c>
      <c r="G9" s="528">
        <f>IF(Machine!B35&gt;0,Machine!B35," ")</f>
        <v>1</v>
      </c>
      <c r="H9" s="97">
        <f>IF(Machine!B35&gt;0,Machine!D35," ")</f>
        <v>36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1</v>
      </c>
      <c r="T19" s="89">
        <f t="shared" ref="T19:T51" si="14">J19*O19*S19</f>
        <v>3.8500836119868831</v>
      </c>
      <c r="U19" s="89">
        <f t="shared" si="6"/>
        <v>75.989555598878766</v>
      </c>
      <c r="V19" s="89">
        <f t="shared" ref="V19:V51" si="15">U19*O19*S19</f>
        <v>4.1906004925852258</v>
      </c>
      <c r="W19" s="1144">
        <f t="shared" si="7"/>
        <v>0.4008381204044118</v>
      </c>
      <c r="X19" s="1144">
        <f t="shared" si="2"/>
        <v>0.4008381204044118</v>
      </c>
      <c r="Y19" s="1144">
        <f t="shared" si="2"/>
        <v>0.36877107077205878</v>
      </c>
      <c r="Z19" s="1136">
        <f t="shared" si="8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0.88491814905283728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0.38187794117647056</v>
      </c>
      <c r="AG19" s="229">
        <f t="shared" ref="AG19:AG51" si="18">0.044*R19</f>
        <v>10.119999999999999</v>
      </c>
      <c r="AH19" s="89">
        <f t="shared" ref="AH19:AH51" si="19">AG19*O19*$AI$11*S19</f>
        <v>1.3728970588235292</v>
      </c>
      <c r="AI19" s="89">
        <f t="shared" ref="AI19:AI51" si="20">AH19*0.1</f>
        <v>0.13728970588235292</v>
      </c>
      <c r="AJ19" s="89">
        <f t="shared" si="10"/>
        <v>1.3728970588235292</v>
      </c>
      <c r="AK19" s="227">
        <f>EquipmentSpecs!L19</f>
        <v>1.04</v>
      </c>
      <c r="AL19" s="226">
        <f t="shared" ref="AL19:AL51" si="21">O19*S19*AK19</f>
        <v>5.7352941176470586E-2</v>
      </c>
      <c r="AM19" s="230">
        <f t="shared" ref="AM19:AM51" si="22">AL19*$AL$11</f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1</v>
      </c>
      <c r="T20" s="89">
        <f t="shared" si="14"/>
        <v>2.9023176103179722</v>
      </c>
      <c r="U20" s="89">
        <f t="shared" si="6"/>
        <v>75.989555598878766</v>
      </c>
      <c r="V20" s="89">
        <f t="shared" si="15"/>
        <v>4.58270346265168</v>
      </c>
      <c r="W20" s="1144">
        <f t="shared" si="7"/>
        <v>0.37357464706688598</v>
      </c>
      <c r="X20" s="1144">
        <f t="shared" si="2"/>
        <v>0.37357464706688598</v>
      </c>
      <c r="Y20" s="1144">
        <f t="shared" si="2"/>
        <v>0.34368867530153502</v>
      </c>
      <c r="Z20" s="1136">
        <f t="shared" si="8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16"/>
        <v>0.6670799355343412</v>
      </c>
      <c r="AD20" s="84">
        <f t="shared" si="17"/>
        <v>3.0000000000000001E-3</v>
      </c>
      <c r="AE20" s="229">
        <v>2</v>
      </c>
      <c r="AF20" s="89">
        <f t="shared" si="9"/>
        <v>0.41760921052631578</v>
      </c>
      <c r="AG20" s="229">
        <f t="shared" si="18"/>
        <v>10.119999999999999</v>
      </c>
      <c r="AH20" s="89">
        <f t="shared" si="19"/>
        <v>1.5013552631578946</v>
      </c>
      <c r="AI20" s="89">
        <f t="shared" si="20"/>
        <v>0.15013552631578947</v>
      </c>
      <c r="AJ20" s="89">
        <f t="shared" si="10"/>
        <v>1.5013552631578946</v>
      </c>
      <c r="AK20" s="227">
        <f>EquipmentSpecs!L20</f>
        <v>1.04</v>
      </c>
      <c r="AL20" s="226">
        <f t="shared" si="21"/>
        <v>6.2719298245614036E-2</v>
      </c>
      <c r="AM20" s="230">
        <f t="shared" si="22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0</v>
      </c>
      <c r="T25" s="89">
        <f t="shared" si="14"/>
        <v>0</v>
      </c>
      <c r="U25" s="89">
        <f t="shared" si="6"/>
        <v>36.514461781279415</v>
      </c>
      <c r="V25" s="89">
        <f t="shared" si="15"/>
        <v>0</v>
      </c>
      <c r="W25" s="1144">
        <f t="shared" si="7"/>
        <v>0</v>
      </c>
      <c r="X25" s="1144">
        <f t="shared" si="2"/>
        <v>0</v>
      </c>
      <c r="Y25" s="1144">
        <f t="shared" si="2"/>
        <v>0</v>
      </c>
      <c r="Z25" s="1136">
        <f t="shared" si="8"/>
        <v>0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0</v>
      </c>
      <c r="AD25" s="84">
        <f t="shared" si="17"/>
        <v>3.0000000000000001E-3</v>
      </c>
      <c r="AE25" s="229">
        <v>2</v>
      </c>
      <c r="AF25" s="89">
        <f t="shared" si="9"/>
        <v>0</v>
      </c>
      <c r="AG25" s="229">
        <f t="shared" si="18"/>
        <v>7.6999999999999993</v>
      </c>
      <c r="AH25" s="89">
        <f t="shared" si="19"/>
        <v>0</v>
      </c>
      <c r="AI25" s="89">
        <f t="shared" si="20"/>
        <v>0</v>
      </c>
      <c r="AJ25" s="89">
        <f t="shared" si="10"/>
        <v>0</v>
      </c>
      <c r="AK25" s="227">
        <f>EquipmentSpecs!L25</f>
        <v>1.04</v>
      </c>
      <c r="AL25" s="226">
        <f t="shared" si="21"/>
        <v>0</v>
      </c>
      <c r="AM25" s="230">
        <f t="shared" si="22"/>
        <v>0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1</v>
      </c>
      <c r="T28" s="89">
        <f t="shared" si="14"/>
        <v>2.3601274451929384</v>
      </c>
      <c r="U28" s="89">
        <f t="shared" si="6"/>
        <v>75.989555598878766</v>
      </c>
      <c r="V28" s="89">
        <f t="shared" si="15"/>
        <v>2.5086587982823123</v>
      </c>
      <c r="W28" s="1144">
        <f t="shared" si="7"/>
        <v>0.24269657863145258</v>
      </c>
      <c r="X28" s="1144">
        <f t="shared" si="2"/>
        <v>0.24269657863145258</v>
      </c>
      <c r="Y28" s="1144">
        <f t="shared" si="2"/>
        <v>0.22328085234093634</v>
      </c>
      <c r="Z28" s="1136">
        <f t="shared" si="8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16"/>
        <v>0.75560820374707627</v>
      </c>
      <c r="AD28" s="84">
        <f t="shared" si="17"/>
        <v>3.0000000000000001E-3</v>
      </c>
      <c r="AE28" s="229">
        <v>2</v>
      </c>
      <c r="AF28" s="89">
        <f t="shared" si="9"/>
        <v>0.22860720288115244</v>
      </c>
      <c r="AG28" s="229">
        <f t="shared" si="18"/>
        <v>10.119999999999999</v>
      </c>
      <c r="AH28" s="89">
        <f t="shared" si="19"/>
        <v>0.82187034813925552</v>
      </c>
      <c r="AI28" s="89">
        <f t="shared" si="20"/>
        <v>8.2187034813925558E-2</v>
      </c>
      <c r="AJ28" s="89">
        <f t="shared" si="10"/>
        <v>0.82187034813925552</v>
      </c>
      <c r="AK28" s="227">
        <f>EquipmentSpecs!L28</f>
        <v>1.04</v>
      </c>
      <c r="AL28" s="226">
        <f t="shared" si="21"/>
        <v>3.4333733493397356E-2</v>
      </c>
      <c r="AM28" s="230">
        <f t="shared" si="22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0</v>
      </c>
      <c r="T32" s="89">
        <f t="shared" si="14"/>
        <v>0</v>
      </c>
      <c r="U32" s="89">
        <f t="shared" si="6"/>
        <v>61.186395417279016</v>
      </c>
      <c r="V32" s="89">
        <f t="shared" si="15"/>
        <v>0</v>
      </c>
      <c r="W32" s="1144">
        <f t="shared" si="7"/>
        <v>0</v>
      </c>
      <c r="X32" s="1144">
        <f t="shared" si="7"/>
        <v>0</v>
      </c>
      <c r="Y32" s="1144">
        <f t="shared" si="7"/>
        <v>0</v>
      </c>
      <c r="Z32" s="1136">
        <f t="shared" si="8"/>
        <v>0</v>
      </c>
      <c r="AA32" s="227">
        <f>EquipmentSpecs!J32</f>
        <v>0.16</v>
      </c>
      <c r="AB32" s="228">
        <f>EquipmentSpecs!K32</f>
        <v>1.3</v>
      </c>
      <c r="AC32" s="89">
        <f t="shared" si="16"/>
        <v>0</v>
      </c>
      <c r="AD32" s="84">
        <f t="shared" si="17"/>
        <v>3.0000000000000001E-3</v>
      </c>
      <c r="AE32" s="229">
        <v>2</v>
      </c>
      <c r="AF32" s="89">
        <f t="shared" si="9"/>
        <v>0</v>
      </c>
      <c r="AG32" s="229">
        <f t="shared" si="18"/>
        <v>8.58</v>
      </c>
      <c r="AH32" s="89">
        <f t="shared" si="19"/>
        <v>0</v>
      </c>
      <c r="AI32" s="89">
        <f t="shared" si="20"/>
        <v>0</v>
      </c>
      <c r="AJ32" s="89">
        <f t="shared" si="10"/>
        <v>0</v>
      </c>
      <c r="AK32" s="227">
        <f>EquipmentSpecs!L32</f>
        <v>1.04</v>
      </c>
      <c r="AL32" s="226">
        <f t="shared" si="21"/>
        <v>0</v>
      </c>
      <c r="AM32" s="230">
        <f t="shared" si="22"/>
        <v>0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1</v>
      </c>
      <c r="T34" s="89">
        <f t="shared" si="14"/>
        <v>0.8782315644144405</v>
      </c>
      <c r="U34" s="89">
        <f t="shared" si="6"/>
        <v>75.989555598878766</v>
      </c>
      <c r="V34" s="89">
        <f t="shared" si="15"/>
        <v>2.772728145469924</v>
      </c>
      <c r="W34" s="1144">
        <f t="shared" si="7"/>
        <v>0.18200638890424592</v>
      </c>
      <c r="X34" s="1144">
        <f t="shared" si="7"/>
        <v>0.18200638890424592</v>
      </c>
      <c r="Y34" s="1144">
        <f t="shared" si="7"/>
        <v>0.1674458777919062</v>
      </c>
      <c r="Z34" s="1136">
        <f t="shared" si="8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16"/>
        <v>0.27946939937109178</v>
      </c>
      <c r="AD34" s="84">
        <f t="shared" si="17"/>
        <v>3.0000000000000001E-3</v>
      </c>
      <c r="AE34" s="229">
        <v>2</v>
      </c>
      <c r="AF34" s="89">
        <f t="shared" si="9"/>
        <v>0.25267111897390537</v>
      </c>
      <c r="AG34" s="229">
        <f t="shared" si="18"/>
        <v>10.119999999999999</v>
      </c>
      <c r="AH34" s="89">
        <f t="shared" si="19"/>
        <v>0.90838301636444041</v>
      </c>
      <c r="AI34" s="89">
        <f t="shared" si="20"/>
        <v>9.0838301636444047E-2</v>
      </c>
      <c r="AJ34" s="89">
        <f t="shared" si="10"/>
        <v>0.90838301636444041</v>
      </c>
      <c r="AK34" s="227">
        <f>EquipmentSpecs!L34</f>
        <v>1.04</v>
      </c>
      <c r="AL34" s="226">
        <f t="shared" si="21"/>
        <v>3.7947810703228661E-2</v>
      </c>
      <c r="AM34" s="230">
        <f t="shared" si="22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1</v>
      </c>
      <c r="T35" s="89">
        <f t="shared" si="14"/>
        <v>4.6531074743959646</v>
      </c>
      <c r="U35" s="89">
        <f t="shared" si="6"/>
        <v>61.186395417279016</v>
      </c>
      <c r="V35" s="89">
        <f t="shared" si="15"/>
        <v>3.5953544315708821</v>
      </c>
      <c r="W35" s="1144">
        <f t="shared" si="7"/>
        <v>0.43897536057692299</v>
      </c>
      <c r="X35" s="1144">
        <f t="shared" si="7"/>
        <v>0.43897536057692299</v>
      </c>
      <c r="Y35" s="1144">
        <f t="shared" si="7"/>
        <v>0.40385733173076915</v>
      </c>
      <c r="Z35" s="1136">
        <f t="shared" si="8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16"/>
        <v>2.2202930276740491</v>
      </c>
      <c r="AD35" s="84">
        <f t="shared" si="17"/>
        <v>3.0000000000000001E-3</v>
      </c>
      <c r="AE35" s="229">
        <v>2</v>
      </c>
      <c r="AF35" s="89">
        <f t="shared" si="9"/>
        <v>0.33387115384615379</v>
      </c>
      <c r="AG35" s="229">
        <f t="shared" si="18"/>
        <v>8.58</v>
      </c>
      <c r="AH35" s="89">
        <f t="shared" si="19"/>
        <v>1.2402499999999999</v>
      </c>
      <c r="AI35" s="89">
        <f t="shared" si="20"/>
        <v>0.124025</v>
      </c>
      <c r="AJ35" s="89">
        <f t="shared" si="10"/>
        <v>1.2402499999999999</v>
      </c>
      <c r="AK35" s="227">
        <f>EquipmentSpecs!L35</f>
        <v>1.1599999999999999</v>
      </c>
      <c r="AL35" s="226">
        <f t="shared" si="21"/>
        <v>6.8162393162393142E-2</v>
      </c>
      <c r="AM35" s="230">
        <f t="shared" si="22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0</v>
      </c>
      <c r="T37" s="89">
        <f t="shared" si="14"/>
        <v>0</v>
      </c>
      <c r="U37" s="89">
        <f t="shared" si="6"/>
        <v>75.989555598878766</v>
      </c>
      <c r="V37" s="89">
        <f t="shared" si="15"/>
        <v>0</v>
      </c>
      <c r="W37" s="1144">
        <f t="shared" si="7"/>
        <v>0</v>
      </c>
      <c r="X37" s="1144">
        <f t="shared" si="7"/>
        <v>0</v>
      </c>
      <c r="Y37" s="1144">
        <f t="shared" si="7"/>
        <v>0</v>
      </c>
      <c r="Z37" s="1136">
        <f t="shared" si="8"/>
        <v>0</v>
      </c>
      <c r="AA37" s="227">
        <f>EquipmentSpecs!J37</f>
        <v>0.32</v>
      </c>
      <c r="AB37" s="228">
        <f>EquipmentSpecs!K37</f>
        <v>2.1</v>
      </c>
      <c r="AC37" s="89">
        <f t="shared" si="16"/>
        <v>0</v>
      </c>
      <c r="AD37" s="84">
        <f t="shared" si="17"/>
        <v>3.0000000000000001E-3</v>
      </c>
      <c r="AE37" s="229">
        <v>2</v>
      </c>
      <c r="AF37" s="89">
        <f t="shared" si="9"/>
        <v>0</v>
      </c>
      <c r="AG37" s="229">
        <f t="shared" si="18"/>
        <v>10.119999999999999</v>
      </c>
      <c r="AH37" s="89">
        <f t="shared" si="19"/>
        <v>0</v>
      </c>
      <c r="AI37" s="89">
        <f t="shared" si="20"/>
        <v>0</v>
      </c>
      <c r="AJ37" s="89">
        <f t="shared" si="10"/>
        <v>0</v>
      </c>
      <c r="AK37" s="227">
        <f>EquipmentSpecs!L37</f>
        <v>1.1100000000000001</v>
      </c>
      <c r="AL37" s="226">
        <f t="shared" si="21"/>
        <v>0</v>
      </c>
      <c r="AM37" s="230">
        <f t="shared" si="22"/>
        <v>0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14.643867706308198</v>
      </c>
      <c r="U56" s="17"/>
      <c r="V56" s="257">
        <f>SUM(V14:V54)</f>
        <v>17.650045330560022</v>
      </c>
      <c r="W56" s="1147"/>
      <c r="X56" s="1147">
        <f>Z56-(T56+V56)</f>
        <v>4.7832259991050492</v>
      </c>
      <c r="Y56" s="1148">
        <f>(Z56-(T56+V56))/(T56+V56)</f>
        <v>0.14811540470937351</v>
      </c>
      <c r="Z56" s="257">
        <f>SUM(Z14:Z54)</f>
        <v>37.077139035973268</v>
      </c>
      <c r="AA56" s="17"/>
      <c r="AB56" s="17"/>
      <c r="AC56" s="257">
        <f>SUM(AC14:AC54)</f>
        <v>4.8073687153793951</v>
      </c>
      <c r="AD56" s="258"/>
      <c r="AE56" s="17"/>
      <c r="AF56" s="257">
        <f>SUM(AF14:AF54)</f>
        <v>1.614636627403998</v>
      </c>
      <c r="AG56" s="17"/>
      <c r="AH56" s="257">
        <f>SUM(AH14:AH54)</f>
        <v>5.8447556864851196</v>
      </c>
      <c r="AI56" s="257">
        <f>SUM(AI14:AI54)</f>
        <v>0.58447556864851191</v>
      </c>
      <c r="AJ56" s="257"/>
      <c r="AK56" s="17"/>
      <c r="AL56" s="259">
        <f>SUM(AL14:AL54)</f>
        <v>0.26051617678110378</v>
      </c>
      <c r="AM56" s="260">
        <f>SUM(AM14:AM54)</f>
        <v>3.8634549016637694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25</v>
      </c>
      <c r="L69" s="336">
        <f>Machine!E69</f>
        <v>3.5</v>
      </c>
      <c r="M69" s="224">
        <f>EquipmentSpecs!C69</f>
        <v>0.7</v>
      </c>
      <c r="N69" s="89">
        <f t="shared" si="31"/>
        <v>7.424242424242423</v>
      </c>
      <c r="O69" s="226">
        <f t="shared" si="32"/>
        <v>0.13469387755102044</v>
      </c>
      <c r="P69" s="270"/>
      <c r="Q69" s="20"/>
      <c r="R69" s="339">
        <f>Machine!H69</f>
        <v>325</v>
      </c>
      <c r="S69" s="1197">
        <f>Machine!B69</f>
        <v>1</v>
      </c>
      <c r="T69" s="89">
        <f t="shared" si="33"/>
        <v>51.523112349286762</v>
      </c>
      <c r="U69" s="269"/>
      <c r="V69" s="269"/>
      <c r="W69" s="1144">
        <f t="shared" si="34"/>
        <v>2.3308663265306131</v>
      </c>
      <c r="X69" s="1144">
        <f t="shared" si="34"/>
        <v>2.3308663265306131</v>
      </c>
      <c r="Y69" s="1144">
        <f t="shared" si="34"/>
        <v>2.1443970204081637</v>
      </c>
      <c r="Z69" s="1136">
        <f t="shared" si="35"/>
        <v>58.329242022756155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10.903834352539555</v>
      </c>
      <c r="AD69" s="271"/>
      <c r="AE69" s="272"/>
      <c r="AF69" s="269"/>
      <c r="AG69" s="229">
        <f t="shared" si="36"/>
        <v>14.299999999999999</v>
      </c>
      <c r="AH69" s="89">
        <f t="shared" si="37"/>
        <v>4.7382612244897961</v>
      </c>
      <c r="AI69" s="89">
        <f t="shared" si="38"/>
        <v>0.47382612244897965</v>
      </c>
      <c r="AJ69" s="89">
        <f t="shared" si="39"/>
        <v>4.7382612244897961</v>
      </c>
      <c r="AK69" s="227">
        <f>EquipmentSpecs!L69</f>
        <v>1.1100000000000001</v>
      </c>
      <c r="AL69" s="226">
        <f t="shared" si="40"/>
        <v>0.14951020408163271</v>
      </c>
      <c r="AM69" s="230">
        <f t="shared" si="41"/>
        <v>2.217236326530613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1</v>
      </c>
      <c r="T70" s="89">
        <f t="shared" si="33"/>
        <v>4.7339909722822338</v>
      </c>
      <c r="U70" s="269"/>
      <c r="V70" s="269"/>
      <c r="W70" s="1144">
        <f t="shared" si="34"/>
        <v>0.21416214285714291</v>
      </c>
      <c r="X70" s="1144">
        <f t="shared" si="34"/>
        <v>0.21416214285714291</v>
      </c>
      <c r="Y70" s="1144">
        <f t="shared" si="34"/>
        <v>0.19702917142857146</v>
      </c>
      <c r="Z70" s="1136">
        <f t="shared" si="35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25</v>
      </c>
      <c r="L74" s="337">
        <f>Machine!E74</f>
        <v>3.5</v>
      </c>
      <c r="M74" s="233">
        <f>EquipmentSpecs!C74</f>
        <v>0.7</v>
      </c>
      <c r="N74" s="235">
        <f t="shared" si="31"/>
        <v>7.424242424242423</v>
      </c>
      <c r="O74" s="236">
        <f t="shared" si="32"/>
        <v>0.13469387755102044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1</v>
      </c>
      <c r="T74" s="235">
        <f t="shared" si="33"/>
        <v>3.7863482528034531</v>
      </c>
      <c r="U74" s="235">
        <f>(((P74-(AQ74*P74))*AS74)+(AR74*(AQ74*P74)))/AO74</f>
        <v>61.186395417279016</v>
      </c>
      <c r="V74" s="235">
        <f>U74*O74*S74</f>
        <v>8.2414328521232978</v>
      </c>
      <c r="W74" s="1146">
        <f t="shared" si="34"/>
        <v>0.61330612244897975</v>
      </c>
      <c r="X74" s="1146">
        <f t="shared" si="34"/>
        <v>0.61330612244897975</v>
      </c>
      <c r="Y74" s="1146">
        <f t="shared" si="34"/>
        <v>0.56424163265306138</v>
      </c>
      <c r="Z74" s="1139">
        <f t="shared" si="35"/>
        <v>13.818634982477771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1.9434692615172968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0.765314448979592</v>
      </c>
      <c r="AG74" s="240">
        <f>0.044*R74</f>
        <v>8.58</v>
      </c>
      <c r="AH74" s="235">
        <f t="shared" ref="AH74:AH81" si="42">AG74*O74*$AJ$11*S74</f>
        <v>2.8429567346938787</v>
      </c>
      <c r="AI74" s="235">
        <f>AH74*0.1</f>
        <v>0.28429567346938789</v>
      </c>
      <c r="AJ74" s="235">
        <f>AH74</f>
        <v>2.8429567346938787</v>
      </c>
      <c r="AK74" s="459">
        <f>EquipmentSpecs!L74</f>
        <v>1.1100000000000001</v>
      </c>
      <c r="AL74" s="236">
        <f t="shared" si="40"/>
        <v>0.14951020408163271</v>
      </c>
      <c r="AM74" s="241">
        <f t="shared" si="41"/>
        <v>2.217236326530613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60.043451574372455</v>
      </c>
      <c r="U83" s="17"/>
      <c r="V83" s="257">
        <f>SUM(V64:V81)</f>
        <v>8.2414328521232978</v>
      </c>
      <c r="W83" s="1147"/>
      <c r="X83" s="1147">
        <f>Z83-(T83+V83)</f>
        <v>9.2223370081632652</v>
      </c>
      <c r="Y83" s="1148">
        <f>(Z83-(T83+V83))/(T83+V83)</f>
        <v>0.13505678578237199</v>
      </c>
      <c r="Z83" s="257">
        <f>SUM(Z64:Z81)</f>
        <v>77.507221434659016</v>
      </c>
      <c r="AA83" s="17"/>
      <c r="AB83" s="17"/>
      <c r="AC83" s="257">
        <f>SUM(AC64:AC81)</f>
        <v>16.272405461823887</v>
      </c>
      <c r="AD83" s="258"/>
      <c r="AE83" s="17"/>
      <c r="AF83" s="257">
        <f>SUM(AF64:AF81)</f>
        <v>0.765314448979592</v>
      </c>
      <c r="AG83" s="17"/>
      <c r="AH83" s="257">
        <f>SUM(AH64:AH81)</f>
        <v>7.5812179591836752</v>
      </c>
      <c r="AI83" s="257">
        <f>SUM(AI64:AI81)</f>
        <v>0.75812179591836748</v>
      </c>
      <c r="AJ83" s="257"/>
      <c r="AK83" s="17"/>
      <c r="AL83" s="259">
        <f>SUM(AL64:AL81)</f>
        <v>0.29902040816326542</v>
      </c>
      <c r="AM83" s="257">
        <f>SUM(AM64:AM81)</f>
        <v>4.434472653061226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Zinc Sulfate 33%</v>
      </c>
      <c r="D10" s="553" t="s">
        <v>5</v>
      </c>
      <c r="E10" s="1314">
        <f>IF(OR(A2_Budget_Look_Up!B8=1,A2_Budget_Look_Up!B10=1),G10,F10)</f>
        <v>1.38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210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Bushel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Bushel</v>
      </c>
    </row>
    <row r="4" spans="1:8" ht="13.9" x14ac:dyDescent="0.4">
      <c r="A4" s="91" t="s">
        <v>300</v>
      </c>
      <c r="B4" s="121">
        <f>SummaryReport_Verification!B27</f>
        <v>849.41751079190101</v>
      </c>
      <c r="C4" s="121">
        <f>SummaryReport_Verification!B32</f>
        <v>4.0448452894852425</v>
      </c>
      <c r="D4" s="121">
        <f>SummaryReport_Verification!B28</f>
        <v>95.582489208098991</v>
      </c>
      <c r="E4" s="121">
        <f>SummaryReport_Verification!B29</f>
        <v>250.69444962786272</v>
      </c>
      <c r="F4" s="121">
        <f>SummaryReport_Verification!B30</f>
        <v>1100.1119604197638</v>
      </c>
      <c r="G4" s="121">
        <f>SummaryReport_Verification!B31</f>
        <v>-155.11196041976382</v>
      </c>
      <c r="H4" s="121">
        <f>SummaryReport_Verification!B33</f>
        <v>5.2386283829512559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849.41751079190101</v>
      </c>
      <c r="C9" s="122">
        <f t="shared" si="0"/>
        <v>4.0448452894852425</v>
      </c>
      <c r="D9" s="122">
        <f t="shared" si="0"/>
        <v>95.582489208098991</v>
      </c>
      <c r="E9" s="122">
        <f t="shared" si="0"/>
        <v>250.69444962786272</v>
      </c>
      <c r="F9" s="122">
        <f t="shared" si="0"/>
        <v>1100.1119604197638</v>
      </c>
      <c r="G9" s="122">
        <f t="shared" si="0"/>
        <v>-155.11196041976382</v>
      </c>
      <c r="H9" s="122">
        <f t="shared" si="0"/>
        <v>5.2386283829512559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(bu.)</v>
      </c>
      <c r="B4" s="163">
        <f>Budget!D3</f>
        <v>210</v>
      </c>
      <c r="C4" s="113"/>
      <c r="D4" s="113"/>
      <c r="E4" s="113"/>
      <c r="F4" s="113"/>
      <c r="G4" s="163">
        <f>AVERAGE(B4:F4)</f>
        <v>210</v>
      </c>
    </row>
    <row r="5" spans="1:8" ht="13.9" x14ac:dyDescent="0.4">
      <c r="A5" s="96" t="str">
        <f>IF(A2_Budget_Look_Up!B7=1,"Price ($/lb.)",'C1_Messages_Indicators'!E26)</f>
        <v>Price ($/bu.)</v>
      </c>
      <c r="B5" s="96">
        <f>Budget!E3</f>
        <v>4.5</v>
      </c>
      <c r="C5" s="96"/>
      <c r="D5" s="96"/>
      <c r="E5" s="96"/>
      <c r="F5" s="96"/>
      <c r="G5" s="96">
        <f>AVERAGE(B5:F5)</f>
        <v>4.5</v>
      </c>
    </row>
    <row r="6" spans="1:8" ht="13.5" x14ac:dyDescent="0.35">
      <c r="A6" s="107" t="s">
        <v>231</v>
      </c>
      <c r="B6" s="114">
        <f>Budget!F3</f>
        <v>945</v>
      </c>
      <c r="C6" s="114"/>
      <c r="D6" s="114"/>
      <c r="E6" s="114"/>
      <c r="F6" s="114"/>
      <c r="G6" s="114">
        <f>AVERAGE(B6:F6)</f>
        <v>945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124.48</v>
      </c>
      <c r="C9" s="96"/>
      <c r="D9" s="96"/>
      <c r="E9" s="96"/>
      <c r="F9" s="96"/>
      <c r="G9" s="96">
        <f t="shared" ref="G9:G28" si="0">AVERAGE(B9:F9)</f>
        <v>124.48</v>
      </c>
      <c r="H9" s="1898">
        <f>G9/G$23</f>
        <v>0.17169399059777454</v>
      </c>
    </row>
    <row r="10" spans="1:8" ht="13.9" x14ac:dyDescent="0.4">
      <c r="A10" s="91" t="s">
        <v>224</v>
      </c>
      <c r="B10" s="96">
        <f>SUM(Budget!F7:F13)</f>
        <v>302.14249999999998</v>
      </c>
      <c r="C10" s="96"/>
      <c r="D10" s="96"/>
      <c r="E10" s="96"/>
      <c r="F10" s="96"/>
      <c r="G10" s="96">
        <f t="shared" si="0"/>
        <v>302.14249999999998</v>
      </c>
      <c r="H10" s="1898">
        <f>G10/G$23</f>
        <v>0.41674205940061126</v>
      </c>
    </row>
    <row r="11" spans="1:8" ht="13.9" x14ac:dyDescent="0.4">
      <c r="A11" s="91" t="str">
        <f>Budget!A14</f>
        <v>Herbicide</v>
      </c>
      <c r="B11" s="96">
        <f>Budget!F14</f>
        <v>53.767500000000005</v>
      </c>
      <c r="C11" s="96"/>
      <c r="D11" s="96"/>
      <c r="E11" s="96"/>
      <c r="F11" s="96"/>
      <c r="G11" s="96">
        <f t="shared" si="0"/>
        <v>53.767500000000005</v>
      </c>
      <c r="H11" s="1898">
        <f>SUM(G11:G14)/$G$23</f>
        <v>7.4160962720644624E-2</v>
      </c>
    </row>
    <row r="12" spans="1:8" ht="15" customHeight="1" x14ac:dyDescent="0.4">
      <c r="A12" s="91" t="str">
        <f>Budget!A15</f>
        <v>Insecticide</v>
      </c>
      <c r="B12" s="96">
        <f>Budget!F15</f>
        <v>0</v>
      </c>
      <c r="C12" s="96"/>
      <c r="D12" s="96"/>
      <c r="E12" s="96"/>
      <c r="F12" s="96"/>
      <c r="G12" s="96">
        <f t="shared" si="0"/>
        <v>0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0</v>
      </c>
      <c r="C13" s="96"/>
      <c r="D13" s="96"/>
      <c r="E13" s="96"/>
      <c r="F13" s="96"/>
      <c r="G13" s="96">
        <f t="shared" si="0"/>
        <v>0</v>
      </c>
    </row>
    <row r="14" spans="1:8" ht="13.9" x14ac:dyDescent="0.4">
      <c r="A14" s="91" t="s">
        <v>91</v>
      </c>
      <c r="B14" s="96">
        <f>IF(A2_Budget_Look_Up!B13&gt;0,Budget!F16+Budget!F18,Budget!F17+Budget!F18)</f>
        <v>0</v>
      </c>
      <c r="C14" s="96"/>
      <c r="D14" s="96"/>
      <c r="E14" s="96"/>
      <c r="F14" s="96"/>
      <c r="G14" s="96">
        <f t="shared" si="0"/>
        <v>0</v>
      </c>
    </row>
    <row r="15" spans="1:8" ht="13.9" x14ac:dyDescent="0.4">
      <c r="A15" s="91" t="s">
        <v>225</v>
      </c>
      <c r="B15" s="96">
        <f>SUM(Budget!F20:F23)</f>
        <v>57.5</v>
      </c>
      <c r="C15" s="96"/>
      <c r="D15" s="96"/>
      <c r="E15" s="96"/>
      <c r="F15" s="96"/>
      <c r="G15" s="96">
        <f t="shared" si="0"/>
        <v>57.5</v>
      </c>
    </row>
    <row r="16" spans="1:8" ht="13.9" x14ac:dyDescent="0.4">
      <c r="A16" s="91" t="s">
        <v>421</v>
      </c>
      <c r="B16" s="96">
        <f>Budget!F31+Budget!F32</f>
        <v>0</v>
      </c>
      <c r="C16" s="96"/>
      <c r="D16" s="96"/>
      <c r="E16" s="96"/>
      <c r="F16" s="96"/>
      <c r="G16" s="96">
        <f>AVERAGE(B16:F16)</f>
        <v>0</v>
      </c>
    </row>
    <row r="17" spans="1:7" ht="13.9" x14ac:dyDescent="0.4">
      <c r="A17" s="91" t="s">
        <v>462</v>
      </c>
      <c r="B17" s="96">
        <f>Budget!F25+Budget!F27</f>
        <v>13.425973645668794</v>
      </c>
      <c r="C17" s="96"/>
      <c r="D17" s="96"/>
      <c r="E17" s="96"/>
      <c r="F17" s="96"/>
      <c r="G17" s="96">
        <f t="shared" si="0"/>
        <v>13.425973645668794</v>
      </c>
    </row>
    <row r="18" spans="1:7" ht="13.9" x14ac:dyDescent="0.4">
      <c r="A18" s="91" t="s">
        <v>227</v>
      </c>
      <c r="B18" s="96">
        <f>Budget!F29</f>
        <v>61.790841052631592</v>
      </c>
      <c r="C18" s="96"/>
      <c r="D18" s="96"/>
      <c r="E18" s="96"/>
      <c r="F18" s="96"/>
      <c r="G18" s="96">
        <f>AVERAGE(B18:F18)</f>
        <v>61.790841052631592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613.10681469830024</v>
      </c>
      <c r="C19" s="108"/>
      <c r="D19" s="108"/>
      <c r="E19" s="108"/>
      <c r="F19" s="108"/>
      <c r="G19" s="108">
        <f>AVERAGE(B19:F19)</f>
        <v>613.10681469830024</v>
      </c>
    </row>
    <row r="20" spans="1:7" ht="13.9" x14ac:dyDescent="0.4">
      <c r="A20" s="91" t="s">
        <v>778</v>
      </c>
      <c r="B20" s="96">
        <f>SUM(Budget!F34:F36)</f>
        <v>40</v>
      </c>
      <c r="C20" s="108"/>
      <c r="D20" s="108"/>
      <c r="E20" s="108"/>
      <c r="F20" s="108"/>
      <c r="G20" s="96">
        <f t="shared" si="0"/>
        <v>40</v>
      </c>
    </row>
    <row r="21" spans="1:7" ht="15.4" x14ac:dyDescent="0.4">
      <c r="A21" s="91" t="s">
        <v>754</v>
      </c>
      <c r="B21" s="96">
        <f>Budget!F26+Budget!F28+Budget!F30</f>
        <v>37.772212433074053</v>
      </c>
      <c r="C21" s="96"/>
      <c r="D21" s="96"/>
      <c r="E21" s="96"/>
      <c r="F21" s="96"/>
      <c r="G21" s="96">
        <f t="shared" si="0"/>
        <v>37.772212433074053</v>
      </c>
    </row>
    <row r="22" spans="1:7" ht="13.9" x14ac:dyDescent="0.4">
      <c r="A22" s="91" t="s">
        <v>214</v>
      </c>
      <c r="B22" s="96">
        <f>Budget!F33</f>
        <v>34.131787554724994</v>
      </c>
      <c r="C22" s="96"/>
      <c r="D22" s="96"/>
      <c r="E22" s="96"/>
      <c r="F22" s="96"/>
      <c r="G22" s="96">
        <f t="shared" si="0"/>
        <v>34.131787554724994</v>
      </c>
    </row>
    <row r="23" spans="1:7" ht="13.9" x14ac:dyDescent="0.4">
      <c r="A23" s="107" t="s">
        <v>640</v>
      </c>
      <c r="B23" s="108">
        <f>SUM(Budget!F6:F18)+SUM(Budget!F20:F23)+SUM(Budget!F25:F36)</f>
        <v>725.01081468609937</v>
      </c>
      <c r="C23" s="96"/>
      <c r="D23" s="96"/>
      <c r="E23" s="96"/>
      <c r="F23" s="96"/>
      <c r="G23" s="108">
        <f t="shared" si="0"/>
        <v>725.01081468609937</v>
      </c>
    </row>
    <row r="24" spans="1:7" ht="13.9" x14ac:dyDescent="0.4">
      <c r="A24" s="91" t="s">
        <v>28</v>
      </c>
      <c r="B24" s="96">
        <f>Budget!F37</f>
        <v>29.906696105801601</v>
      </c>
      <c r="C24" s="96"/>
      <c r="D24" s="96"/>
      <c r="E24" s="96"/>
      <c r="F24" s="96"/>
      <c r="G24" s="96">
        <f t="shared" si="0"/>
        <v>29.906696105801601</v>
      </c>
    </row>
    <row r="25" spans="1:7" ht="15" customHeight="1" x14ac:dyDescent="0.4">
      <c r="A25" s="91" t="s">
        <v>228</v>
      </c>
      <c r="B25" s="96">
        <f>SUM(Budget!F39:F43)</f>
        <v>94.5</v>
      </c>
      <c r="C25" s="96"/>
      <c r="D25" s="96"/>
      <c r="E25" s="96"/>
      <c r="F25" s="96"/>
      <c r="G25" s="96">
        <f t="shared" si="0"/>
        <v>94.5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849.41751079190101</v>
      </c>
      <c r="C27" s="108"/>
      <c r="D27" s="108"/>
      <c r="E27" s="108"/>
      <c r="F27" s="108"/>
      <c r="G27" s="108">
        <f t="shared" si="0"/>
        <v>849.41751079190101</v>
      </c>
    </row>
    <row r="28" spans="1:7" ht="13.5" x14ac:dyDescent="0.35">
      <c r="A28" s="107" t="s">
        <v>233</v>
      </c>
      <c r="B28" s="114">
        <f>B6-B27</f>
        <v>95.582489208098991</v>
      </c>
      <c r="C28" s="114"/>
      <c r="D28" s="114"/>
      <c r="E28" s="114"/>
      <c r="F28" s="114"/>
      <c r="G28" s="114">
        <f t="shared" si="0"/>
        <v>95.582489208098991</v>
      </c>
    </row>
    <row r="29" spans="1:7" ht="13.9" x14ac:dyDescent="0.4">
      <c r="A29" s="91" t="s">
        <v>230</v>
      </c>
      <c r="B29" s="96">
        <f>Budget!F51</f>
        <v>250.69444962786272</v>
      </c>
      <c r="C29" s="96"/>
      <c r="D29" s="96"/>
      <c r="E29" s="96"/>
      <c r="F29" s="96"/>
      <c r="G29" s="96">
        <f>AVERAGE(B29:F29)</f>
        <v>250.69444962786272</v>
      </c>
    </row>
    <row r="30" spans="1:7" ht="15.4" x14ac:dyDescent="0.35">
      <c r="A30" s="107" t="s">
        <v>753</v>
      </c>
      <c r="B30" s="108">
        <f>B27+B29</f>
        <v>1100.1119604197638</v>
      </c>
      <c r="C30" s="108"/>
      <c r="D30" s="108"/>
      <c r="E30" s="108"/>
      <c r="F30" s="108"/>
      <c r="G30" s="108">
        <f>AVERAGE(B30:F30)</f>
        <v>1100.1119604197638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-155.11196041976382</v>
      </c>
      <c r="C31" s="114"/>
      <c r="D31" s="114"/>
      <c r="E31" s="114"/>
      <c r="F31" s="114"/>
      <c r="G31" s="114">
        <f>AVERAGE(B31:F31)</f>
        <v>-155.11196041976382</v>
      </c>
    </row>
    <row r="32" spans="1:7" ht="13.9" x14ac:dyDescent="0.4">
      <c r="A32" s="96" t="str">
        <f>IF(A2_Budget_Look_Up!B7=1,"Operating Expenses/lb.",'C1_Messages_Indicators'!F26)</f>
        <v>Operating Expenses/bu.</v>
      </c>
      <c r="B32" s="96">
        <f>B27/B4</f>
        <v>4.0448452894852425</v>
      </c>
      <c r="C32" s="96"/>
      <c r="D32" s="96"/>
      <c r="E32" s="96"/>
      <c r="F32" s="96"/>
      <c r="G32" s="96">
        <f>AVERAGE(B32:F32)</f>
        <v>4.0448452894852425</v>
      </c>
    </row>
    <row r="33" spans="1:7" ht="13.9" x14ac:dyDescent="0.4">
      <c r="A33" s="92" t="str">
        <f>IF(A2_Budget_Look_Up!B7=1,"Total Expenses/lb.",'C1_Messages_Indicators'!H26)</f>
        <v>Total Specified Expenses/bu.</v>
      </c>
      <c r="B33" s="98">
        <f>B30/B4</f>
        <v>5.2386283829512559</v>
      </c>
      <c r="C33" s="98"/>
      <c r="D33" s="98"/>
      <c r="E33" s="98"/>
      <c r="F33" s="98"/>
      <c r="G33" s="98">
        <f>AVERAGE(B33:F33)</f>
        <v>5.2386283829512559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2. 2026 Corn Enterprise Budget, Stacked Gene, Center Pivot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Bu.</v>
      </c>
      <c r="D3" s="307">
        <f>Budget!D3</f>
        <v>210</v>
      </c>
      <c r="E3" s="307">
        <f>Budget!E3</f>
        <v>4.5</v>
      </c>
      <c r="F3" s="307">
        <f>Budget!F3</f>
        <v>945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Thous</v>
      </c>
      <c r="D6" s="406">
        <f>Budget!D6</f>
        <v>32</v>
      </c>
      <c r="E6" s="307">
        <f>Budget!E6</f>
        <v>3.89</v>
      </c>
      <c r="F6" s="307">
        <f>Budget!F6</f>
        <v>124.48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435</v>
      </c>
      <c r="E7" s="307">
        <f>Budget!E7</f>
        <v>0.28083333333333332</v>
      </c>
      <c r="F7" s="307">
        <f>Budget!F7</f>
        <v>122.16249999999999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175</v>
      </c>
      <c r="E8" s="307">
        <f>Budget!E8</f>
        <v>0.40500000000000003</v>
      </c>
      <c r="F8" s="307">
        <f>Budget!F8</f>
        <v>70.875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130</v>
      </c>
      <c r="E9" s="307">
        <f>Budget!E9</f>
        <v>0.22</v>
      </c>
      <c r="F9" s="307">
        <f>Budget!F9</f>
        <v>28.6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100</v>
      </c>
      <c r="E10" s="307">
        <f>Budget!E10</f>
        <v>0.26750000000000002</v>
      </c>
      <c r="F10" s="307">
        <f>Budget!F10</f>
        <v>26.75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Zinc Sulfate 33%</v>
      </c>
      <c r="B11" s="403">
        <f>Budget!B11</f>
        <v>1</v>
      </c>
      <c r="C11" s="307" t="str">
        <f>Budget!C11</f>
        <v>Lbs</v>
      </c>
      <c r="D11" s="307">
        <f>Budget!D11</f>
        <v>29</v>
      </c>
      <c r="E11" s="307">
        <f>Budget!E11</f>
        <v>1.38</v>
      </c>
      <c r="F11" s="307">
        <f>Budget!F11</f>
        <v>40.019999999999996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53.767500000000005</v>
      </c>
      <c r="F13" s="307">
        <f>Budget!F14</f>
        <v>53.767500000000005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0</v>
      </c>
      <c r="F14" s="307">
        <f>Budget!F15</f>
        <v>0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Fungicide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0</v>
      </c>
      <c r="F15" s="307">
        <f>Budget!F16</f>
        <v>0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Other Chemical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0</v>
      </c>
      <c r="F16" s="307">
        <f>Budget!F17</f>
        <v>0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0</v>
      </c>
      <c r="F17" s="307">
        <f>Budget!F18</f>
        <v>0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5</v>
      </c>
      <c r="E19" s="307">
        <f>Budget!E20</f>
        <v>9.5</v>
      </c>
      <c r="F19" s="307">
        <f>Budget!F20</f>
        <v>47.5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0</v>
      </c>
      <c r="E20" s="307">
        <f>Budget!E21</f>
        <v>10</v>
      </c>
      <c r="F20" s="307">
        <f>Budget!F21</f>
        <v>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100</v>
      </c>
      <c r="E21" s="407">
        <f>Budget!E22</f>
        <v>0.1</v>
      </c>
      <c r="F21" s="307">
        <f>Budget!F22</f>
        <v>10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2.3759169457256584</v>
      </c>
      <c r="E24" s="307">
        <f>Budget!E25</f>
        <v>2.46</v>
      </c>
      <c r="F24" s="307">
        <f>Budget!F25</f>
        <v>5.8447556864851196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6.4220053427833932</v>
      </c>
      <c r="F25" s="307">
        <f>Budget!F26</f>
        <v>6.4220053427833932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3.0817959183673476</v>
      </c>
      <c r="E26" s="307">
        <f>Budget!E27</f>
        <v>2.46</v>
      </c>
      <c r="F26" s="307">
        <f>Budget!F27</f>
        <v>7.5812179591836752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17.037719910803478</v>
      </c>
      <c r="F27" s="307">
        <f>Budget!F28</f>
        <v>17.037719910803478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14</v>
      </c>
      <c r="E28" s="307">
        <f>Budget!E29</f>
        <v>4.4136315037593992</v>
      </c>
      <c r="F28" s="307">
        <f>Budget!F29</f>
        <v>61.790841052631592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14</v>
      </c>
      <c r="E29" s="307">
        <f>Budget!E30</f>
        <v>1.0223205128205128</v>
      </c>
      <c r="F29" s="307">
        <f>Budget!F30</f>
        <v>14.31248717948718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Other Inputs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</v>
      </c>
      <c r="F31" s="307">
        <f>Budget!F32</f>
        <v>0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2.301536584944369</v>
      </c>
      <c r="E32" s="307">
        <f>Budget!E33</f>
        <v>14.83</v>
      </c>
      <c r="F32" s="307">
        <f>Budget!F33</f>
        <v>34.131787554724994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6</v>
      </c>
      <c r="F33" s="307">
        <f>Budget!F34</f>
        <v>6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0</v>
      </c>
      <c r="F34" s="307">
        <f>Budget!F35</f>
        <v>0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34</v>
      </c>
      <c r="F35" s="307">
        <f>Budget!F36</f>
        <v>34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725.01081468609937</v>
      </c>
      <c r="F36" s="307">
        <f>Budget!F37</f>
        <v>29.906696105801601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Drying</v>
      </c>
      <c r="B39" s="403">
        <f>Budget!B40</f>
        <v>1</v>
      </c>
      <c r="C39" s="307" t="str">
        <f>Budget!C40</f>
        <v>Bu.</v>
      </c>
      <c r="D39" s="307">
        <f>Budget!D40</f>
        <v>210</v>
      </c>
      <c r="E39" s="307">
        <f>Budget!E40</f>
        <v>0.19</v>
      </c>
      <c r="F39" s="307">
        <f>Budget!F40</f>
        <v>39.9</v>
      </c>
    </row>
    <row r="40" spans="1:6" ht="14.1" customHeight="1" x14ac:dyDescent="0.4">
      <c r="A40" s="4" t="str">
        <f>Budget!A41</f>
        <v xml:space="preserve">   Hauling</v>
      </c>
      <c r="B40" s="403">
        <f>Budget!B41</f>
        <v>1</v>
      </c>
      <c r="C40" s="307" t="str">
        <f>Budget!C41</f>
        <v>Bu.</v>
      </c>
      <c r="D40" s="307">
        <f>Budget!D41</f>
        <v>210</v>
      </c>
      <c r="E40" s="307">
        <f>Budget!E41</f>
        <v>0.25</v>
      </c>
      <c r="F40" s="307">
        <f>Budget!F41</f>
        <v>52.5</v>
      </c>
    </row>
    <row r="41" spans="1:6" ht="14.1" customHeight="1" x14ac:dyDescent="0.4">
      <c r="A41" s="4" t="str">
        <f>Budget!A42</f>
        <v xml:space="preserve">   Check Off, Boards</v>
      </c>
      <c r="B41" s="403">
        <f>Budget!B42</f>
        <v>1</v>
      </c>
      <c r="C41" s="307" t="str">
        <f>Budget!C42</f>
        <v>Bu.</v>
      </c>
      <c r="D41" s="307">
        <f>Budget!D42</f>
        <v>210</v>
      </c>
      <c r="E41" s="307">
        <f>Budget!E42</f>
        <v>0.01</v>
      </c>
      <c r="F41" s="307">
        <f>Budget!F42</f>
        <v>2.1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835.68251079190111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109.31748920809889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114.58436047063228</v>
      </c>
      <c r="F47" s="311">
        <f>Budget!F48</f>
        <v>114.58436047063228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130.38087113369883</v>
      </c>
      <c r="F48" s="311">
        <f>Budget!F49</f>
        <v>130.38087113369883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5.7292180235316144</v>
      </c>
      <c r="F49" s="311">
        <f>Budget!F50</f>
        <v>5.7292180235316144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250.69444962786272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1086.3769604197639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-141.37696041976392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Corn, Pivot</v>
      </c>
      <c r="H1" s="1246"/>
      <c r="I1" s="1442"/>
    </row>
    <row r="2" spans="1:9" ht="15" customHeight="1" x14ac:dyDescent="0.4">
      <c r="A2" s="1806" t="str">
        <f>Print_Summary!G1</f>
        <v>Corn, Pivot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725010.81468609942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820">
        <f>Budget!D3</f>
        <v>210</v>
      </c>
      <c r="C6" s="1820"/>
      <c r="D6" s="1821">
        <f>B6*Print_Summary!$I$2</f>
        <v>210000</v>
      </c>
      <c r="E6" s="1097" t="s">
        <v>797</v>
      </c>
      <c r="F6" s="1541">
        <f>B6*0.9</f>
        <v>189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4.5</v>
      </c>
      <c r="C7" s="1097"/>
      <c r="D7" s="1823">
        <f>B7</f>
        <v>4.5</v>
      </c>
      <c r="E7" s="1097" t="s">
        <v>791</v>
      </c>
      <c r="F7" s="1542">
        <f>B7</f>
        <v>4.5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945</v>
      </c>
      <c r="C9" s="1826"/>
      <c r="D9" s="1827">
        <f>B9*Print_Summary!$I$2</f>
        <v>945000</v>
      </c>
      <c r="E9" s="667" t="s">
        <v>13</v>
      </c>
      <c r="F9" s="1828">
        <f>F6*F7</f>
        <v>850.5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$/bu.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124.48</v>
      </c>
      <c r="C13" s="1835">
        <f>B13/$B$6</f>
        <v>0.59276190476190482</v>
      </c>
      <c r="D13" s="1821">
        <f>B13*Print_Summary!$I$2</f>
        <v>124480</v>
      </c>
      <c r="E13" s="4"/>
      <c r="F13" s="1824">
        <f>B13/$F$9</f>
        <v>0.14636096413874192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302.14249999999998</v>
      </c>
      <c r="C14" s="1835">
        <f t="shared" ref="C14:C34" si="0">B14/$B$6</f>
        <v>1.4387738095238094</v>
      </c>
      <c r="D14" s="1821">
        <f>B14*Print_Summary!$I$2</f>
        <v>302142.5</v>
      </c>
      <c r="E14" s="4"/>
      <c r="F14" s="1824">
        <f t="shared" ref="F14:F19" si="1">B14/$F$9</f>
        <v>0.35525279247501468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53.767500000000005</v>
      </c>
      <c r="C15" s="1835">
        <f t="shared" si="0"/>
        <v>0.25603571428571431</v>
      </c>
      <c r="D15" s="1821">
        <f>B15*Print_Summary!$I$2</f>
        <v>53767.500000000007</v>
      </c>
      <c r="E15" s="4"/>
      <c r="F15" s="1824">
        <f t="shared" si="1"/>
        <v>6.3218694885361554E-2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57.5</v>
      </c>
      <c r="C16" s="1835">
        <f t="shared" si="0"/>
        <v>0.27380952380952384</v>
      </c>
      <c r="D16" s="1821">
        <f>B16*Print_Summary!$I$2</f>
        <v>57500</v>
      </c>
      <c r="E16" s="4"/>
      <c r="F16" s="1824">
        <f t="shared" si="1"/>
        <v>6.7607289829512057E-2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13.425973645668794</v>
      </c>
      <c r="C17" s="1835">
        <f t="shared" si="0"/>
        <v>6.3933207836518069E-2</v>
      </c>
      <c r="D17" s="1821">
        <f>B17*Print_Summary!$I$2</f>
        <v>13425.973645668793</v>
      </c>
      <c r="E17" s="4"/>
      <c r="F17" s="1824">
        <f t="shared" si="1"/>
        <v>1.5785977243584708E-2</v>
      </c>
    </row>
    <row r="18" spans="1:6" ht="13.9" x14ac:dyDescent="0.4">
      <c r="A18" s="1834" t="s">
        <v>227</v>
      </c>
      <c r="B18" s="1835">
        <f>Budget!F29</f>
        <v>61.790841052631592</v>
      </c>
      <c r="C18" s="1835">
        <f t="shared" si="0"/>
        <v>0.29424210025062664</v>
      </c>
      <c r="D18" s="1821">
        <f>B18*Print_Summary!$I$2</f>
        <v>61790.841052631593</v>
      </c>
      <c r="E18" s="4"/>
      <c r="F18" s="1824">
        <f t="shared" si="1"/>
        <v>7.2652370432253491E-2</v>
      </c>
    </row>
    <row r="19" spans="1:6" ht="13.9" x14ac:dyDescent="0.4">
      <c r="A19" s="1834" t="s">
        <v>421</v>
      </c>
      <c r="B19" s="1835">
        <f>Budget!F31+Budget!F32</f>
        <v>0</v>
      </c>
      <c r="C19" s="1835">
        <f t="shared" si="0"/>
        <v>0</v>
      </c>
      <c r="D19" s="1821">
        <f>B19*Print_Summary!$I$2</f>
        <v>0</v>
      </c>
      <c r="E19" s="4"/>
      <c r="F19" s="1824">
        <f t="shared" si="1"/>
        <v>0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613.10681469830024</v>
      </c>
      <c r="C20" s="1836">
        <f t="shared" si="0"/>
        <v>2.9195562604680965</v>
      </c>
      <c r="D20" s="1827">
        <f>B20*Print_Summary!$I$2</f>
        <v>613106.81469830021</v>
      </c>
      <c r="E20" s="308"/>
      <c r="F20" s="1837">
        <f t="shared" ref="F20:F28" si="2">B20/$F$9</f>
        <v>0.72087808900446826</v>
      </c>
    </row>
    <row r="21" spans="1:6" ht="13.9" x14ac:dyDescent="0.4">
      <c r="A21" s="1834" t="s">
        <v>778</v>
      </c>
      <c r="B21" s="1835">
        <f>Budget!F34+Budget!F35</f>
        <v>6</v>
      </c>
      <c r="C21" s="1835">
        <f t="shared" si="0"/>
        <v>2.8571428571428571E-2</v>
      </c>
      <c r="D21" s="1821">
        <f>B21*Print_Summary!$I$2</f>
        <v>6000</v>
      </c>
      <c r="E21" s="4"/>
      <c r="F21" s="1824">
        <f t="shared" si="2"/>
        <v>7.0546737213403876E-3</v>
      </c>
    </row>
    <row r="22" spans="1:6" ht="13.9" x14ac:dyDescent="0.4">
      <c r="A22" s="1834" t="s">
        <v>1</v>
      </c>
      <c r="B22" s="1835">
        <f>Budget!F36</f>
        <v>34</v>
      </c>
      <c r="C22" s="1835">
        <f t="shared" si="0"/>
        <v>0.16190476190476191</v>
      </c>
      <c r="D22" s="1821">
        <f>B22*Print_Summary!$I$2</f>
        <v>34000</v>
      </c>
      <c r="E22" s="4"/>
      <c r="F22" s="1824">
        <f t="shared" si="2"/>
        <v>3.9976484420928868E-2</v>
      </c>
    </row>
    <row r="23" spans="1:6" ht="13.9" x14ac:dyDescent="0.4">
      <c r="A23" s="1834" t="s">
        <v>749</v>
      </c>
      <c r="B23" s="1835">
        <f>Budget!F26+Budget!F28+Budget!F30</f>
        <v>37.772212433074053</v>
      </c>
      <c r="C23" s="1835">
        <f t="shared" si="0"/>
        <v>0.17986767825273359</v>
      </c>
      <c r="D23" s="1821">
        <f>B23*Print_Summary!$I$2</f>
        <v>37772.212433074055</v>
      </c>
      <c r="E23" s="4"/>
      <c r="F23" s="1824">
        <f t="shared" si="2"/>
        <v>4.4411772408082369E-2</v>
      </c>
    </row>
    <row r="24" spans="1:6" ht="13.9" x14ac:dyDescent="0.4">
      <c r="A24" s="1834" t="s">
        <v>214</v>
      </c>
      <c r="B24" s="1835">
        <f>Budget!F33</f>
        <v>34.131787554724994</v>
      </c>
      <c r="C24" s="1835">
        <f t="shared" si="0"/>
        <v>0.16253232168916665</v>
      </c>
      <c r="D24" s="1821">
        <f>B24*Print_Summary!$I$2</f>
        <v>34131.787554724993</v>
      </c>
      <c r="E24" s="4"/>
      <c r="F24" s="1824">
        <f t="shared" si="2"/>
        <v>4.0131437454115217E-2</v>
      </c>
    </row>
    <row r="25" spans="1:6" ht="13.5" x14ac:dyDescent="0.35">
      <c r="A25" s="1825" t="s">
        <v>640</v>
      </c>
      <c r="B25" s="1836">
        <f>SUM(Budget!F6:F18)+SUM(Budget!F20:F23)+SUM(Budget!F25:F36)</f>
        <v>725.01081468609937</v>
      </c>
      <c r="C25" s="1836">
        <f t="shared" si="0"/>
        <v>3.4524324508861874</v>
      </c>
      <c r="D25" s="1827">
        <f>B25*Print_Summary!$I$2</f>
        <v>725010.81468609942</v>
      </c>
      <c r="E25" s="308"/>
      <c r="F25" s="1837">
        <f t="shared" si="2"/>
        <v>0.85245245700893513</v>
      </c>
    </row>
    <row r="26" spans="1:6" ht="13.9" x14ac:dyDescent="0.4">
      <c r="A26" s="1834" t="s">
        <v>28</v>
      </c>
      <c r="B26" s="1835">
        <f>Budget!F37</f>
        <v>29.906696105801601</v>
      </c>
      <c r="C26" s="1835">
        <f t="shared" si="0"/>
        <v>0.14241283859905524</v>
      </c>
      <c r="D26" s="1821">
        <f>B26*Print_Summary!$I$2</f>
        <v>29906.696105801602</v>
      </c>
      <c r="E26" s="4"/>
      <c r="F26" s="1824">
        <f t="shared" si="2"/>
        <v>3.5163663851618579E-2</v>
      </c>
    </row>
    <row r="27" spans="1:6" ht="13.9" x14ac:dyDescent="0.4">
      <c r="A27" s="1834" t="s">
        <v>228</v>
      </c>
      <c r="B27" s="1835">
        <f>SUM(Budget!F39:F43)</f>
        <v>94.5</v>
      </c>
      <c r="C27" s="1835">
        <f t="shared" si="0"/>
        <v>0.45</v>
      </c>
      <c r="D27" s="1821">
        <f>B27*Print_Summary!$I$2</f>
        <v>94500</v>
      </c>
      <c r="E27" s="4"/>
      <c r="F27" s="1824">
        <f t="shared" si="2"/>
        <v>0.1111111111111111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849.41751079190101</v>
      </c>
      <c r="C29" s="1836">
        <f t="shared" si="0"/>
        <v>4.0448452894852425</v>
      </c>
      <c r="D29" s="1827">
        <f>B29*Print_Summary!$I$2</f>
        <v>849417.51079190103</v>
      </c>
      <c r="E29" s="308"/>
      <c r="F29" s="1824"/>
    </row>
    <row r="30" spans="1:6" ht="13.5" x14ac:dyDescent="0.35">
      <c r="A30" s="1825" t="s">
        <v>233</v>
      </c>
      <c r="B30" s="1826">
        <f>B9-B29-B31</f>
        <v>95.582489208098991</v>
      </c>
      <c r="C30" s="1826">
        <f t="shared" si="0"/>
        <v>0.45515471051475709</v>
      </c>
      <c r="D30" s="1827">
        <f>B30*Print_Summary!$I$2</f>
        <v>95582.489208098996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250.69444962786272</v>
      </c>
      <c r="C32" s="1835">
        <f t="shared" si="0"/>
        <v>1.193783093466013</v>
      </c>
      <c r="D32" s="1821">
        <f>B32*Print_Summary!$I$2</f>
        <v>250694.44962786272</v>
      </c>
      <c r="E32" s="4"/>
      <c r="F32" s="1824">
        <f>B32/$F$9</f>
        <v>0.29476125764592914</v>
      </c>
    </row>
    <row r="33" spans="1:6" ht="13.5" x14ac:dyDescent="0.35">
      <c r="A33" s="1825" t="s">
        <v>650</v>
      </c>
      <c r="B33" s="1836">
        <f>B29+B32</f>
        <v>1100.1119604197638</v>
      </c>
      <c r="C33" s="1836">
        <f t="shared" si="0"/>
        <v>5.2386283829512559</v>
      </c>
      <c r="D33" s="1827">
        <f>B33*Print_Summary!$I$2</f>
        <v>1100111.9604197638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-155.11196041976382</v>
      </c>
      <c r="C34" s="1826">
        <f t="shared" si="0"/>
        <v>-0.73862838295125632</v>
      </c>
      <c r="D34" s="1827">
        <f>B34*Print_Summary!$I$2</f>
        <v>-155111.96041976381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Expenses/bu.</v>
      </c>
      <c r="B36" s="1097">
        <f>B29/B6</f>
        <v>4.0448452894852425</v>
      </c>
      <c r="C36" s="1097"/>
      <c r="D36" s="1823">
        <f>D29/D6</f>
        <v>4.0448452894852434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Expenses/bu.</v>
      </c>
      <c r="B37" s="1097">
        <f>B33/B6</f>
        <v>5.2386283829512559</v>
      </c>
      <c r="C37" s="1097"/>
      <c r="D37" s="1823">
        <f>D33/D6</f>
        <v>5.2386283829512559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2. 2026 Corn Enterprise Budget, Stacked Gene, Center Pivot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2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Corn, Pivot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1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Thous</v>
      </c>
      <c r="E11" s="183" t="str">
        <f>LOOKUP(C4,F3:F52,J3:J52)</f>
        <v>Thous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2. Details of Chemicals Applied, Corn, Pivot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2. Machinery Capital Recovery and Operating Costs, Corn, Pivot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2. 2026 Corn Enterprise Budget, Stacked Gene, Center Pivot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122.16249999999999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849.41751079190101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114.58436047063228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250.69444962786272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-155.11196041976382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0.1575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210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210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210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210</v>
      </c>
      <c r="J30" s="900"/>
    </row>
    <row r="31" spans="2:10" ht="12.75" customHeight="1" x14ac:dyDescent="0.4">
      <c r="B31" s="901">
        <f>IF(A2_Budget_Look_Up!B13&gt;0,Budget!D3*Budget!B41,I31)</f>
        <v>210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210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1560</v>
      </c>
      <c r="H6" s="288">
        <f>((B6*F6)/G6)*Budget!$D$29</f>
        <v>21.153629990373382</v>
      </c>
      <c r="I6" s="284"/>
      <c r="J6" s="301"/>
      <c r="K6" s="820">
        <f>((B6*M6)/G6)*Irrigation!L6</f>
        <v>0.24358974358974358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0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1560</v>
      </c>
      <c r="H7" s="288">
        <f>((B7*F7)/G7)*Budget!$D$29</f>
        <v>0</v>
      </c>
      <c r="I7" s="284"/>
      <c r="J7" s="301"/>
      <c r="K7" s="820">
        <f>((B7*M7)/G7)*Irrigation!L7</f>
        <v>0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27444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1560</v>
      </c>
      <c r="H8" s="288">
        <f>((B8*F8)/G8)*Budget!$D$29</f>
        <v>30.554748497674051</v>
      </c>
      <c r="I8" s="284"/>
      <c r="J8" s="842"/>
      <c r="K8" s="820">
        <f>((B8*M8)/G8)*Irrigation!L8</f>
        <v>0.35184615384615386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66594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1560</v>
      </c>
      <c r="H9" s="288">
        <f>((B9*F9)/G9)*Budget!$D$29</f>
        <v>65.469186790879618</v>
      </c>
      <c r="I9" s="284"/>
      <c r="J9" s="842"/>
      <c r="K9" s="821">
        <f>((B9*M9)/G9)*Irrigation!L9</f>
        <v>0.42688461538461542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126.76402497985268</v>
      </c>
      <c r="I10" s="292"/>
      <c r="J10" s="842"/>
      <c r="K10" s="829">
        <f>SUM(K4:K9)</f>
        <v>1.0223205128205128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0</v>
      </c>
      <c r="D12" s="970">
        <f>IF(Irrigation!B2=2,IF(OR(Irrigation!B7=1,Irrigation!B7&gt;3),Irrigation!E13,0),0)</f>
        <v>21344</v>
      </c>
      <c r="E12" s="282"/>
      <c r="F12" s="970">
        <f>IF(Irrigation!B2=2,IF(OR(Irrigation!B7=1,Irrigation!B7&gt;3),Irrigation!E16,0),0)</f>
        <v>6100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1560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1560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189.3</v>
      </c>
      <c r="C21" s="694">
        <f t="shared" si="1"/>
        <v>189.3</v>
      </c>
      <c r="D21" s="694">
        <f t="shared" si="1"/>
        <v>189.3</v>
      </c>
      <c r="E21" s="694">
        <f t="shared" si="1"/>
        <v>189.3</v>
      </c>
      <c r="F21" s="694">
        <f t="shared" si="1"/>
        <v>189.3</v>
      </c>
      <c r="G21" s="694">
        <f t="shared" si="1"/>
        <v>189.3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4.4136315037593992</v>
      </c>
      <c r="C26" s="696">
        <f>C22*((0.11345/(C23*C24*C25))*C21)</f>
        <v>0.3548222739130435</v>
      </c>
      <c r="D26" s="696">
        <f>D22*((0.11345/(D23*D24))*D21)</f>
        <v>0.38861487142857143</v>
      </c>
      <c r="E26" s="696">
        <f>E22*((0.11345/(E23*E24*E25))*E21)</f>
        <v>2.3898199849624064</v>
      </c>
      <c r="F26" s="696">
        <f>F22*((0.11345/(F23*F24*F25))*F21)</f>
        <v>4.6974348598769664</v>
      </c>
      <c r="G26" s="696">
        <f>G22*((0.11345/(G23*G24*G25))*G21)</f>
        <v>6.9972206766917298</v>
      </c>
      <c r="H26" s="697" t="s">
        <v>110</v>
      </c>
      <c r="I26" s="387">
        <f>SUM(B34:G34)</f>
        <v>4.4136315037593992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470.19000000000005</v>
      </c>
      <c r="L26" s="957">
        <f>K26/IF(Irrigation!B2=2,Irrigation!I15,Irrigation!I14)</f>
        <v>3.6168461538461543</v>
      </c>
      <c r="M26" s="301"/>
    </row>
    <row r="27" spans="1:13" x14ac:dyDescent="0.35">
      <c r="A27" s="706" t="s">
        <v>109</v>
      </c>
      <c r="B27" s="695">
        <f>B26*Budget!D29</f>
        <v>61.790841052631592</v>
      </c>
      <c r="C27" s="696">
        <f>C26*Budget!D29</f>
        <v>4.9675118347826093</v>
      </c>
      <c r="D27" s="696">
        <f>D26*Budget!D29</f>
        <v>5.4406081999999998</v>
      </c>
      <c r="E27" s="696">
        <f>E26*Budget!D29</f>
        <v>33.457479789473688</v>
      </c>
      <c r="F27" s="696">
        <f>F26*Budget!D29</f>
        <v>65.764088038277535</v>
      </c>
      <c r="G27" s="696">
        <f>G26*Budget!D29</f>
        <v>97.961089473684211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1.0223205128205128</v>
      </c>
      <c r="C29" s="288">
        <f t="shared" si="2"/>
        <v>1.0223205128205128</v>
      </c>
      <c r="D29" s="288">
        <f t="shared" si="2"/>
        <v>1.0223205128205128</v>
      </c>
      <c r="E29" s="288">
        <f t="shared" si="2"/>
        <v>1.0223205128205128</v>
      </c>
      <c r="F29" s="288">
        <f t="shared" si="2"/>
        <v>1.0223205128205128</v>
      </c>
      <c r="G29" s="709">
        <f t="shared" si="2"/>
        <v>1.0223205128205128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4.8549946541353393</v>
      </c>
      <c r="C30" s="698">
        <f>(1+C28)*C26</f>
        <v>0.36546694213043479</v>
      </c>
      <c r="D30" s="698">
        <f>(1+D28)*D26</f>
        <v>0.41581791242857147</v>
      </c>
      <c r="E30" s="698">
        <f>(1+E28)*E26</f>
        <v>2.6765983831578954</v>
      </c>
      <c r="F30" s="698">
        <f>(1+F28)*F26</f>
        <v>5.2611270430622028</v>
      </c>
      <c r="G30" s="698">
        <f>(1+G28)*G26</f>
        <v>8.0468037781954891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58.259935849624071</v>
      </c>
      <c r="C31" s="699">
        <f t="shared" si="3"/>
        <v>4.3856033055652173</v>
      </c>
      <c r="D31" s="699">
        <f t="shared" si="3"/>
        <v>4.9898149491428576</v>
      </c>
      <c r="E31" s="699">
        <f t="shared" si="3"/>
        <v>32.119180597894747</v>
      </c>
      <c r="F31" s="699">
        <f t="shared" si="3"/>
        <v>63.133524516746434</v>
      </c>
      <c r="G31" s="712">
        <f t="shared" si="3"/>
        <v>96.561645338345869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14.31248717948718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14.31248717948718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4.4136315037593992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189.3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0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8.0000000000000002E-3</v>
      </c>
    </row>
    <row r="40" spans="1:13" ht="13.15" x14ac:dyDescent="0.4">
      <c r="A40" s="304"/>
      <c r="B40" s="305">
        <f>IF(Irrigation!B2=2,30,0)</f>
        <v>30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8.0000000000000002E-3</v>
      </c>
    </row>
    <row r="41" spans="1:13" ht="13.5" thickBot="1" x14ac:dyDescent="0.45">
      <c r="A41" s="304"/>
      <c r="B41" s="305">
        <f>SUM(B39:B40)</f>
        <v>30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0.112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1560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1560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1560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1560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0</v>
      </c>
      <c r="D55" s="970">
        <f>IF(Irrigation!B2=2,IF(OR(Irrigation!B7=1,Irrigation!B7&gt;3),Irrigation!E13,0),0)</f>
        <v>21344</v>
      </c>
      <c r="E55" s="282"/>
      <c r="F55" s="970">
        <f>IF(Irrigation!B2=2,IF(OR(Irrigation!B7=1,Irrigation!B7&gt;3),Irrigation!E16,0),0)</f>
        <v>6100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1560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1560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189.3</v>
      </c>
      <c r="C64" s="694">
        <f t="shared" si="5"/>
        <v>189.3</v>
      </c>
      <c r="D64" s="694">
        <f t="shared" si="5"/>
        <v>189.3</v>
      </c>
      <c r="E64" s="694">
        <f t="shared" si="5"/>
        <v>189.3</v>
      </c>
      <c r="F64" s="694">
        <f t="shared" si="5"/>
        <v>189.3</v>
      </c>
      <c r="G64" s="694">
        <f t="shared" si="5"/>
        <v>189.3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4.4136315037593992</v>
      </c>
      <c r="C69" s="696">
        <f>C65*((0.11345/(C66*C67*C68))*C64)</f>
        <v>0.3548222739130435</v>
      </c>
      <c r="D69" s="696">
        <f>D65*((0.11345/(D66*D67))*D64)</f>
        <v>0.38861487142857143</v>
      </c>
      <c r="E69" s="696">
        <f>E65*((0.11345/(E66*E67*E68))*E64)</f>
        <v>2.3898199849624064</v>
      </c>
      <c r="F69" s="696">
        <f>F65*((0.11345/(F66*F67*F68))*F64)</f>
        <v>4.6974348598769664</v>
      </c>
      <c r="G69" s="696">
        <f>G65*((0.11345/(G66*G67*G68))*G64)</f>
        <v>6.9972206766917298</v>
      </c>
      <c r="H69" s="697" t="s">
        <v>110</v>
      </c>
      <c r="I69" s="387">
        <f>SUM(B77:G77)</f>
        <v>4.4136315037593992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61.790841052631592</v>
      </c>
      <c r="C70" s="696">
        <f>C69*Budget!D29</f>
        <v>4.9675118347826093</v>
      </c>
      <c r="D70" s="696">
        <f>D69*Budget!D29</f>
        <v>5.4406081999999998</v>
      </c>
      <c r="E70" s="696">
        <f>E69*Budget!D29</f>
        <v>33.457479789473688</v>
      </c>
      <c r="F70" s="696">
        <f>F69*Budget!D29</f>
        <v>65.764088038277535</v>
      </c>
      <c r="G70" s="696">
        <f>G69*Budget!D29</f>
        <v>97.961089473684211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4.8549946541353393</v>
      </c>
      <c r="C73" s="698">
        <f>(1+C71)*C69</f>
        <v>0.36546694213043479</v>
      </c>
      <c r="D73" s="698">
        <f>(1+D71)*D69</f>
        <v>0.41581791242857147</v>
      </c>
      <c r="E73" s="698">
        <f>(1+E71)*E69</f>
        <v>2.6765983831578954</v>
      </c>
      <c r="F73" s="698">
        <f>(1+F71)*F69</f>
        <v>5.2611270430622028</v>
      </c>
      <c r="G73" s="698">
        <f>(1+G71)*G69</f>
        <v>8.0468037781954891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58.259935849624071</v>
      </c>
      <c r="C74" s="699">
        <f t="shared" si="7"/>
        <v>4.3856033055652173</v>
      </c>
      <c r="D74" s="699">
        <f t="shared" si="7"/>
        <v>4.9898149491428576</v>
      </c>
      <c r="E74" s="699">
        <f t="shared" si="7"/>
        <v>32.119180597894747</v>
      </c>
      <c r="F74" s="699">
        <f t="shared" si="7"/>
        <v>63.133524516746434</v>
      </c>
      <c r="G74" s="712">
        <f t="shared" si="7"/>
        <v>96.561645338345869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4.4136315037593992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189.3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0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8.0000000000000002E-3</v>
      </c>
    </row>
    <row r="83" spans="1:13" ht="13.15" x14ac:dyDescent="0.4">
      <c r="A83" s="304"/>
      <c r="B83" s="305">
        <f>IF(Irrigation!B2=2,30,0)</f>
        <v>30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8.0000000000000002E-3</v>
      </c>
    </row>
    <row r="84" spans="1:13" ht="13.5" thickBot="1" x14ac:dyDescent="0.45">
      <c r="A84" s="304"/>
      <c r="B84" s="305">
        <f>SUM(B82:B83)</f>
        <v>30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0.112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Corn, Pivot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096">
        <f>Budget!D3</f>
        <v>210</v>
      </c>
      <c r="C6" s="1822">
        <f>B6*Print_Summary!$I$2</f>
        <v>210000</v>
      </c>
      <c r="D6" s="1845"/>
      <c r="E6" s="1096">
        <f t="shared" si="0"/>
        <v>210</v>
      </c>
      <c r="F6" s="1821">
        <f t="shared" si="0"/>
        <v>210000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4.5</v>
      </c>
      <c r="C7" s="1097">
        <f>B7</f>
        <v>4.5</v>
      </c>
      <c r="D7" s="1846"/>
      <c r="E7" s="1097">
        <f t="shared" si="0"/>
        <v>4.5</v>
      </c>
      <c r="F7" s="1847">
        <f t="shared" si="0"/>
        <v>4.5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945</v>
      </c>
      <c r="C9" s="1829">
        <f>B9*Print_Summary!$I$2</f>
        <v>945000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124.48</v>
      </c>
      <c r="C13" s="1822">
        <f>B13*Print_Summary!$I$2</f>
        <v>124480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4.3049999999999926</v>
      </c>
    </row>
    <row r="14" spans="1:9" ht="13.9" x14ac:dyDescent="0.4">
      <c r="A14" s="1834" t="s">
        <v>224</v>
      </c>
      <c r="B14" s="1835">
        <f>SUM(Budget!F7:F13)</f>
        <v>302.14249999999998</v>
      </c>
      <c r="C14" s="1822">
        <f>B14*Print_Summary!$I$2</f>
        <v>302142.5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211.3537</v>
      </c>
    </row>
    <row r="15" spans="1:9" ht="13.9" x14ac:dyDescent="0.4">
      <c r="A15" s="1834" t="s">
        <v>494</v>
      </c>
      <c r="B15" s="1835">
        <f>SUM(Budget!F14:F18)</f>
        <v>53.767500000000005</v>
      </c>
      <c r="C15" s="1822">
        <f>B15*Print_Summary!$I$2</f>
        <v>53767.500000000007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-155.28499999999997</v>
      </c>
    </row>
    <row r="16" spans="1:9" ht="13.9" x14ac:dyDescent="0.4">
      <c r="A16" s="1834" t="s">
        <v>225</v>
      </c>
      <c r="B16" s="1835">
        <f>SUM(Budget!F20:F23)</f>
        <v>57.5</v>
      </c>
      <c r="C16" s="1822">
        <f>B16*Print_Summary!$I$2</f>
        <v>57500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43.5</v>
      </c>
    </row>
    <row r="17" spans="1:9" ht="13.9" x14ac:dyDescent="0.4">
      <c r="A17" s="1834" t="s">
        <v>462</v>
      </c>
      <c r="B17" s="1835">
        <f>Budget!F25+Budget!F27</f>
        <v>13.425973645668794</v>
      </c>
      <c r="C17" s="1822">
        <f>B17*Print_Summary!$I$2</f>
        <v>13425.973645668793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-14.640890103228227</v>
      </c>
    </row>
    <row r="18" spans="1:9" ht="13.9" x14ac:dyDescent="0.4">
      <c r="A18" s="1834" t="s">
        <v>227</v>
      </c>
      <c r="B18" s="1835">
        <f>Budget!F29</f>
        <v>61.790841052631592</v>
      </c>
      <c r="C18" s="1822">
        <f>B18*Print_Summary!$I$2</f>
        <v>61790.841052631593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26.640380180451139</v>
      </c>
    </row>
    <row r="19" spans="1:9" ht="13.9" x14ac:dyDescent="0.4">
      <c r="A19" s="1834" t="s">
        <v>780</v>
      </c>
      <c r="B19" s="1835">
        <f>Budget!F31+Budget!F32</f>
        <v>0</v>
      </c>
      <c r="C19" s="1822">
        <f>B19*Print_Summary!$I$2</f>
        <v>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-3.45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613.10681469830024</v>
      </c>
      <c r="C20" s="1827">
        <f>B20*Print_Summary!$I$2</f>
        <v>613106.81469830021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112.42319007722278</v>
      </c>
    </row>
    <row r="21" spans="1:9" ht="13.9" x14ac:dyDescent="0.4">
      <c r="A21" s="1834" t="s">
        <v>778</v>
      </c>
      <c r="B21" s="1835">
        <f>Budget!F34+Budget!F35</f>
        <v>6</v>
      </c>
      <c r="C21" s="1822">
        <f>B21*Print_Summary!$I$2</f>
        <v>6000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-18</v>
      </c>
    </row>
    <row r="22" spans="1:9" ht="13.9" x14ac:dyDescent="0.4">
      <c r="A22" s="1834" t="s">
        <v>1</v>
      </c>
      <c r="B22" s="1835">
        <f>Budget!F36</f>
        <v>34</v>
      </c>
      <c r="C22" s="1822">
        <f>B22*Print_Summary!$I$2</f>
        <v>34000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34</v>
      </c>
    </row>
    <row r="23" spans="1:9" ht="15.4" x14ac:dyDescent="0.4">
      <c r="A23" s="1834" t="s">
        <v>750</v>
      </c>
      <c r="B23" s="1835">
        <f>Budget!F26+Budget!F28+Budget!F30</f>
        <v>37.772212433074053</v>
      </c>
      <c r="C23" s="1822">
        <f>B23*Print_Summary!$I$2</f>
        <v>37772.212433074055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4.7479686290205763</v>
      </c>
    </row>
    <row r="24" spans="1:9" ht="15" customHeight="1" x14ac:dyDescent="0.4">
      <c r="A24" s="1834" t="s">
        <v>214</v>
      </c>
      <c r="B24" s="1835">
        <f>Budget!F33</f>
        <v>34.131787554724994</v>
      </c>
      <c r="C24" s="1822">
        <f>B24*Print_Summary!$I$2</f>
        <v>34131.787554724993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10.803941730246006</v>
      </c>
    </row>
    <row r="25" spans="1:9" ht="15" customHeight="1" x14ac:dyDescent="0.4">
      <c r="A25" s="1825" t="s">
        <v>640</v>
      </c>
      <c r="B25" s="1836">
        <f>SUM(Budget!F6:F18)+SUM(Budget!F20:F23)+SUM(Budget!F25:F36)</f>
        <v>725.01081468609937</v>
      </c>
      <c r="C25" s="1829">
        <f>B25*Print_Summary!$I$2</f>
        <v>725010.81468609942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143.97510043648947</v>
      </c>
    </row>
    <row r="26" spans="1:9" ht="13.9" x14ac:dyDescent="0.4">
      <c r="A26" s="1834" t="s">
        <v>28</v>
      </c>
      <c r="B26" s="1835">
        <f>Budget!F37</f>
        <v>29.906696105801601</v>
      </c>
      <c r="C26" s="1822">
        <f>B26*Print_Summary!$I$2</f>
        <v>29906.696105801602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16.107097892373361</v>
      </c>
    </row>
    <row r="27" spans="1:9" ht="13.9" x14ac:dyDescent="0.4">
      <c r="A27" s="1834" t="s">
        <v>228</v>
      </c>
      <c r="B27" s="1835">
        <f>SUM(Budget!F39:F43)</f>
        <v>94.5</v>
      </c>
      <c r="C27" s="1822">
        <f>B27*Print_Summary!$I$2</f>
        <v>94500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-50.28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849.41751079190101</v>
      </c>
      <c r="C29" s="1829">
        <f>B29*Print_Summary!$I$2</f>
        <v>849417.51079190103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254.58219832886277</v>
      </c>
    </row>
    <row r="30" spans="1:9" ht="13.9" x14ac:dyDescent="0.4">
      <c r="A30" s="1825" t="s">
        <v>233</v>
      </c>
      <c r="B30" s="1826">
        <f>B9-B29-B31</f>
        <v>95.582489208098991</v>
      </c>
      <c r="C30" s="1829">
        <f>B30*Print_Summary!$I$2</f>
        <v>95582.489208098996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-89.582198328862773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250.69444962786272</v>
      </c>
      <c r="C32" s="1822">
        <f>B32*Print_Summary!$I$2</f>
        <v>250694.44962786272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72.099459689738694</v>
      </c>
    </row>
    <row r="33" spans="1:9" ht="13.9" x14ac:dyDescent="0.4">
      <c r="A33" s="1825" t="s">
        <v>650</v>
      </c>
      <c r="B33" s="1836">
        <f>B29+B32</f>
        <v>1100.1119604197638</v>
      </c>
      <c r="C33" s="1829">
        <f>B33*Print_Summary!$I$2</f>
        <v>1100111.9604197638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326.68165801860152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-155.11196041976382</v>
      </c>
      <c r="C34" s="1829">
        <f>B34*Print_Summary!$I$2</f>
        <v>-155111.96041976381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-161.68165801860152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Expenses/bu.</v>
      </c>
      <c r="B36" s="1097">
        <f>B29/B6</f>
        <v>4.0448452894852425</v>
      </c>
      <c r="C36" s="1097">
        <f>C29/C6</f>
        <v>4.0448452894852434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Expenses/bu.</v>
      </c>
      <c r="B37" s="1839">
        <f>B33/B6</f>
        <v>5.2386283829512559</v>
      </c>
      <c r="C37" s="1839">
        <f>C33/C6</f>
        <v>5.2386283829512559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-3.446932453772529E-2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2. 2026 Corn Enterprise Budget, Stacked Gene, Center Pivot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Bu.</v>
      </c>
      <c r="D3" s="398">
        <f>A3_Production_Look_Up!B4</f>
        <v>210</v>
      </c>
      <c r="E3" s="1258">
        <f>A3_Production_Look_Up!B5</f>
        <v>4.5</v>
      </c>
      <c r="F3" s="9">
        <f>IF('C1_Messages_Indicators'!B3=1,(D3*E3*B3),"Error")</f>
        <v>945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Thous</v>
      </c>
      <c r="D6" s="552">
        <f>Seed_Chemical!E4</f>
        <v>32</v>
      </c>
      <c r="E6" s="10">
        <f>Seed_Chemical!D4</f>
        <v>3.89</v>
      </c>
      <c r="F6" s="9">
        <f t="shared" ref="F6:F11" si="0">D6*E6*B6</f>
        <v>124.48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435</v>
      </c>
      <c r="E7" s="10">
        <f>Fertilizer!E3</f>
        <v>0.28083333333333332</v>
      </c>
      <c r="F7" s="9">
        <f t="shared" si="0"/>
        <v>122.16249999999999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175</v>
      </c>
      <c r="E8" s="10">
        <f>Fertilizer!E4</f>
        <v>0.40500000000000003</v>
      </c>
      <c r="F8" s="9">
        <f t="shared" si="0"/>
        <v>70.875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130</v>
      </c>
      <c r="E9" s="10">
        <f>Fertilizer!E5</f>
        <v>0.22</v>
      </c>
      <c r="F9" s="9">
        <f t="shared" si="0"/>
        <v>28.6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100</v>
      </c>
      <c r="E10" s="10">
        <f>Fertilizer!E6</f>
        <v>0.26750000000000002</v>
      </c>
      <c r="F10" s="9">
        <f t="shared" si="0"/>
        <v>26.75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Zinc Sulfate 33%</v>
      </c>
      <c r="B11" s="33">
        <v>1</v>
      </c>
      <c r="C11" s="8" t="str">
        <f>Fertilizer!C7</f>
        <v>Lbs</v>
      </c>
      <c r="D11" s="10">
        <f>Fertilizer!D7</f>
        <v>29</v>
      </c>
      <c r="E11" s="10">
        <f>Fertilizer!E7</f>
        <v>1.38</v>
      </c>
      <c r="F11" s="9">
        <f t="shared" si="0"/>
        <v>40.019999999999996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0.16750000000000001</v>
      </c>
      <c r="E12" s="10">
        <f>Fertilizer!E8</f>
        <v>82</v>
      </c>
      <c r="F12" s="9">
        <f>D12*E12*B12</f>
        <v>13.735000000000001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53.767500000000005</v>
      </c>
      <c r="F14" s="9">
        <f t="shared" si="1"/>
        <v>53.767500000000005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0</v>
      </c>
      <c r="F15" s="9">
        <f t="shared" si="1"/>
        <v>0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Fungicide</v>
      </c>
      <c r="B16" s="33">
        <v>1</v>
      </c>
      <c r="C16" s="8" t="s">
        <v>4</v>
      </c>
      <c r="D16" s="8">
        <v>1</v>
      </c>
      <c r="E16" s="10">
        <f>Seed_Chemical!F46</f>
        <v>0</v>
      </c>
      <c r="F16" s="9">
        <f t="shared" si="1"/>
        <v>0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Other Chemical</v>
      </c>
      <c r="B17" s="33">
        <v>1</v>
      </c>
      <c r="C17" s="8" t="s">
        <v>4</v>
      </c>
      <c r="D17" s="8">
        <v>1</v>
      </c>
      <c r="E17" s="10">
        <f>Seed_Chemical!F57</f>
        <v>0</v>
      </c>
      <c r="F17" s="9">
        <f t="shared" si="1"/>
        <v>0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0</v>
      </c>
      <c r="F18" s="9">
        <f t="shared" si="1"/>
        <v>0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5</v>
      </c>
      <c r="E20" s="2">
        <v>9.5</v>
      </c>
      <c r="F20" s="9">
        <f>D20*E20*B20</f>
        <v>47.5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0</v>
      </c>
      <c r="E21" s="2">
        <v>10</v>
      </c>
      <c r="F21" s="9">
        <f>D21*E21*B21</f>
        <v>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100</v>
      </c>
      <c r="E22" s="2">
        <v>0.1</v>
      </c>
      <c r="F22" s="9">
        <f>ROUND(D22*E22*B22,-1)</f>
        <v>10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2.3759169457256584</v>
      </c>
      <c r="E25" s="18">
        <f>Irrigation!B14</f>
        <v>2.46</v>
      </c>
      <c r="F25" s="9">
        <f t="shared" ref="F25:F36" si="2">D25*E25*B25</f>
        <v>5.8447556864851196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6.4220053427833932</v>
      </c>
      <c r="F26" s="9">
        <f t="shared" si="2"/>
        <v>6.4220053427833932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3.0817959183673476</v>
      </c>
      <c r="E27" s="18">
        <f>Irrigation!B14</f>
        <v>2.46</v>
      </c>
      <c r="F27" s="9">
        <f t="shared" si="2"/>
        <v>7.5812179591836752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17.037719910803478</v>
      </c>
      <c r="F28" s="9">
        <f t="shared" si="2"/>
        <v>17.037719910803478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14</v>
      </c>
      <c r="E29" s="10">
        <f>'C2_Irrigation_Calculations'!I26*'C1_Messages_Indicators'!B34</f>
        <v>4.4136315037593992</v>
      </c>
      <c r="F29" s="9">
        <f t="shared" si="2"/>
        <v>61.790841052631592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14</v>
      </c>
      <c r="E30" s="10">
        <f>IF(D29&gt;0,('C2_Irrigation_Calculations'!I33/D29),0)</f>
        <v>1.0223205128205128</v>
      </c>
      <c r="F30" s="9">
        <f>D30*E30</f>
        <v>14.31248717948718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Other Inputs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</v>
      </c>
      <c r="F32" s="9">
        <f t="shared" si="2"/>
        <v>0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2.301536584944369</v>
      </c>
      <c r="E33" s="316">
        <v>14.83</v>
      </c>
      <c r="F33" s="9">
        <f t="shared" si="2"/>
        <v>34.131787554724994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6</v>
      </c>
      <c r="F34" s="9">
        <f t="shared" si="2"/>
        <v>6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0</v>
      </c>
      <c r="F35" s="9">
        <f t="shared" si="2"/>
        <v>0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34</v>
      </c>
      <c r="F36" s="9">
        <f t="shared" si="2"/>
        <v>34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725.01081468609937</v>
      </c>
      <c r="F37" s="9">
        <f>((D37/100)*Program_Variables!D34)*SUM(F6:F36)*B37</f>
        <v>29.906696105801601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Drying</v>
      </c>
      <c r="B40" s="33">
        <v>1</v>
      </c>
      <c r="C40" s="8" t="str">
        <f>IF(A2_Budget_Look_Up!B7=1,"Lbs",'C1_Messages_Indicators'!B25)</f>
        <v>Bu.</v>
      </c>
      <c r="D40" s="10">
        <f>IF(A2_Budget_Look_Up!B13&lt;1,Program_Variables!E40,D3*B40)</f>
        <v>210</v>
      </c>
      <c r="E40" s="2">
        <f>A3_Production_Look_Up!B37</f>
        <v>0.19</v>
      </c>
      <c r="F40" s="9">
        <f>D40*E40*B40</f>
        <v>39.9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Hauling</v>
      </c>
      <c r="B41" s="33">
        <v>1</v>
      </c>
      <c r="C41" s="8" t="str">
        <f>IF(A2_Budget_Look_Up!B7=1,"Bale",'C1_Messages_Indicators'!I25)</f>
        <v>Bu.</v>
      </c>
      <c r="D41" s="15">
        <f>IF(A2_Budget_Look_Up!B7=1,D40/Program_Variables!C36,'C1_Messages_Indicators'!B30)</f>
        <v>210</v>
      </c>
      <c r="E41" s="2">
        <f>A3_Production_Look_Up!B38</f>
        <v>0.25</v>
      </c>
      <c r="F41" s="9">
        <f>D41*E41*B41</f>
        <v>52.5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</v>
      </c>
      <c r="B42" s="33">
        <v>1</v>
      </c>
      <c r="C42" s="8" t="str">
        <f>IF(A2_Budget_Look_Up!B7=1,"Bale",'C1_Messages_Indicators'!I26)</f>
        <v>Bu.</v>
      </c>
      <c r="D42" s="15">
        <f>IF(AND(A2_Budget_Look_Up!B13&lt;1,A2_Budget_Look_Up!B14&lt;1),'C1_Messages_Indicators'!B24,'C1_Messages_Indicators'!B31)</f>
        <v>210</v>
      </c>
      <c r="E42" s="1963">
        <f>A3_Production_Look_Up!B39</f>
        <v>0.01</v>
      </c>
      <c r="F42" s="9">
        <f>D42*E42*B42</f>
        <v>2.1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849.41751079190101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95.582489208098991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114.58436047063228</v>
      </c>
      <c r="F48" s="9">
        <f>D48*E48</f>
        <v>114.58436047063228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130.38087113369883</v>
      </c>
      <c r="F49" s="9">
        <f>D49*E49</f>
        <v>130.38087113369883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5.7292180235316144</v>
      </c>
      <c r="F50" s="9">
        <f>D50*E50</f>
        <v>5.7292180235316144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250.69444962786272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1100.1119604197638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-155.11196041976382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435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175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435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130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100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Zinc Sulfate 33%</v>
      </c>
      <c r="C7" s="1508" t="str">
        <f>Program_Variables!D10</f>
        <v>Lbs</v>
      </c>
      <c r="D7" s="1443">
        <f>A3_Production_Look_Up!B17</f>
        <v>29</v>
      </c>
      <c r="E7" s="1890">
        <f>Program_Variables!E10</f>
        <v>1.38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0.16750000000000001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200.10000000000002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Thous</v>
      </c>
      <c r="D4" s="1585">
        <f>A3_Production_Look_Up!B43</f>
        <v>3.89</v>
      </c>
      <c r="E4" s="1586">
        <f>A3_Production_Look_Up!B45</f>
        <v>32</v>
      </c>
      <c r="F4" s="1587">
        <f>D4*E4</f>
        <v>124.48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Thous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124.48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pt</v>
      </c>
      <c r="D12" s="1601">
        <f>IF(A5_Chem_Look_Up!$F6&gt;0,A5_Chem_Look_Up!D6,0)</f>
        <v>2.25</v>
      </c>
      <c r="E12" s="1586">
        <f>IF(A5_Chem_Look_Up!$F6&gt;0,A5_Chem_Look_Up!E6,0)</f>
        <v>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2,4-D</v>
      </c>
      <c r="B13" s="1602" t="str">
        <f>IF(A5_Chem_Look_Up!$F7&gt;0,A5_Chem_Look_Up!B7," ")</f>
        <v/>
      </c>
      <c r="C13" s="1605" t="str">
        <f>IF(A5_Chem_Look_Up!$F7&gt;0,A5_Chem_Look_Up!C7," ")</f>
        <v>pt</v>
      </c>
      <c r="D13" s="1601">
        <f>IF(A5_Chem_Look_Up!$F7&gt;0,A5_Chem_Look_Up!D7,0)</f>
        <v>4.375</v>
      </c>
      <c r="E13" s="1586">
        <f>IF(A5_Chem_Look_Up!$F7&gt;0,A5_Chem_Look_Up!E7,0)</f>
        <v>2</v>
      </c>
      <c r="F13" s="1587">
        <f t="shared" ref="F13:F25" si="0">D13*E13</f>
        <v>8.75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Dual Magnum</v>
      </c>
      <c r="B14" s="1602" t="str">
        <f>IF(A5_Chem_Look_Up!$F8&gt;0,A5_Chem_Look_Up!B8," ")</f>
        <v/>
      </c>
      <c r="C14" s="1603" t="str">
        <f>IF(A5_Chem_Look_Up!$F8&gt;0,A5_Chem_Look_Up!C8," ")</f>
        <v>pt</v>
      </c>
      <c r="D14" s="1601">
        <f>IF(A5_Chem_Look_Up!$F8&gt;0,A5_Chem_Look_Up!D8,0)</f>
        <v>5.75</v>
      </c>
      <c r="E14" s="1586">
        <f>IF(A5_Chem_Look_Up!$F8&gt;0,A5_Chem_Look_Up!E8,0)</f>
        <v>1.3</v>
      </c>
      <c r="F14" s="1587">
        <f t="shared" si="0"/>
        <v>7.4750000000000005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Halex GT</v>
      </c>
      <c r="B15" s="1602" t="str">
        <f>IF(A5_Chem_Look_Up!$F9&gt;0,A5_Chem_Look_Up!B9," ")</f>
        <v/>
      </c>
      <c r="C15" s="1605" t="str">
        <f>IF(A5_Chem_Look_Up!$F9&gt;0,A5_Chem_Look_Up!C9," ")</f>
        <v>pt</v>
      </c>
      <c r="D15" s="1601">
        <f>IF(A5_Chem_Look_Up!$F9&gt;0,A5_Chem_Look_Up!D9,0)</f>
        <v>6.8937499999999998</v>
      </c>
      <c r="E15" s="1586">
        <f>IF(A5_Chem_Look_Up!$F9&gt;0,A5_Chem_Look_Up!E9,0)</f>
        <v>3.6</v>
      </c>
      <c r="F15" s="1587">
        <f t="shared" si="0"/>
        <v>24.817499999999999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Atrazine</v>
      </c>
      <c r="B16" s="1602" t="str">
        <f>IF(A5_Chem_Look_Up!$F10&gt;0,A5_Chem_Look_Up!B10," ")</f>
        <v/>
      </c>
      <c r="C16" s="1603" t="str">
        <f>IF(A5_Chem_Look_Up!$F10&gt;0,A5_Chem_Look_Up!C10," ")</f>
        <v>qt</v>
      </c>
      <c r="D16" s="1601">
        <f>IF(A5_Chem_Look_Up!$F10&gt;0,A5_Chem_Look_Up!D10,0)</f>
        <v>4.1124999999999998</v>
      </c>
      <c r="E16" s="1586">
        <f>IF(A5_Chem_Look_Up!$F10&gt;0,A5_Chem_Look_Up!E10,0)</f>
        <v>2</v>
      </c>
      <c r="F16" s="1587">
        <f t="shared" si="0"/>
        <v>8.2249999999999996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 xml:space="preserve"> </v>
      </c>
      <c r="B17" s="1602" t="str">
        <f>IF(A5_Chem_Look_Up!$F11&gt;0,A5_Chem_Look_Up!B11," ")</f>
        <v xml:space="preserve"> </v>
      </c>
      <c r="C17" s="1603" t="str">
        <f>IF(A5_Chem_Look_Up!$F11&gt;0,A5_Chem_Look_Up!C11," ")</f>
        <v xml:space="preserve"> </v>
      </c>
      <c r="D17" s="1601">
        <f>IF(A5_Chem_Look_Up!$F11&gt;0,A5_Chem_Look_Up!D11,0)</f>
        <v>0</v>
      </c>
      <c r="E17" s="1586">
        <f>IF(A5_Chem_Look_Up!$F11&gt;0,A5_Chem_Look_Up!E11,0)</f>
        <v>0</v>
      </c>
      <c r="F17" s="1587">
        <f t="shared" si="0"/>
        <v>0</v>
      </c>
      <c r="G17" s="20"/>
    </row>
    <row r="18" spans="1:10" ht="12.95" customHeight="1" x14ac:dyDescent="0.35">
      <c r="A18" s="1601" t="str">
        <f>IF(A5_Chem_Look_Up!$F12&gt;0,A5_Chem_Look_Up!A12," ")</f>
        <v xml:space="preserve"> </v>
      </c>
      <c r="B18" s="1602" t="str">
        <f>IF(A5_Chem_Look_Up!$F12&gt;0,A5_Chem_Look_Up!B12," ")</f>
        <v xml:space="preserve"> </v>
      </c>
      <c r="C18" s="1603" t="str">
        <f>IF(A5_Chem_Look_Up!$F12&gt;0,A5_Chem_Look_Up!C12," ")</f>
        <v xml:space="preserve"> </v>
      </c>
      <c r="D18" s="1601">
        <f>IF(A5_Chem_Look_Up!$F12&gt;0,A5_Chem_Look_Up!D12,0)</f>
        <v>0</v>
      </c>
      <c r="E18" s="1586">
        <f>IF(A5_Chem_Look_Up!$F12&gt;0,A5_Chem_Look_Up!E12,0)</f>
        <v>0</v>
      </c>
      <c r="F18" s="1587">
        <f t="shared" si="0"/>
        <v>0</v>
      </c>
      <c r="G18" s="20"/>
      <c r="H18" s="989"/>
    </row>
    <row r="19" spans="1:10" ht="12.95" customHeight="1" x14ac:dyDescent="0.35">
      <c r="A19" s="1601" t="str">
        <f>IF(A5_Chem_Look_Up!$F13&gt;0,A5_Chem_Look_Up!A13," ")</f>
        <v xml:space="preserve"> </v>
      </c>
      <c r="B19" s="1602" t="str">
        <f>IF(A5_Chem_Look_Up!$F13&gt;0,A5_Chem_Look_Up!B13," ")</f>
        <v xml:space="preserve"> </v>
      </c>
      <c r="C19" s="1603" t="str">
        <f>IF(A5_Chem_Look_Up!$F13&gt;0,A5_Chem_Look_Up!C13," ")</f>
        <v xml:space="preserve"> </v>
      </c>
      <c r="D19" s="1601">
        <f>IF(A5_Chem_Look_Up!$F13&gt;0,A5_Chem_Look_Up!D13,0)</f>
        <v>0</v>
      </c>
      <c r="E19" s="1586">
        <f>IF(A5_Chem_Look_Up!$F13&gt;0,A5_Chem_Look_Up!E13,0)</f>
        <v>0</v>
      </c>
      <c r="F19" s="1587">
        <f t="shared" si="0"/>
        <v>0</v>
      </c>
      <c r="G19" s="20"/>
      <c r="H19" s="989"/>
    </row>
    <row r="20" spans="1:10" ht="12.95" customHeight="1" x14ac:dyDescent="0.35">
      <c r="A20" s="1601" t="str">
        <f>IF(A5_Chem_Look_Up!$F14&gt;0,A5_Chem_Look_Up!A14," ")</f>
        <v xml:space="preserve"> </v>
      </c>
      <c r="B20" s="1602" t="str">
        <f>IF(A5_Chem_Look_Up!$F14&gt;0,A5_Chem_Look_Up!B14," ")</f>
        <v xml:space="preserve"> </v>
      </c>
      <c r="C20" s="1603" t="str">
        <f>IF(A5_Chem_Look_Up!$F14&gt;0,A5_Chem_Look_Up!C14," ")</f>
        <v xml:space="preserve"> </v>
      </c>
      <c r="D20" s="1601">
        <f>IF(A5_Chem_Look_Up!$F14&gt;0,A5_Chem_Look_Up!D14,0)</f>
        <v>0</v>
      </c>
      <c r="E20" s="1586">
        <f>IF(A5_Chem_Look_Up!$F14&gt;0,A5_Chem_Look_Up!E14,0)</f>
        <v>0</v>
      </c>
      <c r="F20" s="1587">
        <f t="shared" si="0"/>
        <v>0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53.767500000000005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 xml:space="preserve"> </v>
      </c>
      <c r="B30" s="1602" t="str">
        <f>IF(A5_Chem_Look_Up!$F24&gt;0,A5_Chem_Look_Up!B24," ")</f>
        <v xml:space="preserve"> </v>
      </c>
      <c r="C30" s="1603" t="str">
        <f>IF(A5_Chem_Look_Up!$F24&gt;0,A5_Chem_Look_Up!C24," ")</f>
        <v xml:space="preserve"> </v>
      </c>
      <c r="D30" s="1601">
        <f>IF(A5_Chem_Look_Up!$F24&gt;0,A5_Chem_Look_Up!D24,0)</f>
        <v>0</v>
      </c>
      <c r="E30" s="1586">
        <f>IF(A5_Chem_Look_Up!$F24&gt;0,A5_Chem_Look_Up!E24,0)</f>
        <v>0</v>
      </c>
      <c r="F30" s="1587">
        <f t="shared" ref="F30:F39" si="1">D30*E30</f>
        <v>0</v>
      </c>
      <c r="G30" s="20"/>
    </row>
    <row r="31" spans="1:10" ht="12.95" customHeight="1" x14ac:dyDescent="0.35">
      <c r="A31" s="1601" t="str">
        <f>IF(A5_Chem_Look_Up!$F25&gt;0,A5_Chem_Look_Up!A25," ")</f>
        <v xml:space="preserve"> </v>
      </c>
      <c r="B31" s="1602" t="str">
        <f>IF(A5_Chem_Look_Up!$F25&gt;0,A5_Chem_Look_Up!B25," ")</f>
        <v xml:space="preserve"> </v>
      </c>
      <c r="C31" s="1603" t="str">
        <f>IF(A5_Chem_Look_Up!$F25&gt;0,A5_Chem_Look_Up!C25," ")</f>
        <v xml:space="preserve"> </v>
      </c>
      <c r="D31" s="1601">
        <f>IF(A5_Chem_Look_Up!$F25&gt;0,A5_Chem_Look_Up!D25,0)</f>
        <v>0</v>
      </c>
      <c r="E31" s="1586">
        <f>IF(A5_Chem_Look_Up!$F25&gt;0,A5_Chem_Look_Up!E25,0)</f>
        <v>0</v>
      </c>
      <c r="F31" s="1587">
        <f t="shared" si="1"/>
        <v>0</v>
      </c>
      <c r="G31" s="20"/>
    </row>
    <row r="32" spans="1:10" ht="12.95" customHeight="1" x14ac:dyDescent="0.35">
      <c r="A32" s="1601" t="str">
        <f>IF(A5_Chem_Look_Up!$F26&gt;0,A5_Chem_Look_Up!A26," ")</f>
        <v xml:space="preserve"> </v>
      </c>
      <c r="B32" s="1602" t="str">
        <f>IF(A5_Chem_Look_Up!$F26&gt;0,A5_Chem_Look_Up!B26," ")</f>
        <v xml:space="preserve"> </v>
      </c>
      <c r="C32" s="1603" t="str">
        <f>IF(A5_Chem_Look_Up!$F26&gt;0,A5_Chem_Look_Up!C26," ")</f>
        <v xml:space="preserve"> </v>
      </c>
      <c r="D32" s="1601">
        <f>IF(A5_Chem_Look_Up!$F26&gt;0,A5_Chem_Look_Up!D26,0)</f>
        <v>0</v>
      </c>
      <c r="E32" s="1586">
        <f>IF(A5_Chem_Look_Up!$F26&gt;0,A5_Chem_Look_Up!E26,0)</f>
        <v>0</v>
      </c>
      <c r="F32" s="1587">
        <f t="shared" si="1"/>
        <v>0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0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Fungicide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 xml:space="preserve"> </v>
      </c>
      <c r="B44" s="1602" t="str">
        <f>IF(A5_Chem_Look_Up!$F38&gt;0,A5_Chem_Look_Up!B38," ")</f>
        <v xml:space="preserve"> </v>
      </c>
      <c r="C44" s="1605" t="str">
        <f>IF(A5_Chem_Look_Up!$F38&gt;0,A5_Chem_Look_Up!C38," ")</f>
        <v xml:space="preserve"> </v>
      </c>
      <c r="D44" s="1601">
        <f>IF(A5_Chem_Look_Up!$F38&gt;0,A5_Chem_Look_Up!D38,0)</f>
        <v>0</v>
      </c>
      <c r="E44" s="1586">
        <f>IF(A5_Chem_Look_Up!$F38&gt;0,A5_Chem_Look_Up!E38,0)</f>
        <v>0</v>
      </c>
      <c r="F44" s="1587">
        <f>D44*E44</f>
        <v>0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0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Other Chemical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 xml:space="preserve"> </v>
      </c>
      <c r="B50" s="1602" t="str">
        <f>IF(A5_Chem_Look_Up!$F44&gt;0,A5_Chem_Look_Up!B44," ")</f>
        <v xml:space="preserve"> </v>
      </c>
      <c r="C50" s="1605" t="str">
        <f>IF(A5_Chem_Look_Up!$F44&gt;0,A5_Chem_Look_Up!C44," ")</f>
        <v xml:space="preserve"> </v>
      </c>
      <c r="D50" s="1601">
        <f>IF(A5_Chem_Look_Up!$F44&gt;0,A5_Chem_Look_Up!D44,0)</f>
        <v>0</v>
      </c>
      <c r="E50" s="1586">
        <f>IF(A5_Chem_Look_Up!$F44&gt;0,A5_Chem_Look_Up!E44,0)</f>
        <v>0</v>
      </c>
      <c r="F50" s="1587">
        <f t="shared" ref="F50:F56" si="2">D50*E50</f>
        <v>0</v>
      </c>
      <c r="G50" s="20"/>
    </row>
    <row r="51" spans="1:7" ht="12.95" customHeight="1" x14ac:dyDescent="0.35">
      <c r="A51" s="1584" t="str">
        <f>IF(A5_Chem_Look_Up!$F45&gt;0,A5_Chem_Look_Up!A45," ")</f>
        <v xml:space="preserve"> </v>
      </c>
      <c r="B51" s="1602" t="str">
        <f>IF(A5_Chem_Look_Up!$F45&gt;0,A5_Chem_Look_Up!B45," ")</f>
        <v xml:space="preserve"> </v>
      </c>
      <c r="C51" s="1605" t="str">
        <f>IF(A5_Chem_Look_Up!$F45&gt;0,A5_Chem_Look_Up!C45," ")</f>
        <v xml:space="preserve"> </v>
      </c>
      <c r="D51" s="1601">
        <f>IF(A5_Chem_Look_Up!$F45&gt;0,A5_Chem_Look_Up!D45,0)</f>
        <v>0</v>
      </c>
      <c r="E51" s="1586">
        <f>IF(A5_Chem_Look_Up!$F45&gt;0,A5_Chem_Look_Up!E45,0)</f>
        <v>0</v>
      </c>
      <c r="F51" s="1587">
        <f t="shared" si="2"/>
        <v>0</v>
      </c>
      <c r="G51" s="20"/>
    </row>
    <row r="52" spans="1:7" ht="12.95" customHeight="1" x14ac:dyDescent="0.35">
      <c r="A52" s="1584" t="str">
        <f>IF(A5_Chem_Look_Up!$F46&gt;0,A5_Chem_Look_Up!A46," ")</f>
        <v xml:space="preserve"> </v>
      </c>
      <c r="B52" s="1602" t="str">
        <f>IF(A5_Chem_Look_Up!$F46&gt;0,A5_Chem_Look_Up!B46," ")</f>
        <v xml:space="preserve"> </v>
      </c>
      <c r="C52" s="1605" t="str">
        <f>IF(A5_Chem_Look_Up!$F46&gt;0,A5_Chem_Look_Up!C46," ")</f>
        <v xml:space="preserve"> </v>
      </c>
      <c r="D52" s="1601">
        <f>IF(A5_Chem_Look_Up!$F46&gt;0,A5_Chem_Look_Up!D46,0)</f>
        <v>0</v>
      </c>
      <c r="E52" s="1586">
        <f>IF(A5_Chem_Look_Up!$F46&gt;0,A5_Chem_Look_Up!E46,0)</f>
        <v>0</v>
      </c>
      <c r="F52" s="1587">
        <f t="shared" si="2"/>
        <v>0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0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 xml:space="preserve"> </v>
      </c>
      <c r="B61" s="1602" t="str">
        <f>IF(A5_Chem_Look_Up!$F55&gt;0,A5_Chem_Look_Up!B55," ")</f>
        <v xml:space="preserve"> </v>
      </c>
      <c r="C61" s="1605" t="str">
        <f>IF(A5_Chem_Look_Up!$F55&gt;0,A5_Chem_Look_Up!C55," ")</f>
        <v xml:space="preserve"> </v>
      </c>
      <c r="D61" s="1601">
        <f>IF(A5_Chem_Look_Up!$F55&gt;0,A5_Chem_Look_Up!D55,0)</f>
        <v>0</v>
      </c>
      <c r="E61" s="1586">
        <f>IF(A5_Chem_Look_Up!$F55&gt;0,A5_Chem_Look_Up!E55,0)</f>
        <v>0</v>
      </c>
      <c r="F61" s="1587">
        <f t="shared" ref="F61:F67" si="3">D61*E61</f>
        <v>0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0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2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21.153629990373382</v>
      </c>
      <c r="L6" s="1517">
        <f>IF(AND(Budget!$B$3=1,Budget!$E$44=0),1,0)</f>
        <v>1</v>
      </c>
      <c r="M6" s="560">
        <v>1</v>
      </c>
      <c r="N6" s="869">
        <f>'C2_Irrigation_Calculations'!K6*Budget!D$30</f>
        <v>3.4102564102564101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0</v>
      </c>
      <c r="L7" s="1517">
        <v>1</v>
      </c>
      <c r="M7" s="560">
        <v>1</v>
      </c>
      <c r="N7" s="869">
        <f>'C2_Irrigation_Calculations'!K7*Budget!D$30</f>
        <v>0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30.554748497674051</v>
      </c>
      <c r="L8" s="1517">
        <v>1</v>
      </c>
      <c r="M8" s="560">
        <v>1</v>
      </c>
      <c r="N8" s="869">
        <f>'C2_Irrigation_Calculations'!K8*Budget!D$30</f>
        <v>4.9258461538461544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65.469186790879618</v>
      </c>
      <c r="L9" s="1517">
        <f>IF(AND(Budget!$B$3=1,Budget!$E$44=0),1,0)</f>
        <v>1</v>
      </c>
      <c r="M9" s="560">
        <v>1</v>
      </c>
      <c r="N9" s="869">
        <f>'C2_Irrigation_Calculations'!K9*Budget!D$30</f>
        <v>5.9763846153846156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126.76402497985268</v>
      </c>
      <c r="L10" s="1384"/>
      <c r="M10" s="1329" t="s">
        <v>766</v>
      </c>
      <c r="N10" s="870">
        <f>SUM(N4:N9)</f>
        <v>14.31248717948718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130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16949.513247380848</v>
      </c>
      <c r="F38" s="926">
        <f>(SUM(Trips!B30:B31)+SUM(Trips!B33:B37))*IF(B2=2,I15,I14)</f>
        <v>0</v>
      </c>
      <c r="G38" s="927">
        <f t="shared" ref="G38:G43" si="0">SUM(E38:F38)</f>
        <v>16949.513247380848</v>
      </c>
    </row>
    <row r="39" spans="4:7" ht="13.9" x14ac:dyDescent="0.4">
      <c r="D39" s="863" t="s">
        <v>243</v>
      </c>
      <c r="E39" s="926">
        <f>Trips!C76*IF(B2=2,I15,I14)</f>
        <v>1860.6233333333334</v>
      </c>
      <c r="F39" s="926">
        <f>(SUM(Trips!C30:C31)+SUM(Trips!C33:C37))*IF(B2=2,I15,I14)</f>
        <v>0</v>
      </c>
      <c r="G39" s="927">
        <f t="shared" si="0"/>
        <v>1860.6233333333334</v>
      </c>
    </row>
    <row r="40" spans="4:7" ht="13.9" x14ac:dyDescent="0.4">
      <c r="D40" s="863" t="s">
        <v>615</v>
      </c>
      <c r="E40" s="926">
        <f>Trips!D76*IF(B2=2,I15,I14)</f>
        <v>8032.8093368421069</v>
      </c>
      <c r="F40" s="926">
        <f>(SUM(Trips!D30:D31)+SUM(Trips!D33:D37))*IF(B2=2,I15,I14)</f>
        <v>0</v>
      </c>
      <c r="G40" s="927">
        <f t="shared" si="0"/>
        <v>8032.8093368421069</v>
      </c>
    </row>
    <row r="41" spans="4:7" ht="13.9" x14ac:dyDescent="0.4">
      <c r="D41" s="863" t="s">
        <v>55</v>
      </c>
      <c r="E41" s="926">
        <f>Trips!E76*IF(B2=2,I15,I14)</f>
        <v>215.9248</v>
      </c>
      <c r="F41" s="926">
        <f>(SUM(Trips!E30:E31)+SUM(Trips!E33:E37))*IF(B2=2,I15,I14)</f>
        <v>0</v>
      </c>
      <c r="G41" s="927">
        <f t="shared" si="0"/>
        <v>215.9248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0</v>
      </c>
      <c r="G43" s="927">
        <f t="shared" si="0"/>
        <v>0</v>
      </c>
    </row>
    <row r="44" spans="4:7" ht="13.9" thickBot="1" x14ac:dyDescent="0.4">
      <c r="D44" s="504" t="s">
        <v>22</v>
      </c>
      <c r="E44" s="928">
        <f>SUM(E38:E43)</f>
        <v>27058.870717556289</v>
      </c>
      <c r="F44" s="928">
        <f>SUM(F38:F43)</f>
        <v>0</v>
      </c>
      <c r="G44" s="929">
        <f>SUM(G38:G43)</f>
        <v>27058.870717556289</v>
      </c>
    </row>
    <row r="45" spans="4:7" ht="13.9" x14ac:dyDescent="0.4">
      <c r="D45" s="922" t="s">
        <v>630</v>
      </c>
      <c r="E45" s="935">
        <f>IF(B2&lt;3,Budget!D29,0)</f>
        <v>14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130.38087113369883</v>
      </c>
      <c r="F48" s="82">
        <f t="shared" si="1"/>
        <v>0</v>
      </c>
      <c r="G48" s="934">
        <f t="shared" si="1"/>
        <v>130.38087113369883</v>
      </c>
    </row>
    <row r="49" spans="4:7" ht="13.9" x14ac:dyDescent="0.4">
      <c r="D49" s="863" t="s">
        <v>243</v>
      </c>
      <c r="E49" s="82">
        <f t="shared" si="1"/>
        <v>14.31248717948718</v>
      </c>
      <c r="F49" s="82">
        <f t="shared" si="1"/>
        <v>0</v>
      </c>
      <c r="G49" s="934">
        <f t="shared" si="1"/>
        <v>14.31248717948718</v>
      </c>
    </row>
    <row r="50" spans="4:7" ht="13.9" x14ac:dyDescent="0.4">
      <c r="D50" s="863" t="s">
        <v>615</v>
      </c>
      <c r="E50" s="82">
        <f t="shared" si="1"/>
        <v>61.790841052631592</v>
      </c>
      <c r="F50" s="82">
        <f t="shared" si="1"/>
        <v>0</v>
      </c>
      <c r="G50" s="934">
        <f t="shared" si="1"/>
        <v>61.790841052631592</v>
      </c>
    </row>
    <row r="51" spans="4:7" ht="13.9" x14ac:dyDescent="0.4">
      <c r="D51" s="863" t="s">
        <v>55</v>
      </c>
      <c r="E51" s="82">
        <f t="shared" si="1"/>
        <v>1.66096</v>
      </c>
      <c r="F51" s="82">
        <f t="shared" si="1"/>
        <v>0</v>
      </c>
      <c r="G51" s="934">
        <f t="shared" si="1"/>
        <v>1.66096</v>
      </c>
    </row>
    <row r="52" spans="4:7" ht="13.9" x14ac:dyDescent="0.4">
      <c r="D52" s="863" t="s">
        <v>625</v>
      </c>
      <c r="E52" s="82">
        <f t="shared" si="1"/>
        <v>0</v>
      </c>
      <c r="F52" s="82">
        <f t="shared" si="1"/>
        <v>0</v>
      </c>
      <c r="G52" s="934">
        <f t="shared" si="1"/>
        <v>0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</v>
      </c>
      <c r="G53" s="934">
        <f t="shared" si="1"/>
        <v>0</v>
      </c>
    </row>
    <row r="54" spans="4:7" ht="13.9" thickBot="1" x14ac:dyDescent="0.4">
      <c r="D54" s="504" t="s">
        <v>22</v>
      </c>
      <c r="E54" s="864">
        <f t="shared" si="1"/>
        <v>208.14515936581759</v>
      </c>
      <c r="F54" s="864">
        <f t="shared" si="1"/>
        <v>0</v>
      </c>
      <c r="G54" s="870">
        <f t="shared" si="1"/>
        <v>208.14515936581759</v>
      </c>
    </row>
    <row r="55" spans="4:7" ht="13.9" x14ac:dyDescent="0.4">
      <c r="D55" s="922" t="s">
        <v>631</v>
      </c>
      <c r="E55" s="935">
        <f>E34</f>
        <v>130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1210.6795176700605</v>
      </c>
      <c r="F58" s="82">
        <f>IF(Budget!$D$29&gt;0,F38/Budget!$D$29,)</f>
        <v>0</v>
      </c>
      <c r="G58" s="934">
        <f>IF(Budget!$D$29&gt;0,G38/Budget!$D$29,)</f>
        <v>1210.6795176700605</v>
      </c>
    </row>
    <row r="59" spans="4:7" ht="13.9" x14ac:dyDescent="0.4">
      <c r="D59" s="863" t="s">
        <v>243</v>
      </c>
      <c r="E59" s="82">
        <f>IF(Budget!$D$29&gt;0,E39/Budget!$D$29,)</f>
        <v>132.90166666666667</v>
      </c>
      <c r="F59" s="82">
        <f>IF(Budget!$D$29&gt;0,F39/Budget!$D$29,)</f>
        <v>0</v>
      </c>
      <c r="G59" s="934">
        <f>IF(Budget!$D$29&gt;0,G39/Budget!$D$29,)</f>
        <v>132.90166666666667</v>
      </c>
    </row>
    <row r="60" spans="4:7" ht="13.9" x14ac:dyDescent="0.4">
      <c r="D60" s="863" t="s">
        <v>615</v>
      </c>
      <c r="E60" s="82">
        <f>IF(Budget!$D$29&gt;0,E40/Budget!$D$29,)</f>
        <v>573.7720954887219</v>
      </c>
      <c r="F60" s="82">
        <f>IF(Budget!$D$29&gt;0,F40/Budget!$D$29,)</f>
        <v>0</v>
      </c>
      <c r="G60" s="934">
        <f>IF(Budget!$D$29&gt;0,G40/Budget!$D$29,)</f>
        <v>573.7720954887219</v>
      </c>
    </row>
    <row r="61" spans="4:7" ht="13.9" x14ac:dyDescent="0.4">
      <c r="D61" s="863" t="s">
        <v>55</v>
      </c>
      <c r="E61" s="82">
        <f>IF(Budget!$D$29&gt;0,E41/Budget!$D$29,)</f>
        <v>15.4232</v>
      </c>
      <c r="F61" s="82">
        <f>IF(Budget!$D$29&gt;0,F41/Budget!$D$29,)</f>
        <v>0</v>
      </c>
      <c r="G61" s="934">
        <f>IF(Budget!$D$29&gt;0,G41/Budget!$D$29,)</f>
        <v>15.4232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0</v>
      </c>
      <c r="G63" s="934">
        <f>IF(Budget!$D$29&gt;0,G43/Budget!$D$29,)</f>
        <v>0</v>
      </c>
    </row>
    <row r="64" spans="4:7" ht="13.9" thickBot="1" x14ac:dyDescent="0.4">
      <c r="D64" s="504" t="s">
        <v>22</v>
      </c>
      <c r="E64" s="864">
        <f>IF(Budget!$D$29&gt;0,E44/Budget!$D$29,)</f>
        <v>1932.7764798254491</v>
      </c>
      <c r="F64" s="864">
        <f>IF(Budget!$D$29&gt;0,F44/Budget!$D$29,)</f>
        <v>0</v>
      </c>
      <c r="G64" s="870">
        <f>IF(Budget!$D$29&gt;0,G44/Budget!$D$29,)</f>
        <v>1932.7764798254491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>
        <f>IF(A2_Budget_Look_Up!B10&lt;1,IF(B2&lt;3,((G67*G68*IF(B2=2,I15,I14))-G44),"NA"),"NA")</f>
        <v>4141.1292824437114</v>
      </c>
    </row>
    <row r="70" spans="4:7" ht="14.25" thickBot="1" x14ac:dyDescent="0.45">
      <c r="D70" s="185" t="s">
        <v>621</v>
      </c>
      <c r="E70" s="186"/>
      <c r="F70" s="186"/>
      <c r="G70" s="1935">
        <f>IF(A2_Budget_Look_Up!B10&lt;1,IF(B2&lt;3,((G67*G68)-G54),"NA"),"NA")</f>
        <v>31.854840634182409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1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1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0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1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0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1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1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0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1</v>
      </c>
      <c r="C69" s="149">
        <f>A6_Machine_Look_Up!B69</f>
        <v>739000</v>
      </c>
      <c r="D69" s="1944">
        <f>A6_Machine_Look_Up!C69</f>
        <v>25</v>
      </c>
      <c r="E69" s="1970">
        <f>A6_Machine_Look_Up!D69</f>
        <v>3.5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1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1</v>
      </c>
      <c r="C74" s="149">
        <f>A6_Machine_Look_Up!B74</f>
        <v>58400</v>
      </c>
      <c r="D74" s="1944">
        <f>A6_Machine_Look_Up!C74</f>
        <v>25</v>
      </c>
      <c r="E74" s="1970">
        <f>A6_Machine_Look_Up!D74</f>
        <v>3.5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9.2111314161529911</v>
      </c>
      <c r="C9" s="48">
        <f>Z1_Equipment_Calculations!AC19+Z1_Equipment_Calculations!AF19</f>
        <v>1.2667960902293078</v>
      </c>
      <c r="D9" s="48">
        <f>Z1_Equipment_Calculations!AJ19</f>
        <v>1.3728970588235292</v>
      </c>
      <c r="E9" s="48">
        <f>Z1_Equipment_Calculations!AM19</f>
        <v>0.85054411764705884</v>
      </c>
      <c r="F9" s="53">
        <f t="shared" ref="F9:F18" si="0">SUM(B9:E9)</f>
        <v>12.701368682852888</v>
      </c>
      <c r="G9" s="62">
        <f>IF(Machine!$B19&gt;0,B9/Machine!$B19," ")</f>
        <v>9.2111314161529911</v>
      </c>
      <c r="H9" s="48">
        <f>IF(Machine!$B19&gt;0,C9/Machine!$B19," ")</f>
        <v>1.2667960902293078</v>
      </c>
      <c r="I9" s="48">
        <f>IF(Machine!$B19&gt;0,D9/Machine!$B19," ")</f>
        <v>1.3728970588235292</v>
      </c>
      <c r="J9" s="48">
        <f>IF(Machine!$B19&gt;0,E9/Machine!$B19," ")</f>
        <v>0.85054411764705884</v>
      </c>
      <c r="K9" s="53">
        <f>IF(Machine!$B19&gt;0,F9/Machine!$B19," ")</f>
        <v>12.701368682852888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8.575859042404959</v>
      </c>
      <c r="C10" s="48">
        <f>Z1_Equipment_Calculations!AC20+Z1_Equipment_Calculations!AF20</f>
        <v>1.0846891460606569</v>
      </c>
      <c r="D10" s="48">
        <f>Z1_Equipment_Calculations!AJ20</f>
        <v>1.5013552631578946</v>
      </c>
      <c r="E10" s="48">
        <f>Z1_Equipment_Calculations!AM20</f>
        <v>0.93012719298245616</v>
      </c>
      <c r="F10" s="53">
        <f t="shared" si="0"/>
        <v>12.092030644605964</v>
      </c>
      <c r="G10" s="62">
        <f>IF(Machine!$B20&gt;0,B10/Machine!$B20," ")</f>
        <v>8.575859042404959</v>
      </c>
      <c r="H10" s="48">
        <f>IF(Machine!$B20&gt;0,C10/Machine!$B20," ")</f>
        <v>1.0846891460606569</v>
      </c>
      <c r="I10" s="48">
        <f>IF(Machine!$B20&gt;0,D10/Machine!$B20," ")</f>
        <v>1.5013552631578946</v>
      </c>
      <c r="J10" s="48">
        <f>IF(Machine!$B20&gt;0,E10/Machine!$B20," ")</f>
        <v>0.93012719298245616</v>
      </c>
      <c r="K10" s="53">
        <f>IF(Machine!$B20&gt;0,F10/Machine!$B20," ")</f>
        <v>12.092030644605964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</v>
      </c>
      <c r="C15" s="48">
        <f>Z1_Equipment_Calculations!AC25+Z1_Equipment_Calculations!AF25</f>
        <v>0</v>
      </c>
      <c r="D15" s="48">
        <f>Z1_Equipment_Calculations!AJ25</f>
        <v>0</v>
      </c>
      <c r="E15" s="48">
        <f>Z1_Equipment_Calculations!AM25</f>
        <v>0</v>
      </c>
      <c r="F15" s="53">
        <f t="shared" si="0"/>
        <v>0</v>
      </c>
      <c r="G15" s="62" t="str">
        <f>IF(Machine!$B25&gt;0,B15/Machine!$B25," ")</f>
        <v xml:space="preserve"> </v>
      </c>
      <c r="H15" s="48" t="str">
        <f>IF(Machine!$B25&gt;0,C15/Machine!$B25," ")</f>
        <v xml:space="preserve"> </v>
      </c>
      <c r="I15" s="48" t="str">
        <f>IF(Machine!$B25&gt;0,D15/Machine!$B25," ")</f>
        <v xml:space="preserve"> </v>
      </c>
      <c r="J15" s="48" t="str">
        <f>IF(Machine!$B25&gt;0,E15/Machine!$B25," ")</f>
        <v xml:space="preserve"> </v>
      </c>
      <c r="K15" s="53" t="str">
        <f>IF(Machine!$B25&gt;0,F15/Machine!$B25," ")</f>
        <v xml:space="preserve"> 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5.5774602530790922</v>
      </c>
      <c r="C18" s="48">
        <f>Z1_Equipment_Calculations!AC28+Z1_Equipment_Calculations!AF28</f>
        <v>0.98421540662822871</v>
      </c>
      <c r="D18" s="48">
        <f>Z1_Equipment_Calculations!AJ28</f>
        <v>0.82187034813925552</v>
      </c>
      <c r="E18" s="48">
        <f>Z1_Equipment_Calculations!AM28</f>
        <v>0.50916926770708282</v>
      </c>
      <c r="F18" s="53">
        <f t="shared" si="0"/>
        <v>7.8927152755536598</v>
      </c>
      <c r="G18" s="62">
        <f>IF(Machine!$B28&gt;0,B18/Machine!$B28," ")</f>
        <v>5.5774602530790922</v>
      </c>
      <c r="H18" s="48">
        <f>IF(Machine!$B28&gt;0,C18/Machine!$B28," ")</f>
        <v>0.98421540662822871</v>
      </c>
      <c r="I18" s="48">
        <f>IF(Machine!$B28&gt;0,D18/Machine!$B28," ")</f>
        <v>0.82187034813925552</v>
      </c>
      <c r="J18" s="48">
        <f>IF(Machine!$B28&gt;0,E18/Machine!$B28," ")</f>
        <v>0.50916926770708282</v>
      </c>
      <c r="K18" s="53">
        <f>IF(Machine!$B28&gt;0,F18/Machine!$B28," ")</f>
        <v>7.8927152755536598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0</v>
      </c>
      <c r="C22" s="48">
        <f>Z1_Equipment_Calculations!AC32+Z1_Equipment_Calculations!AF32</f>
        <v>0</v>
      </c>
      <c r="D22" s="48">
        <f>Z1_Equipment_Calculations!AJ32</f>
        <v>0</v>
      </c>
      <c r="E22" s="48">
        <f>Z1_Equipment_Calculations!AM32</f>
        <v>0</v>
      </c>
      <c r="F22" s="53">
        <f t="shared" si="1"/>
        <v>0</v>
      </c>
      <c r="G22" s="62" t="str">
        <f>IF(Machine!$B32&gt;0,B22/Machine!$B32," ")</f>
        <v xml:space="preserve"> </v>
      </c>
      <c r="H22" s="48" t="str">
        <f>IF(Machine!$B32&gt;0,C22/Machine!$B32," ")</f>
        <v xml:space="preserve"> </v>
      </c>
      <c r="I22" s="48" t="str">
        <f>IF(Machine!$B32&gt;0,D22/Machine!$B32," ")</f>
        <v xml:space="preserve"> </v>
      </c>
      <c r="J22" s="48" t="str">
        <f>IF(Machine!$B32&gt;0,E22/Machine!$B32," ")</f>
        <v xml:space="preserve"> </v>
      </c>
      <c r="K22" s="53" t="str">
        <f>IF(Machine!$B32&gt;0,F22/Machine!$B32," ")</f>
        <v xml:space="preserve"> 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4.1824183654847626</v>
      </c>
      <c r="C24" s="48">
        <f>Z1_Equipment_Calculations!AC34+Z1_Equipment_Calculations!AF34</f>
        <v>0.5321405183449972</v>
      </c>
      <c r="D24" s="48">
        <f>Z1_Equipment_Calculations!AJ34</f>
        <v>0.90838301636444041</v>
      </c>
      <c r="E24" s="48">
        <f>Z1_Equipment_Calculations!AM34</f>
        <v>0.56276603272888104</v>
      </c>
      <c r="F24" s="53">
        <f t="shared" si="1"/>
        <v>6.1857079329230809</v>
      </c>
      <c r="G24" s="62">
        <f>IF(Machine!$B34&gt;0,B24/Machine!$B34," ")</f>
        <v>4.1824183654847626</v>
      </c>
      <c r="H24" s="48">
        <f>IF(Machine!$B34&gt;0,C24/Machine!$B34," ")</f>
        <v>0.5321405183449972</v>
      </c>
      <c r="I24" s="48">
        <f>IF(Machine!$B34&gt;0,D24/Machine!$B34," ")</f>
        <v>0.90838301636444041</v>
      </c>
      <c r="J24" s="48">
        <f>IF(Machine!$B34&gt;0,E24/Machine!$B34," ")</f>
        <v>0.56276603272888104</v>
      </c>
      <c r="K24" s="53">
        <f>IF(Machine!$B34&gt;0,F24/Machine!$B34," ")</f>
        <v>6.1857079329230809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9.5302699588514628</v>
      </c>
      <c r="C25" s="48">
        <f>Z1_Equipment_Calculations!AC35+Z1_Equipment_Calculations!AF35</f>
        <v>2.554164181520203</v>
      </c>
      <c r="D25" s="48">
        <f>Z1_Equipment_Calculations!AJ35</f>
        <v>1.2402499999999999</v>
      </c>
      <c r="E25" s="48">
        <f>Z1_Equipment_Calculations!AM35</f>
        <v>1.0108482905982903</v>
      </c>
      <c r="F25" s="53">
        <f t="shared" si="1"/>
        <v>14.335532430969955</v>
      </c>
      <c r="G25" s="62">
        <f>IF(Machine!$B35&gt;0,B25/Machine!$B35," ")</f>
        <v>9.5302699588514628</v>
      </c>
      <c r="H25" s="48">
        <f>IF(Machine!$B35&gt;0,C25/Machine!$B35," ")</f>
        <v>2.554164181520203</v>
      </c>
      <c r="I25" s="48">
        <f>IF(Machine!$B35&gt;0,D25/Machine!$B35," ")</f>
        <v>1.2402499999999999</v>
      </c>
      <c r="J25" s="48">
        <f>IF(Machine!$B35&gt;0,E25/Machine!$B35," ")</f>
        <v>1.0108482905982903</v>
      </c>
      <c r="K25" s="53">
        <f>IF(Machine!$B35&gt;0,F25/Machine!$B35," ")</f>
        <v>14.335532430969955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0</v>
      </c>
      <c r="C27" s="48">
        <f>Z1_Equipment_Calculations!AC37+Z1_Equipment_Calculations!AF37</f>
        <v>0</v>
      </c>
      <c r="D27" s="48">
        <f>Z1_Equipment_Calculations!AJ37</f>
        <v>0</v>
      </c>
      <c r="E27" s="48">
        <f>Z1_Equipment_Calculations!AM37</f>
        <v>0</v>
      </c>
      <c r="F27" s="53">
        <f t="shared" si="1"/>
        <v>0</v>
      </c>
      <c r="G27" s="62" t="str">
        <f>IF(Machine!$B37&gt;0,B27/Machine!$B37," ")</f>
        <v xml:space="preserve"> </v>
      </c>
      <c r="H27" s="48" t="str">
        <f>IF(Machine!$B37&gt;0,C27/Machine!$B37," ")</f>
        <v xml:space="preserve"> </v>
      </c>
      <c r="I27" s="48" t="str">
        <f>IF(Machine!$B37&gt;0,D27/Machine!$B37," ")</f>
        <v xml:space="preserve"> </v>
      </c>
      <c r="J27" s="48" t="str">
        <f>IF(Machine!$B37&gt;0,E27/Machine!$B37," ")</f>
        <v xml:space="preserve"> </v>
      </c>
      <c r="K27" s="53" t="str">
        <f>IF(Machine!$B37&gt;0,F27/Machine!$B37," ")</f>
        <v xml:space="preserve"> 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37.077139035973268</v>
      </c>
      <c r="C45" s="77">
        <f>SUM(C4:C44)</f>
        <v>6.4220053427833932</v>
      </c>
      <c r="D45" s="77">
        <f>SUM(D4:D44)</f>
        <v>5.8447556864851196</v>
      </c>
      <c r="E45" s="77">
        <f>SUM(E4:E44)</f>
        <v>3.8634549016637694</v>
      </c>
      <c r="F45" s="77">
        <f>SUM(F4:F44)</f>
        <v>53.207354966905548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58.329242022756155</v>
      </c>
      <c r="C59" s="75">
        <f>Z1_Equipment_Calculations!AC69+Z1_Equipment_Calculations!AF69</f>
        <v>10.903834352539555</v>
      </c>
      <c r="D59" s="75">
        <f>Z1_Equipment_Calculations!AJ69</f>
        <v>4.7382612244897961</v>
      </c>
      <c r="E59" s="75">
        <f>Z1_Equipment_Calculations!AM69</f>
        <v>2.217236326530613</v>
      </c>
      <c r="F59" s="75">
        <f t="shared" si="2"/>
        <v>76.18857392631611</v>
      </c>
      <c r="G59" s="74">
        <f>IF(Machine!$B69&gt;0,B59/Machine!$B69," ")</f>
        <v>58.329242022756155</v>
      </c>
      <c r="H59" s="75">
        <f>IF(Machine!$B69&gt;0,C59/Machine!$B69," ")</f>
        <v>10.903834352539555</v>
      </c>
      <c r="I59" s="75">
        <f>IF(Machine!$B69&gt;0,D59/Machine!$B69," ")</f>
        <v>4.7382612244897961</v>
      </c>
      <c r="J59" s="75">
        <f>IF(Machine!$B69&gt;0,E59/Machine!$B69," ")</f>
        <v>2.217236326530613</v>
      </c>
      <c r="K59" s="76">
        <f>IF(Machine!$B69&gt;0,F59/Machine!$B69," ")</f>
        <v>76.18857392631611</v>
      </c>
      <c r="L59" s="638">
        <f>Z1_Equipment_Calculations!N69</f>
        <v>7.424242424242423</v>
      </c>
      <c r="M59" s="639">
        <f>Z1_Equipment_Calculations!O69</f>
        <v>0.13469387755102044</v>
      </c>
    </row>
    <row r="60" spans="1:13" ht="13.15" x14ac:dyDescent="0.4">
      <c r="A60" s="69" t="str">
        <f>Machine!A70</f>
        <v>Corn Head</v>
      </c>
      <c r="B60" s="48">
        <f>Z1_Equipment_Calculations!Z70</f>
        <v>5.3593444294250911</v>
      </c>
      <c r="C60" s="48">
        <f>Z1_Equipment_Calculations!AC70+Z1_Equipment_Calculations!AF70</f>
        <v>3.4251018477670359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8.7844462771921279</v>
      </c>
      <c r="G60" s="62">
        <f>IF(Machine!$B70&gt;0,B60/Machine!$B70," ")</f>
        <v>5.3593444294250911</v>
      </c>
      <c r="H60" s="48">
        <f>IF(Machine!$B70&gt;0,C60/Machine!$B70," ")</f>
        <v>3.4251018477670359</v>
      </c>
      <c r="I60" s="48">
        <f>IF(Machine!$B70&gt;0,D60/Machine!$B70," ")</f>
        <v>0</v>
      </c>
      <c r="J60" s="48">
        <f>IF(Machine!$B70&gt;0,E60/Machine!$B70," ")</f>
        <v>0</v>
      </c>
      <c r="K60" s="53">
        <f>IF(Machine!$B70&gt;0,F60/Machine!$B70," ")</f>
        <v>8.7844462771921279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13.818634982477771</v>
      </c>
      <c r="C64" s="72">
        <f>Z1_Equipment_Calculations!AC74+Z1_Equipment_Calculations!AF74</f>
        <v>2.7087837104968888</v>
      </c>
      <c r="D64" s="72">
        <f>Z1_Equipment_Calculations!AJ74</f>
        <v>2.8429567346938787</v>
      </c>
      <c r="E64" s="72">
        <f>Z1_Equipment_Calculations!AM74</f>
        <v>2.217236326530613</v>
      </c>
      <c r="F64" s="72">
        <f t="shared" si="2"/>
        <v>21.587611754199152</v>
      </c>
      <c r="G64" s="71">
        <f>IF(Machine!$B74&gt;0,B64/Machine!$B74," ")</f>
        <v>13.818634982477771</v>
      </c>
      <c r="H64" s="72">
        <f>IF(Machine!$B74&gt;0,C64/Machine!$B74," ")</f>
        <v>2.7087837104968888</v>
      </c>
      <c r="I64" s="72">
        <f>IF(Machine!$B74&gt;0,D64/Machine!$B74," ")</f>
        <v>2.8429567346938787</v>
      </c>
      <c r="J64" s="72">
        <f>IF(Machine!$B74&gt;0,E64/Machine!$B74," ")</f>
        <v>2.217236326530613</v>
      </c>
      <c r="K64" s="73">
        <f>IF(Machine!$B74&gt;0,F64/Machine!$B74," ")</f>
        <v>21.587611754199152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77.507221434659016</v>
      </c>
      <c r="C72" s="77">
        <f>SUM(C54:C71)</f>
        <v>17.037719910803478</v>
      </c>
      <c r="D72" s="77">
        <f>SUM(D54:D71)</f>
        <v>7.5812179591836752</v>
      </c>
      <c r="E72" s="77">
        <f>SUM(E54:E71)</f>
        <v>4.434472653061226</v>
      </c>
      <c r="F72" s="77">
        <f>SUM(F54:F71)</f>
        <v>106.56063195770739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114.58436047063228</v>
      </c>
      <c r="C74" s="77">
        <f>C45+C51+C72</f>
        <v>23.459725253586871</v>
      </c>
      <c r="D74" s="77">
        <f>D45+D51+D72</f>
        <v>13.425973645668794</v>
      </c>
      <c r="E74" s="77">
        <f>E45+E51+E72</f>
        <v>8.2979275547249962</v>
      </c>
      <c r="F74" s="77">
        <f>F45+F51+F72</f>
        <v>159.76798692461293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130.38087113369883</v>
      </c>
      <c r="C76" s="77">
        <f>Budget!F30</f>
        <v>14.31248717948718</v>
      </c>
      <c r="D76" s="77">
        <f>Budget!F29</f>
        <v>61.790841052631592</v>
      </c>
      <c r="E76" s="77">
        <f>'C2_Irrigation_Calculations'!M41*Budget!E33</f>
        <v>1.66096</v>
      </c>
      <c r="F76" s="77">
        <f>SUM(B76:E76)</f>
        <v>208.14515936581762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51.523112349286762</v>
      </c>
      <c r="D59" s="1288">
        <f>SUM(Z2_Machine_Custom_Calculations!W69:Y69)</f>
        <v>6.8061296734693899</v>
      </c>
      <c r="E59" s="1288">
        <f>Z2_Machine_Custom_Calculations!AC69+Z2_Machine_Custom_Calculations!AF69</f>
        <v>10.903834352539555</v>
      </c>
      <c r="F59" s="1288">
        <f>Z2_Machine_Custom_Calculations!AJ69</f>
        <v>4.7382612244897961</v>
      </c>
      <c r="G59" s="1288">
        <f>Z2_Machine_Custom_Calculations!AM69</f>
        <v>2.217236326530613</v>
      </c>
      <c r="H59" s="1289">
        <f t="shared" si="10"/>
        <v>76.18857392631611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56.257103321568998</v>
      </c>
      <c r="T60" s="1292">
        <f t="shared" si="18"/>
        <v>7.4314831306122473</v>
      </c>
      <c r="U60" s="1292">
        <f t="shared" si="18"/>
        <v>14.32893620030659</v>
      </c>
      <c r="V60" s="1292">
        <f t="shared" si="18"/>
        <v>4.7382612244897961</v>
      </c>
      <c r="W60" s="1292">
        <f t="shared" si="18"/>
        <v>2.217236326530613</v>
      </c>
      <c r="X60" s="1292">
        <f t="shared" si="18"/>
        <v>84.973020203508241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53.502386925326874</v>
      </c>
      <c r="T61" s="1292">
        <f t="shared" si="18"/>
        <v>7.0675890226757394</v>
      </c>
      <c r="U61" s="1292">
        <f t="shared" si="18"/>
        <v>12.335864334710193</v>
      </c>
      <c r="V61" s="1292">
        <f t="shared" si="18"/>
        <v>4.7382612244897961</v>
      </c>
      <c r="W61" s="1292">
        <f t="shared" si="18"/>
        <v>2.217236326530613</v>
      </c>
      <c r="X61" s="1292">
        <f t="shared" si="18"/>
        <v>79.861337833733202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57.916440363399879</v>
      </c>
      <c r="T62" s="1292">
        <f t="shared" si="18"/>
        <v>7.6506791877551041</v>
      </c>
      <c r="U62" s="1292">
        <f t="shared" si="18"/>
        <v>15.529487363441426</v>
      </c>
      <c r="V62" s="1292">
        <f t="shared" si="18"/>
        <v>4.7382612244897961</v>
      </c>
      <c r="W62" s="1292">
        <f t="shared" si="18"/>
        <v>2.217236326530613</v>
      </c>
      <c r="X62" s="1292">
        <f t="shared" si="18"/>
        <v>88.052104465616821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53.213823410816133</v>
      </c>
      <c r="T63" s="1292">
        <f t="shared" si="18"/>
        <v>7.029470193877553</v>
      </c>
      <c r="U63" s="1292">
        <f t="shared" si="18"/>
        <v>12.127085012456353</v>
      </c>
      <c r="V63" s="1292">
        <f t="shared" si="18"/>
        <v>4.7382612244897961</v>
      </c>
      <c r="W63" s="1292">
        <f t="shared" si="18"/>
        <v>2.217236326530613</v>
      </c>
      <c r="X63" s="1292">
        <f t="shared" si="18"/>
        <v>79.325876168170439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12.027781104926751</v>
      </c>
      <c r="D64" s="1298">
        <f>SUM(Z2_Machine_Custom_Calculations!W74:Y74)</f>
        <v>1.790853877551021</v>
      </c>
      <c r="E64" s="1298">
        <f>Z2_Machine_Custom_Calculations!AC74+Z2_Machine_Custom_Calculations!AF74</f>
        <v>2.7087837104968888</v>
      </c>
      <c r="F64" s="1298">
        <f>Z2_Machine_Custom_Calculations!AJ74</f>
        <v>2.8429567346938787</v>
      </c>
      <c r="G64" s="1298">
        <f>Z2_Machine_Custom_Calculations!AM74</f>
        <v>2.217236326530613</v>
      </c>
      <c r="H64" s="1299">
        <f t="shared" si="10"/>
        <v>21.587611754199152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12.027781104926751</v>
      </c>
      <c r="T64" s="1292">
        <f t="shared" si="19"/>
        <v>1.790853877551021</v>
      </c>
      <c r="U64" s="1292">
        <f t="shared" si="19"/>
        <v>2.7087837104968888</v>
      </c>
      <c r="V64" s="1292">
        <f t="shared" si="19"/>
        <v>2.8429567346938787</v>
      </c>
      <c r="W64" s="1292">
        <f t="shared" si="19"/>
        <v>2.217236326530613</v>
      </c>
      <c r="X64" s="1292">
        <f t="shared" si="19"/>
        <v>21.587611754199152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1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>
        <f>IF(E2&gt;0,A2_Budget_Look_Up!$C$4," ")</f>
        <v>2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210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210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4.5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4.5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435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435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175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175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130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130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100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100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Zinc Sulfate 33%</v>
      </c>
      <c r="B17" s="1024">
        <f>IF(B$2=1,SUM(BC17:CZ17),"Error")</f>
        <v>29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29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0.16750000000000001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0.16750000000000001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1.63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1.63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5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5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0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100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100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14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14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Other Inputs</v>
      </c>
      <c r="B31" s="1024">
        <f>IF(B$2=1,SUM(BC31:CZ31),"Error")</f>
        <v>0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6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6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0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34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34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0.19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0.19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0.25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0.25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0.01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14.45</v>
      </c>
      <c r="H39" s="1049">
        <f>(1+2.2)+(0.005*500*Budget!$E$3)</f>
        <v>14.45</v>
      </c>
      <c r="I39" s="1049">
        <f>(1+2.2)+(0.005*500*Budget!$E$3)</f>
        <v>14.45</v>
      </c>
      <c r="J39" s="1049">
        <f>(1+2.2)+(0.005*500*Budget!$E$3)</f>
        <v>14.45</v>
      </c>
      <c r="K39" s="1049">
        <f>(1+2.2)+(0.005*500*Budget!$E$3)</f>
        <v>14.45</v>
      </c>
      <c r="L39" s="1049">
        <f>(1+2.2)+(0.005*500*Budget!$E$3)</f>
        <v>14.45</v>
      </c>
      <c r="M39" s="1049">
        <f>(1+2.2)+(0.005*500*Budget!$E$3)</f>
        <v>14.45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2.2499999999999999E-2</v>
      </c>
      <c r="W39" s="1886">
        <f>(Budget!$E$3*(0.01/2))</f>
        <v>2.2499999999999999E-2</v>
      </c>
      <c r="X39" s="1886">
        <f>(Budget!$E$3*(0.01/2))</f>
        <v>2.2499999999999999E-2</v>
      </c>
      <c r="Y39" s="1886">
        <f>(Budget!$E$3*(0.01/2))</f>
        <v>2.2499999999999999E-2</v>
      </c>
      <c r="Z39" s="1886">
        <f>(Budget!$E$3*(0.01/2))</f>
        <v>2.2499999999999999E-2</v>
      </c>
      <c r="AA39" s="1886">
        <f>(Budget!$E$3*(0.01/2))</f>
        <v>2.2499999999999999E-2</v>
      </c>
      <c r="AB39" s="1886">
        <f>(Budget!$E$3*(0.01/2))</f>
        <v>2.2499999999999999E-2</v>
      </c>
      <c r="AC39" s="1886">
        <f>(Budget!$E$3*(0.01/2))</f>
        <v>2.2499999999999999E-2</v>
      </c>
      <c r="AD39" s="1886">
        <f>(Budget!$E$3*(0.01/2))</f>
        <v>2.2499999999999999E-2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2.2499999999999999E-2</v>
      </c>
      <c r="AM39" s="1886">
        <f>(Budget!$E$3*(0.01/2))</f>
        <v>2.2499999999999999E-2</v>
      </c>
      <c r="AN39" s="1886">
        <f>(Budget!$E$3*(0.01/2))</f>
        <v>2.2499999999999999E-2</v>
      </c>
      <c r="AO39" s="1049">
        <f>(1+2.2)+(0.005*500*Budget!$E$3)</f>
        <v>14.45</v>
      </c>
      <c r="AP39" s="1049">
        <f>(1+2.2)+(0.005*500*Budget!$E$3)</f>
        <v>14.45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0.01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3.89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3.89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32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32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2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2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1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1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1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1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0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1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1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0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1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1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1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1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0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1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1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1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1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1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1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130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16949.513247380848</v>
      </c>
      <c r="C7" s="1224">
        <f>Irrigation!F38</f>
        <v>0</v>
      </c>
      <c r="D7" s="1225">
        <f>Irrigation!G38</f>
        <v>16949.513247380848</v>
      </c>
    </row>
    <row r="8" spans="1:4" ht="13.9" x14ac:dyDescent="0.4">
      <c r="A8" s="1222" t="str">
        <f>Irrigation!D39</f>
        <v>Repairs</v>
      </c>
      <c r="B8" s="1224">
        <f>Irrigation!E39</f>
        <v>1860.6233333333334</v>
      </c>
      <c r="C8" s="1224">
        <f>Irrigation!F39</f>
        <v>0</v>
      </c>
      <c r="D8" s="1225">
        <f>Irrigation!G39</f>
        <v>1860.6233333333334</v>
      </c>
    </row>
    <row r="9" spans="1:4" ht="13.9" x14ac:dyDescent="0.4">
      <c r="A9" s="1222" t="str">
        <f>Irrigation!D40</f>
        <v>Fuel, Energy</v>
      </c>
      <c r="B9" s="1224">
        <f>Irrigation!E40</f>
        <v>8032.8093368421069</v>
      </c>
      <c r="C9" s="1224">
        <f>Irrigation!F40</f>
        <v>0</v>
      </c>
      <c r="D9" s="1225">
        <f>Irrigation!G40</f>
        <v>8032.8093368421069</v>
      </c>
    </row>
    <row r="10" spans="1:4" ht="13.9" x14ac:dyDescent="0.4">
      <c r="A10" s="1222" t="str">
        <f>Irrigation!D41</f>
        <v>Labor</v>
      </c>
      <c r="B10" s="1224">
        <f>Irrigation!E41</f>
        <v>215.9248</v>
      </c>
      <c r="C10" s="1224">
        <f>Irrigation!F41</f>
        <v>0</v>
      </c>
      <c r="D10" s="1225">
        <f>Irrigation!G41</f>
        <v>215.9248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0</v>
      </c>
      <c r="D12" s="1225">
        <f>Irrigation!G43</f>
        <v>0</v>
      </c>
    </row>
    <row r="13" spans="1:4" ht="13.9" thickBot="1" x14ac:dyDescent="0.4">
      <c r="A13" s="1226" t="str">
        <f>Irrigation!D44</f>
        <v>Total</v>
      </c>
      <c r="B13" s="1227">
        <f>Irrigation!E44</f>
        <v>27058.870717556289</v>
      </c>
      <c r="C13" s="1227">
        <f>Irrigation!F44</f>
        <v>0</v>
      </c>
      <c r="D13" s="1228">
        <f>Irrigation!G44</f>
        <v>27058.870717556289</v>
      </c>
    </row>
    <row r="14" spans="1:4" ht="13.9" x14ac:dyDescent="0.4">
      <c r="A14" s="1219" t="str">
        <f>Irrigation!D45</f>
        <v>Irrigation Expenses per Acre</v>
      </c>
      <c r="B14" s="1229">
        <f>Irrigation!E45</f>
        <v>14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130.38087113369883</v>
      </c>
      <c r="C17" s="1230">
        <f>Irrigation!F48</f>
        <v>0</v>
      </c>
      <c r="D17" s="1231">
        <f>Irrigation!G48</f>
        <v>130.38087113369883</v>
      </c>
    </row>
    <row r="18" spans="1:4" ht="13.9" x14ac:dyDescent="0.4">
      <c r="A18" s="1222" t="str">
        <f>Irrigation!D49</f>
        <v>Repairs</v>
      </c>
      <c r="B18" s="1230">
        <f>Irrigation!E49</f>
        <v>14.31248717948718</v>
      </c>
      <c r="C18" s="1230">
        <f>Irrigation!F49</f>
        <v>0</v>
      </c>
      <c r="D18" s="1231">
        <f>Irrigation!G49</f>
        <v>14.31248717948718</v>
      </c>
    </row>
    <row r="19" spans="1:4" ht="13.9" x14ac:dyDescent="0.4">
      <c r="A19" s="1222" t="str">
        <f>Irrigation!D50</f>
        <v>Fuel, Energy</v>
      </c>
      <c r="B19" s="1230">
        <f>Irrigation!E50</f>
        <v>61.790841052631592</v>
      </c>
      <c r="C19" s="1230">
        <f>Irrigation!F50</f>
        <v>0</v>
      </c>
      <c r="D19" s="1231">
        <f>Irrigation!G50</f>
        <v>61.790841052631592</v>
      </c>
    </row>
    <row r="20" spans="1:4" ht="13.9" x14ac:dyDescent="0.4">
      <c r="A20" s="1222" t="str">
        <f>Irrigation!D51</f>
        <v>Labor</v>
      </c>
      <c r="B20" s="1230">
        <f>Irrigation!E51</f>
        <v>1.66096</v>
      </c>
      <c r="C20" s="1230">
        <f>Irrigation!F51</f>
        <v>0</v>
      </c>
      <c r="D20" s="1231">
        <f>Irrigation!G51</f>
        <v>1.66096</v>
      </c>
    </row>
    <row r="21" spans="1:4" ht="13.9" x14ac:dyDescent="0.4">
      <c r="A21" s="1222" t="str">
        <f>Irrigation!D52</f>
        <v>Irrigation Supplies</v>
      </c>
      <c r="B21" s="1230">
        <f>Irrigation!E52</f>
        <v>0</v>
      </c>
      <c r="C21" s="1230">
        <f>Irrigation!F52</f>
        <v>0</v>
      </c>
      <c r="D21" s="1231">
        <f>Irrigation!G52</f>
        <v>0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</v>
      </c>
      <c r="D22" s="1231">
        <f>Irrigation!G53</f>
        <v>0</v>
      </c>
    </row>
    <row r="23" spans="1:4" ht="13.9" thickBot="1" x14ac:dyDescent="0.4">
      <c r="A23" s="1226" t="str">
        <f>Irrigation!D54</f>
        <v>Total</v>
      </c>
      <c r="B23" s="1232">
        <f>Irrigation!E54</f>
        <v>208.14515936581759</v>
      </c>
      <c r="C23" s="1232">
        <f>Irrigation!F54</f>
        <v>0</v>
      </c>
      <c r="D23" s="1233">
        <f>Irrigation!G54</f>
        <v>208.14515936581759</v>
      </c>
    </row>
    <row r="24" spans="1:4" ht="13.9" x14ac:dyDescent="0.4">
      <c r="A24" s="1219" t="str">
        <f>Irrigation!D55</f>
        <v>Irrigation Expenses per Inch</v>
      </c>
      <c r="B24" s="1229">
        <f>Irrigation!E55</f>
        <v>130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1210.6795176700605</v>
      </c>
      <c r="C27" s="1230">
        <f>Irrigation!F58</f>
        <v>0</v>
      </c>
      <c r="D27" s="1231">
        <f>Irrigation!G58</f>
        <v>1210.6795176700605</v>
      </c>
    </row>
    <row r="28" spans="1:4" ht="13.9" x14ac:dyDescent="0.4">
      <c r="A28" s="1222" t="str">
        <f>Irrigation!D59</f>
        <v>Repairs</v>
      </c>
      <c r="B28" s="1230">
        <f>Irrigation!E59</f>
        <v>132.90166666666667</v>
      </c>
      <c r="C28" s="1230">
        <f>Irrigation!F59</f>
        <v>0</v>
      </c>
      <c r="D28" s="1231">
        <f>Irrigation!G59</f>
        <v>132.90166666666667</v>
      </c>
    </row>
    <row r="29" spans="1:4" ht="13.9" x14ac:dyDescent="0.4">
      <c r="A29" s="1222" t="str">
        <f>Irrigation!D60</f>
        <v>Fuel, Energy</v>
      </c>
      <c r="B29" s="1230">
        <f>Irrigation!E60</f>
        <v>573.7720954887219</v>
      </c>
      <c r="C29" s="1230">
        <f>Irrigation!F60</f>
        <v>0</v>
      </c>
      <c r="D29" s="1231">
        <f>Irrigation!G60</f>
        <v>573.7720954887219</v>
      </c>
    </row>
    <row r="30" spans="1:4" ht="13.9" x14ac:dyDescent="0.4">
      <c r="A30" s="1222" t="str">
        <f>Irrigation!D61</f>
        <v>Labor</v>
      </c>
      <c r="B30" s="1230">
        <f>Irrigation!E61</f>
        <v>15.4232</v>
      </c>
      <c r="C30" s="1230">
        <f>Irrigation!F61</f>
        <v>0</v>
      </c>
      <c r="D30" s="1231">
        <f>Irrigation!G61</f>
        <v>15.4232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0</v>
      </c>
      <c r="D32" s="1231">
        <f>Irrigation!G63</f>
        <v>0</v>
      </c>
    </row>
    <row r="33" spans="1:4" ht="13.9" thickBot="1" x14ac:dyDescent="0.4">
      <c r="A33" s="1226" t="str">
        <f>Irrigation!D64</f>
        <v>Total</v>
      </c>
      <c r="B33" s="1232">
        <f>Irrigation!E64</f>
        <v>1932.7764798254491</v>
      </c>
      <c r="C33" s="1232">
        <f>Irrigation!F64</f>
        <v>0</v>
      </c>
      <c r="D33" s="1233">
        <f>Irrigation!G64</f>
        <v>1932.7764798254491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25</v>
      </c>
      <c r="L69" s="1256">
        <f>IF(SUM(Machine!B70:B73)&gt;0,Machine!E69,4.5)</f>
        <v>3.5</v>
      </c>
      <c r="M69" s="224">
        <f>EquipmentSpecs!C69</f>
        <v>0.7</v>
      </c>
      <c r="N69" s="89">
        <f t="shared" si="30"/>
        <v>7.424242424242423</v>
      </c>
      <c r="O69" s="226">
        <f t="shared" si="31"/>
        <v>0.13469387755102044</v>
      </c>
      <c r="P69" s="270"/>
      <c r="Q69" s="20"/>
      <c r="R69" s="339">
        <f>Machine!H69</f>
        <v>325</v>
      </c>
      <c r="S69" s="1197">
        <v>1</v>
      </c>
      <c r="T69" s="89">
        <f t="shared" si="32"/>
        <v>51.523112349286762</v>
      </c>
      <c r="U69" s="269"/>
      <c r="V69" s="269"/>
      <c r="W69" s="1144">
        <f t="shared" si="33"/>
        <v>2.3308663265306131</v>
      </c>
      <c r="X69" s="1144">
        <f t="shared" si="33"/>
        <v>2.3308663265306131</v>
      </c>
      <c r="Y69" s="1144">
        <f t="shared" si="33"/>
        <v>2.1443970204081637</v>
      </c>
      <c r="Z69" s="1136">
        <f t="shared" si="34"/>
        <v>58.329242022756155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10.903834352539555</v>
      </c>
      <c r="AD69" s="271"/>
      <c r="AE69" s="272"/>
      <c r="AF69" s="269"/>
      <c r="AG69" s="229">
        <f t="shared" si="35"/>
        <v>14.299999999999999</v>
      </c>
      <c r="AH69" s="89">
        <f t="shared" si="36"/>
        <v>4.7382612244897961</v>
      </c>
      <c r="AI69" s="89">
        <f t="shared" si="37"/>
        <v>0.47382612244897965</v>
      </c>
      <c r="AJ69" s="89">
        <f t="shared" si="38"/>
        <v>4.7382612244897961</v>
      </c>
      <c r="AK69" s="227">
        <f>EquipmentSpecs!L69</f>
        <v>1.1100000000000001</v>
      </c>
      <c r="AL69" s="226">
        <f t="shared" si="39"/>
        <v>0.14951020408163271</v>
      </c>
      <c r="AM69" s="230">
        <f t="shared" si="40"/>
        <v>2.217236326530613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25</v>
      </c>
      <c r="L74" s="1257">
        <f>L69</f>
        <v>3.5</v>
      </c>
      <c r="M74" s="233">
        <f>EquipmentSpecs!C74</f>
        <v>0.7</v>
      </c>
      <c r="N74" s="235">
        <f t="shared" si="30"/>
        <v>7.424242424242423</v>
      </c>
      <c r="O74" s="236">
        <f t="shared" si="31"/>
        <v>0.13469387755102044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3.7863482528034531</v>
      </c>
      <c r="U74" s="235">
        <f>(((P74-(AQ74*P74))*AS74)+(AR74*(AQ74*P74)))/AO74</f>
        <v>61.186395417279016</v>
      </c>
      <c r="V74" s="235">
        <f>U74*O74*S74</f>
        <v>8.2414328521232978</v>
      </c>
      <c r="W74" s="1146">
        <f t="shared" si="33"/>
        <v>0.61330612244897975</v>
      </c>
      <c r="X74" s="1146">
        <f t="shared" si="33"/>
        <v>0.61330612244897975</v>
      </c>
      <c r="Y74" s="1146">
        <f t="shared" si="33"/>
        <v>0.56424163265306138</v>
      </c>
      <c r="Z74" s="1139">
        <f t="shared" si="34"/>
        <v>13.818634982477771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1.9434692615172968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0.765314448979592</v>
      </c>
      <c r="AG74" s="240">
        <f>0.044*R74</f>
        <v>8.58</v>
      </c>
      <c r="AH74" s="235">
        <f t="shared" ref="AH74:AH81" si="41">AG74*O74*$AJ$11*S74</f>
        <v>2.8429567346938787</v>
      </c>
      <c r="AI74" s="235">
        <f>AH74*0.1</f>
        <v>0.28429567346938789</v>
      </c>
      <c r="AJ74" s="235">
        <f>AH74</f>
        <v>2.8429567346938787</v>
      </c>
      <c r="AK74" s="459">
        <f>EquipmentSpecs!L74</f>
        <v>1.1100000000000001</v>
      </c>
      <c r="AL74" s="236">
        <f t="shared" si="39"/>
        <v>0.14951020408163271</v>
      </c>
      <c r="AM74" s="241">
        <f t="shared" si="40"/>
        <v>2.217236326530613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310.67316120476607</v>
      </c>
      <c r="U83" s="17"/>
      <c r="V83" s="257">
        <f>SUM(V64:V81)</f>
        <v>1538.8571742368051</v>
      </c>
      <c r="W83" s="1147"/>
      <c r="X83" s="1147">
        <f>Z83-(T83+V83)</f>
        <v>267.06951457711034</v>
      </c>
      <c r="Y83" s="1148">
        <f>(Z83-(T83+V83))/(T83+V83)</f>
        <v>0.14439855862831691</v>
      </c>
      <c r="Z83" s="257">
        <f>SUM(Z64:Z81)</f>
        <v>2116.5998500186815</v>
      </c>
      <c r="AA83" s="17"/>
      <c r="AB83" s="17"/>
      <c r="AC83" s="257">
        <f>SUM(AC64:AC81)</f>
        <v>113.32131611392035</v>
      </c>
      <c r="AD83" s="258"/>
      <c r="AE83" s="17"/>
      <c r="AF83" s="257">
        <f>SUM(AF64:AF81)</f>
        <v>142.85705190325226</v>
      </c>
      <c r="AG83" s="17"/>
      <c r="AH83" s="257">
        <f>SUM(AH64:AH81)</f>
        <v>971.56941782228239</v>
      </c>
      <c r="AI83" s="257">
        <f>SUM(AI64:AI81)</f>
        <v>97.156941782228245</v>
      </c>
      <c r="AJ83" s="257"/>
      <c r="AK83" s="17"/>
      <c r="AL83" s="259">
        <f>SUM(AL64:AL81)</f>
        <v>42.098828209826451</v>
      </c>
      <c r="AM83" s="257">
        <f>SUM(AM64:AM81)</f>
        <v>624.32562235172622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210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210</v>
      </c>
    </row>
    <row r="5" spans="2:14" ht="13.9" x14ac:dyDescent="0.4">
      <c r="B5" s="4" t="s">
        <v>21</v>
      </c>
      <c r="C5" s="1792">
        <f>Print_Budget!E3</f>
        <v>4.5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4.5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945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124.48</v>
      </c>
      <c r="D9" s="3"/>
      <c r="E9" s="1190"/>
      <c r="F9" s="3"/>
      <c r="G9" s="1185" t="s">
        <v>223</v>
      </c>
      <c r="H9" s="1800">
        <f>C9</f>
        <v>124.48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288.40749999999997</v>
      </c>
      <c r="D10" s="3"/>
      <c r="E10" s="1190"/>
      <c r="F10" s="3"/>
      <c r="G10" s="1185" t="s">
        <v>420</v>
      </c>
      <c r="H10" s="1794">
        <f t="shared" ref="H10:H21" si="0">C10</f>
        <v>288.40749999999997</v>
      </c>
      <c r="I10" s="3"/>
      <c r="J10" s="3"/>
      <c r="K10" s="1190"/>
      <c r="L10" s="3"/>
      <c r="M10" s="648" t="s">
        <v>777</v>
      </c>
      <c r="N10" s="1542">
        <f>Print_Summary!B20</f>
        <v>613.10681469830024</v>
      </c>
    </row>
    <row r="11" spans="2:14" ht="13.9" x14ac:dyDescent="0.4">
      <c r="B11" s="1185" t="s">
        <v>494</v>
      </c>
      <c r="C11" s="1794">
        <f>SUM(Print_Budget!F13:F17)</f>
        <v>53.767500000000005</v>
      </c>
      <c r="D11" s="3"/>
      <c r="E11" s="1190"/>
      <c r="F11" s="3"/>
      <c r="G11" s="1185" t="s">
        <v>494</v>
      </c>
      <c r="H11" s="1794">
        <f t="shared" si="0"/>
        <v>53.767500000000005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141.81069609360065</v>
      </c>
    </row>
    <row r="12" spans="2:14" ht="13.9" x14ac:dyDescent="0.4">
      <c r="B12" s="1185" t="s">
        <v>225</v>
      </c>
      <c r="C12" s="1794">
        <f>SUM(Print_Budget!F19:F22)</f>
        <v>57.5</v>
      </c>
      <c r="D12" s="3"/>
      <c r="E12" s="1190"/>
      <c r="F12" s="3"/>
      <c r="G12" s="1185" t="s">
        <v>225</v>
      </c>
      <c r="H12" s="1794">
        <f t="shared" si="0"/>
        <v>57.5</v>
      </c>
      <c r="I12" s="3"/>
      <c r="J12" s="3"/>
      <c r="K12" s="1190"/>
      <c r="L12" s="3"/>
      <c r="M12" s="648" t="s">
        <v>168</v>
      </c>
      <c r="N12" s="182">
        <f>SUM(N10:N11)</f>
        <v>754.9175107919009</v>
      </c>
    </row>
    <row r="13" spans="2:14" ht="13.9" x14ac:dyDescent="0.4">
      <c r="B13" s="1185" t="s">
        <v>421</v>
      </c>
      <c r="C13" s="1794">
        <f>Print_Budget!F30+Print_Budget!F31</f>
        <v>0</v>
      </c>
      <c r="D13" s="3"/>
      <c r="E13" s="1190"/>
      <c r="F13" s="3"/>
      <c r="G13" s="1185" t="s">
        <v>780</v>
      </c>
      <c r="H13" s="1794">
        <f t="shared" si="0"/>
        <v>0</v>
      </c>
      <c r="I13" s="3"/>
      <c r="J13" s="3"/>
      <c r="K13" s="1190"/>
      <c r="L13" s="3"/>
      <c r="M13" s="648" t="s">
        <v>790</v>
      </c>
      <c r="N13" s="1804">
        <f>Print_Summary!B27</f>
        <v>94.5</v>
      </c>
    </row>
    <row r="14" spans="2:14" ht="13.9" x14ac:dyDescent="0.4">
      <c r="B14" s="1185" t="s">
        <v>779</v>
      </c>
      <c r="C14" s="1794">
        <f>Print_Budget!F24+Print_Budget!F26</f>
        <v>13.425973645668794</v>
      </c>
      <c r="D14" s="3"/>
      <c r="E14" s="1190"/>
      <c r="F14" s="3"/>
      <c r="G14" s="1185" t="s">
        <v>779</v>
      </c>
      <c r="H14" s="1794">
        <f t="shared" si="0"/>
        <v>13.425973645668794</v>
      </c>
      <c r="I14" s="3"/>
      <c r="J14" s="3"/>
      <c r="K14" s="1190"/>
      <c r="L14" s="3"/>
      <c r="M14" s="652" t="s">
        <v>1007</v>
      </c>
      <c r="N14" s="173">
        <f>SUM(N12:N13)-N8</f>
        <v>849.4175107919009</v>
      </c>
    </row>
    <row r="15" spans="2:14" ht="13.9" x14ac:dyDescent="0.4">
      <c r="B15" s="1185" t="s">
        <v>422</v>
      </c>
      <c r="C15" s="1794">
        <f>Print_Budget!F28</f>
        <v>61.790841052631592</v>
      </c>
      <c r="D15" s="3"/>
      <c r="E15" s="1190"/>
      <c r="F15" s="3"/>
      <c r="G15" s="1185" t="s">
        <v>422</v>
      </c>
      <c r="H15" s="1794">
        <f t="shared" si="0"/>
        <v>61.790841052631592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6</v>
      </c>
      <c r="D16" s="3"/>
      <c r="E16" s="1190"/>
      <c r="F16" s="3"/>
      <c r="G16" s="1185" t="s">
        <v>778</v>
      </c>
      <c r="H16" s="1794">
        <f t="shared" si="0"/>
        <v>6</v>
      </c>
      <c r="I16" s="3"/>
      <c r="J16" s="3"/>
      <c r="K16" s="1190"/>
      <c r="L16" s="3"/>
      <c r="M16" s="652" t="s">
        <v>233</v>
      </c>
      <c r="N16" s="173">
        <f>N7-N14-N15</f>
        <v>95.582489208099105</v>
      </c>
    </row>
    <row r="17" spans="2:14" ht="13.9" x14ac:dyDescent="0.4">
      <c r="B17" s="1185" t="s">
        <v>1</v>
      </c>
      <c r="C17" s="1794">
        <f>Print_Budget!F35</f>
        <v>34</v>
      </c>
      <c r="D17" s="3"/>
      <c r="E17" s="1190"/>
      <c r="F17" s="3"/>
      <c r="G17" s="1185" t="s">
        <v>1</v>
      </c>
      <c r="H17" s="1794">
        <f t="shared" si="0"/>
        <v>34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37.772212433074053</v>
      </c>
      <c r="D18" s="3"/>
      <c r="E18" s="1190"/>
      <c r="F18" s="3"/>
      <c r="G18" s="1185" t="s">
        <v>205</v>
      </c>
      <c r="H18" s="1794">
        <f t="shared" si="0"/>
        <v>37.772212433074053</v>
      </c>
      <c r="I18" s="3"/>
      <c r="J18" s="3"/>
      <c r="K18" s="1190"/>
      <c r="L18" s="3"/>
      <c r="M18" s="648" t="s">
        <v>249</v>
      </c>
      <c r="N18" s="1803">
        <f>Print_Summary!B32</f>
        <v>250.69444962786272</v>
      </c>
    </row>
    <row r="19" spans="2:14" ht="13.9" x14ac:dyDescent="0.4">
      <c r="B19" s="1185" t="s">
        <v>214</v>
      </c>
      <c r="C19" s="1794">
        <f>Trips!E45+Trips!E51+Trips!E72+Trips!E76</f>
        <v>9.9588875547249955</v>
      </c>
      <c r="D19" s="3"/>
      <c r="E19" s="1190"/>
      <c r="F19" s="3"/>
      <c r="G19" s="1185" t="s">
        <v>214</v>
      </c>
      <c r="H19" s="1794">
        <f t="shared" si="0"/>
        <v>9.9588875547249955</v>
      </c>
      <c r="I19" s="3"/>
      <c r="J19" s="3"/>
      <c r="K19" s="1190"/>
      <c r="L19" s="3"/>
      <c r="M19" s="308" t="s">
        <v>650</v>
      </c>
      <c r="N19" s="173">
        <f>N14+N18</f>
        <v>1100.1119604197636</v>
      </c>
    </row>
    <row r="20" spans="2:14" ht="13.9" x14ac:dyDescent="0.4">
      <c r="B20" s="1185" t="s">
        <v>28</v>
      </c>
      <c r="C20" s="1794">
        <f>Print_Budget!F36</f>
        <v>29.906696105801601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-155.11196041976359</v>
      </c>
    </row>
    <row r="22" spans="2:14" ht="13.9" x14ac:dyDescent="0.4">
      <c r="B22" s="1185" t="s">
        <v>790</v>
      </c>
      <c r="C22" s="1794">
        <f>Print_Budget!F39+Print_Budget!F40</f>
        <v>92.4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2.1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244.96523160433111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114.58436047063228</v>
      </c>
      <c r="D26" s="3"/>
      <c r="E26" s="1190"/>
      <c r="F26" s="3"/>
      <c r="G26" s="648" t="s">
        <v>647</v>
      </c>
      <c r="H26" s="1801">
        <f>C28</f>
        <v>5.7292180235316144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130.38087113369883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5.7292180235316144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599.37181469830034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687.10291468609944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811.50961079190108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250.69444962786272</v>
      </c>
    </row>
    <row r="34" spans="2:3" ht="13.5" x14ac:dyDescent="0.35">
      <c r="B34" s="308" t="s">
        <v>650</v>
      </c>
      <c r="C34" s="173">
        <f>C32+C33</f>
        <v>1062.2040604197639</v>
      </c>
    </row>
    <row r="35" spans="2:3" ht="13.5" x14ac:dyDescent="0.35">
      <c r="B35" s="308" t="s">
        <v>761</v>
      </c>
      <c r="C35" s="173">
        <f>(C4*C5*C6)-C24-C34</f>
        <v>-117.20406041976389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>
        <f>IF(Machine!B19&gt;0,Machine!B19," ")</f>
        <v>1</v>
      </c>
      <c r="E10" s="1525"/>
      <c r="F10" s="1354">
        <f>IF(Machine!$B19&gt;0,E10*Trips!$M9*$D10," ")</f>
        <v>0</v>
      </c>
      <c r="G10" s="1394">
        <f>IF(AND($D10&gt;0,Machine!$H19&lt;=170),$E10,0)</f>
        <v>0</v>
      </c>
      <c r="H10" s="1393">
        <f>IF(Machine!$B19&gt;0,G10*Trips!$M9*$D10," ")</f>
        <v>0</v>
      </c>
      <c r="I10" s="1398">
        <f>IF(AND($D10&gt;0,Machine!$H19&gt;170,Machine!$H19&lt;200),$E10,0)</f>
        <v>0</v>
      </c>
      <c r="J10" s="1399">
        <f>IF(Machine!$B19&gt;0,I10*Trips!$M9*$D10," ")</f>
        <v>0</v>
      </c>
      <c r="K10" s="1404">
        <f>IF(AND($D10&gt;0,Machine!$H19&gt;=200,Machine!$H19&lt;250),$E10,0)</f>
        <v>0</v>
      </c>
      <c r="L10" s="1405">
        <f>IF(Machine!$B19&gt;0,K10*Trips!$M9*$D10," ")</f>
        <v>0</v>
      </c>
      <c r="M10" s="1413">
        <f>IF(AND($D10&gt;0,Machine!$H19&gt;=250),$E10,0)</f>
        <v>0</v>
      </c>
      <c r="N10" s="1412">
        <f>IF(Machine!$B19&gt;0,M10*Trips!$M9*$D10," ")</f>
        <v>0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>
        <f>IF(Machine!B20&gt;0,Machine!B20," ")</f>
        <v>1</v>
      </c>
      <c r="E11" s="1525">
        <v>1000</v>
      </c>
      <c r="F11" s="1354">
        <f>IF(Machine!$B20&gt;0,E11*Trips!$M10*$D11," ")</f>
        <v>60.307017543859651</v>
      </c>
      <c r="G11" s="1394">
        <f>IF(AND($D11&gt;0,Machine!$H20&lt;=170),$E11,0)</f>
        <v>0</v>
      </c>
      <c r="H11" s="1393">
        <f>IF(Machine!$B20&gt;0,G11*Trips!$M10*$D11," ")</f>
        <v>0</v>
      </c>
      <c r="I11" s="1398">
        <f>IF(AND($D11&gt;0,Machine!$H20&gt;170,Machine!$H20&lt;200),$E11,0)</f>
        <v>0</v>
      </c>
      <c r="J11" s="1399">
        <f>IF(Machine!$B20&gt;0,I11*Trips!$M10*$D11," ")</f>
        <v>0</v>
      </c>
      <c r="K11" s="1404">
        <f>IF(AND($D11&gt;0,Machine!$H20&gt;=200,Machine!$H20&lt;250),$E11,0)</f>
        <v>1000</v>
      </c>
      <c r="L11" s="1405">
        <f>IF(Machine!$B20&gt;0,K11*Trips!$M10*$D11," ")</f>
        <v>60.307017543859651</v>
      </c>
      <c r="M11" s="1413">
        <f>IF(AND($D11&gt;0,Machine!$H20&gt;=250),$E11,0)</f>
        <v>0</v>
      </c>
      <c r="N11" s="1412">
        <f>IF(Machine!$B20&gt;0,M11*Trips!$M10*$D11," ")</f>
        <v>0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 t="str">
        <f>IF(Machine!B25&gt;0,Machine!B25," ")</f>
        <v xml:space="preserve"> </v>
      </c>
      <c r="E16" s="1525"/>
      <c r="F16" s="1354" t="str">
        <f>IF(Machine!$B25&gt;0,E16*Trips!$M15*$D16," ")</f>
        <v xml:space="preserve"> </v>
      </c>
      <c r="G16" s="1394">
        <f>IF(AND($D16&gt;0,Machine!$H25&lt;=170),$E16,0)</f>
        <v>0</v>
      </c>
      <c r="H16" s="1393" t="str">
        <f>IF(Machine!$B25&gt;0,G16*Trips!$M15*$D16," ")</f>
        <v xml:space="preserve"> </v>
      </c>
      <c r="I16" s="1398">
        <f>IF(AND($D16&gt;0,Machine!$H25&gt;170,Machine!$H25&lt;200),$E16,0)</f>
        <v>0</v>
      </c>
      <c r="J16" s="1399" t="str">
        <f>IF(Machine!$B25&gt;0,I16*Trips!$M15*$D16," ")</f>
        <v xml:space="preserve"> </v>
      </c>
      <c r="K16" s="1404">
        <f>IF(AND($D16&gt;0,Machine!$H25&gt;=200,Machine!$H25&lt;250),$E16,0)</f>
        <v>0</v>
      </c>
      <c r="L16" s="1405" t="str">
        <f>IF(Machine!$B25&gt;0,K16*Trips!$M15*$D16," ")</f>
        <v xml:space="preserve"> </v>
      </c>
      <c r="M16" s="1413">
        <f>IF(AND($D16&gt;0,Machine!$H25&gt;=250),$E16,0)</f>
        <v>0</v>
      </c>
      <c r="N16" s="1412" t="str">
        <f>IF(Machine!$B25&gt;0,M16*Trips!$M15*$D16," ")</f>
        <v xml:space="preserve"> 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>
        <f>IF(Machine!B28&gt;0,Machine!B28," ")</f>
        <v>1</v>
      </c>
      <c r="E19" s="1525"/>
      <c r="F19" s="1354">
        <f>IF(Machine!$B28&gt;0,E19*Trips!$M18*$D19," ")</f>
        <v>0</v>
      </c>
      <c r="G19" s="1394">
        <f>IF(AND($D19&gt;0,Machine!$H28&lt;=170),$E19,0)</f>
        <v>0</v>
      </c>
      <c r="H19" s="1393">
        <f>IF(Machine!$B28&gt;0,G19*Trips!$M18*$D19," ")</f>
        <v>0</v>
      </c>
      <c r="I19" s="1398">
        <f>IF(AND($D19&gt;0,Machine!$H28&gt;170,Machine!$H28&lt;200),$E19,0)</f>
        <v>0</v>
      </c>
      <c r="J19" s="1399">
        <f>IF(Machine!$B28&gt;0,I19*Trips!$M18*$D19," ")</f>
        <v>0</v>
      </c>
      <c r="K19" s="1404">
        <f>IF(AND($D19&gt;0,Machine!$H28&gt;=200,Machine!$H28&lt;250),$E19,0)</f>
        <v>0</v>
      </c>
      <c r="L19" s="1405">
        <f>IF(Machine!$B28&gt;0,K19*Trips!$M18*$D19," ")</f>
        <v>0</v>
      </c>
      <c r="M19" s="1413">
        <f>IF(AND($D19&gt;0,Machine!$H28&gt;=250),$E19,0)</f>
        <v>0</v>
      </c>
      <c r="N19" s="1412">
        <f>IF(Machine!$B28&gt;0,M19*Trips!$M18*$D19," ")</f>
        <v>0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 t="str">
        <f>IF(Machine!B32&gt;0,Machine!B32," ")</f>
        <v xml:space="preserve"> </v>
      </c>
      <c r="E23" s="1525"/>
      <c r="F23" s="1354" t="str">
        <f>IF(Machine!$B32&gt;0,E23*Trips!$M22*$D23," ")</f>
        <v xml:space="preserve"> </v>
      </c>
      <c r="G23" s="1394">
        <f>IF(AND($D23&gt;0,Machine!$H32&lt;=170),$E23,0)</f>
        <v>0</v>
      </c>
      <c r="H23" s="1393" t="str">
        <f>IF(Machine!$B32&gt;0,G23*Trips!$M22*$D23," ")</f>
        <v xml:space="preserve"> </v>
      </c>
      <c r="I23" s="1398">
        <f>IF(AND($D23&gt;0,Machine!$H32&gt;170,Machine!$H32&lt;200),$E23,0)</f>
        <v>0</v>
      </c>
      <c r="J23" s="1399" t="str">
        <f>IF(Machine!$B32&gt;0,I23*Trips!$M22*$D23," ")</f>
        <v xml:space="preserve"> </v>
      </c>
      <c r="K23" s="1404">
        <f>IF(AND($D23&gt;0,Machine!$H32&gt;=200,Machine!$H32&lt;250),$E23,0)</f>
        <v>0</v>
      </c>
      <c r="L23" s="1405" t="str">
        <f>IF(Machine!$B32&gt;0,K23*Trips!$M22*$D23," ")</f>
        <v xml:space="preserve"> </v>
      </c>
      <c r="M23" s="1413">
        <f>IF(AND($D23&gt;0,Machine!$H32&gt;=250),$E23,0)</f>
        <v>0</v>
      </c>
      <c r="N23" s="1412" t="str">
        <f>IF(Machine!$B32&gt;0,M23*Trips!$M22*$D23," ")</f>
        <v xml:space="preserve"> 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>
        <f>IF(Machine!B34&gt;0,Machine!B34," ")</f>
        <v>1</v>
      </c>
      <c r="E25" s="1525">
        <v>1000</v>
      </c>
      <c r="F25" s="1354">
        <f>IF(Machine!$B34&gt;0,E25*Trips!$M24*$D25," ")</f>
        <v>36.488279522335247</v>
      </c>
      <c r="G25" s="1394">
        <f>IF(AND($D25&gt;0,Machine!$H34&lt;=170),$E25,0)</f>
        <v>0</v>
      </c>
      <c r="H25" s="1393">
        <f>IF(Machine!$B34&gt;0,G25*Trips!$M24*$D25," ")</f>
        <v>0</v>
      </c>
      <c r="I25" s="1398">
        <f>IF(AND($D25&gt;0,Machine!$H34&gt;170,Machine!$H34&lt;200),$E25,0)</f>
        <v>0</v>
      </c>
      <c r="J25" s="1399">
        <f>IF(Machine!$B34&gt;0,I25*Trips!$M24*$D25," ")</f>
        <v>0</v>
      </c>
      <c r="K25" s="1404">
        <f>IF(AND($D25&gt;0,Machine!$H34&gt;=200,Machine!$H34&lt;250),$E25,0)</f>
        <v>1000</v>
      </c>
      <c r="L25" s="1405">
        <f>IF(Machine!$B34&gt;0,K25*Trips!$M24*$D25," ")</f>
        <v>36.488279522335247</v>
      </c>
      <c r="M25" s="1413">
        <f>IF(AND($D25&gt;0,Machine!$H34&gt;=250),$E25,0)</f>
        <v>0</v>
      </c>
      <c r="N25" s="1412">
        <f>IF(Machine!$B34&gt;0,M25*Trips!$M24*$D25," ")</f>
        <v>0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>
        <f>IF(Machine!B35&gt;0,Machine!B35," ")</f>
        <v>1</v>
      </c>
      <c r="E26" s="1525">
        <v>1000</v>
      </c>
      <c r="F26" s="1354">
        <f>IF(Machine!$B35&gt;0,E26*Trips!$M25*$D26," ")</f>
        <v>58.760683760683754</v>
      </c>
      <c r="G26" s="1394">
        <f>IF(AND($D26&gt;0,Machine!$H35&lt;=170),$E26,0)</f>
        <v>0</v>
      </c>
      <c r="H26" s="1393">
        <f>IF(Machine!$B35&gt;0,G26*Trips!$M25*$D26," ")</f>
        <v>0</v>
      </c>
      <c r="I26" s="1398">
        <f>IF(AND($D26&gt;0,Machine!$H35&gt;170,Machine!$H35&lt;200),$E26,0)</f>
        <v>1000</v>
      </c>
      <c r="J26" s="1399">
        <f>IF(Machine!$B35&gt;0,I26*Trips!$M25*$D26," ")</f>
        <v>58.760683760683754</v>
      </c>
      <c r="K26" s="1404">
        <f>IF(AND($D26&gt;0,Machine!$H35&gt;=200,Machine!$H35&lt;250),$E26,0)</f>
        <v>0</v>
      </c>
      <c r="L26" s="1405">
        <f>IF(Machine!$B35&gt;0,K26*Trips!$M25*$D26," ")</f>
        <v>0</v>
      </c>
      <c r="M26" s="1413">
        <f>IF(AND($D26&gt;0,Machine!$H35&gt;=250),$E26,0)</f>
        <v>0</v>
      </c>
      <c r="N26" s="1412">
        <f>IF(Machine!$B35&gt;0,M26*Trips!$M25*$D26," ")</f>
        <v>0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 t="str">
        <f>IF(Machine!B37&gt;0,Machine!B37," ")</f>
        <v xml:space="preserve"> </v>
      </c>
      <c r="E28" s="1525"/>
      <c r="F28" s="1354" t="str">
        <f>IF(Machine!$B37&gt;0,E28*Trips!$M27*$D28," ")</f>
        <v xml:space="preserve"> </v>
      </c>
      <c r="G28" s="1394">
        <f>IF(AND($D28&gt;0,Machine!$H37&lt;=170),$E28,0)</f>
        <v>0</v>
      </c>
      <c r="H28" s="1393" t="str">
        <f>IF(Machine!$B37&gt;0,G28*Trips!$M27*$D28," ")</f>
        <v xml:space="preserve"> </v>
      </c>
      <c r="I28" s="1398">
        <f>IF(AND($D28&gt;0,Machine!$H37&gt;170,Machine!$H37&lt;200),$E28,0)</f>
        <v>0</v>
      </c>
      <c r="J28" s="1399" t="str">
        <f>IF(Machine!$B37&gt;0,I28*Trips!$M27*$D28," ")</f>
        <v xml:space="preserve"> </v>
      </c>
      <c r="K28" s="1404">
        <f>IF(AND($D28&gt;0,Machine!$H37&gt;=200,Machine!$H37&lt;250),$E28,0)</f>
        <v>0</v>
      </c>
      <c r="L28" s="1405" t="str">
        <f>IF(Machine!$B37&gt;0,K28*Trips!$M27*$D28," ")</f>
        <v xml:space="preserve"> </v>
      </c>
      <c r="M28" s="1413">
        <f>IF(AND($D28&gt;0,Machine!$H37&gt;=250),$E28,0)</f>
        <v>0</v>
      </c>
      <c r="N28" s="1412" t="str">
        <f>IF(Machine!$B37&gt;0,M28*Trips!$M27*$D28," ")</f>
        <v xml:space="preserve"> 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>
        <f>IF(Machine!B69&gt;0,Machine!B69," ")</f>
        <v>1</v>
      </c>
      <c r="E60" s="1525"/>
      <c r="F60" s="1354">
        <f>IF(Machine!$B69&gt;0,E60*Trips!$M$59*$D60," ")</f>
        <v>0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>
        <f>IF(Machine!B70&gt;0,Machine!B70," ")</f>
        <v>1</v>
      </c>
      <c r="E61" s="1525"/>
      <c r="F61" s="1354">
        <f>IF(Machine!$B70&gt;0,E61*Trips!$M$59*$D61," ")</f>
        <v>0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>
        <f>IF(Machine!B74&gt;0,Machine!B74," ")</f>
        <v>1</v>
      </c>
      <c r="E65" s="1525"/>
      <c r="F65" s="1354">
        <f>IF(Machine!$B74&gt;0,E65*Trips!$M$59*$D65," ")</f>
        <v>0</v>
      </c>
      <c r="G65" s="1394">
        <f>IF(AND($D65&gt;0,Machine!$H74&lt;=170),$E65,0)</f>
        <v>0</v>
      </c>
      <c r="H65" s="1393">
        <f>IF(Machine!$B74&gt;0,G65*Trips!$M$59*$D65," ")</f>
        <v>0</v>
      </c>
      <c r="I65" s="1398">
        <f>IF(AND($D65&gt;0,Machine!$H74&gt;170,Machine!$H74&lt;200),$E65,0)</f>
        <v>0</v>
      </c>
      <c r="J65" s="1399">
        <f>IF(Machine!$B74&gt;0,I65*Trips!$M$59*$D65," ")</f>
        <v>0</v>
      </c>
      <c r="K65" s="1404">
        <f>IF(AND($D65&gt;0,Machine!$H74&gt;=200,Machine!$H74&lt;250),$E65,0)</f>
        <v>0</v>
      </c>
      <c r="L65" s="1405">
        <f>IF(Machine!$B74&gt;0,K65*Trips!$M$59*$D65," ")</f>
        <v>0</v>
      </c>
      <c r="M65" s="1413">
        <f>IF(AND($D65&gt;0,Machine!$H74&gt;=250),$E65,0)</f>
        <v>0</v>
      </c>
      <c r="N65" s="1412">
        <f>IF(Machine!$B74&gt;0,M65*Trips!$M$59*$D65," ")</f>
        <v>0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58.760683760683754</v>
      </c>
      <c r="K73" s="3"/>
      <c r="L73" s="1359">
        <f>SUM(L5:L72)</f>
        <v>96.795297066194905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200</v>
      </c>
      <c r="C4" s="182">
        <f>SUM(A5_Chem_Look_Up!G24:G33)+SUM(A5_Chem_Look_Up!G38:G39)</f>
        <v>0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200</v>
      </c>
      <c r="C6" s="182">
        <f>C4+C5</f>
        <v>0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5.9147098834802154</v>
      </c>
      <c r="C7" s="1456">
        <f>C6/$E$6</f>
        <v>0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38.090731649612593</v>
      </c>
      <c r="C9" s="1459">
        <f>C7*C8</f>
        <v>0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435</v>
      </c>
      <c r="D15" s="1456">
        <f>C15/$B$12</f>
        <v>197.31246810682089</v>
      </c>
      <c r="E15" s="1456">
        <v>1.3</v>
      </c>
      <c r="F15" s="1456">
        <f>D15*E15</f>
        <v>256.50620853886716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175</v>
      </c>
      <c r="D16" s="1456">
        <f>C16/$B$12</f>
        <v>79.378579123433695</v>
      </c>
      <c r="E16" s="1456">
        <v>0.2</v>
      </c>
      <c r="F16" s="1456">
        <f>D16*E16</f>
        <v>15.87571582468674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130</v>
      </c>
      <c r="D17" s="1456">
        <f>C17/$B$12</f>
        <v>58.966944491693596</v>
      </c>
      <c r="E17" s="1456">
        <v>0.16</v>
      </c>
      <c r="F17" s="1456">
        <f>D17*E17</f>
        <v>9.4347111186709753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281.81663548222485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435</v>
      </c>
      <c r="D22" s="1456">
        <f>C22/$B$12</f>
        <v>197.31246810682089</v>
      </c>
      <c r="E22" s="1456">
        <v>1.27</v>
      </c>
      <c r="F22" s="1459">
        <f>D22*E22</f>
        <v>250.58683449566254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5.4577128640930059</v>
      </c>
      <c r="D28" s="1456">
        <f>C28/$B$25</f>
        <v>20.659851096237293</v>
      </c>
      <c r="E28" s="1456">
        <v>0.84</v>
      </c>
      <c r="F28" s="1456">
        <f>D28*E28</f>
        <v>17.354274920839327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25.118228070175444</v>
      </c>
      <c r="D29" s="1450">
        <f>C29/$B$25</f>
        <v>95.083575236307837</v>
      </c>
      <c r="E29" s="1450">
        <v>0.84</v>
      </c>
      <c r="F29" s="1450">
        <f>D29*E29</f>
        <v>79.870203198498587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97.224478119337917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667.71867974683789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1649.9996295224109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619.22512672223172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1030.7745028001791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2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pt</v>
      </c>
      <c r="D6" s="1165">
        <f>VLOOKUP(1,$I$6:$P$3099,5,FALSE)</f>
        <v>2.25</v>
      </c>
      <c r="E6" s="1165">
        <f>VLOOKUP(1,$I$6:$P$3099,6,FALSE)</f>
        <v>2</v>
      </c>
      <c r="F6" s="82">
        <f>D6*E6</f>
        <v>4.5</v>
      </c>
      <c r="G6" s="1166">
        <f>VLOOKUP(1,$I$6:$P$3099,8,FALSE)</f>
        <v>32</v>
      </c>
      <c r="H6" s="1073">
        <f>VLOOKUP(1,$I$6:$Q$3099,9,FALSE)</f>
        <v>2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2,4-D</v>
      </c>
      <c r="B7" s="1166" t="str">
        <f>VLOOKUP(2,$I$6:$P$3099,3,FALSE)</f>
        <v/>
      </c>
      <c r="C7" s="1166" t="str">
        <f>VLOOKUP(2,$I$6:$P$3099,4,FALSE)</f>
        <v>pt</v>
      </c>
      <c r="D7" s="1165">
        <f>VLOOKUP(2,$I$6:$P$3099,5,FALSE)</f>
        <v>4.375</v>
      </c>
      <c r="E7" s="1165">
        <f>VLOOKUP(2,$I$6:$P$3099,6,FALSE)</f>
        <v>2</v>
      </c>
      <c r="F7" s="82">
        <f>D7*E7</f>
        <v>8.75</v>
      </c>
      <c r="G7" s="1166">
        <f>VLOOKUP(2,$I$6:$P$3099,8,FALSE)</f>
        <v>32</v>
      </c>
      <c r="H7" s="1073">
        <f>VLOOKUP(2,$I$6:$Q$3099,9,FALSE)</f>
        <v>2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Dual Magnum</v>
      </c>
      <c r="B8" s="1166" t="str">
        <f>VLOOKUP(3,$I$6:$P$3099,3,FALSE)</f>
        <v/>
      </c>
      <c r="C8" s="1166" t="str">
        <f>VLOOKUP(3,$I$6:$P$3099,4,FALSE)</f>
        <v>pt</v>
      </c>
      <c r="D8" s="1165">
        <f>VLOOKUP(3,$I$6:$P$3099,5,FALSE)</f>
        <v>5.75</v>
      </c>
      <c r="E8" s="1165">
        <f>VLOOKUP(3,$I$6:$P$3099,6,FALSE)</f>
        <v>1.3</v>
      </c>
      <c r="F8" s="82">
        <f t="shared" ref="F8:F19" si="2">D8*E8</f>
        <v>7.4750000000000005</v>
      </c>
      <c r="G8" s="1166">
        <f>VLOOKUP(3,$I$6:$P$3099,8,FALSE)</f>
        <v>20.8</v>
      </c>
      <c r="H8" s="1073">
        <f>VLOOKUP(3,$I$6:$Q$3099,9,FALSE)</f>
        <v>2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Halex GT</v>
      </c>
      <c r="B9" s="1166" t="str">
        <f>VLOOKUP(4,$I$6:$P$3099,3,FALSE)</f>
        <v/>
      </c>
      <c r="C9" s="1166" t="str">
        <f>VLOOKUP(4,$I$6:$P$3099,4,FALSE)</f>
        <v>pt</v>
      </c>
      <c r="D9" s="1165">
        <f>VLOOKUP(4,$I$6:$P$3099,5,FALSE)</f>
        <v>6.8937499999999998</v>
      </c>
      <c r="E9" s="1165">
        <f>VLOOKUP(4,$I$6:$P$3099,6,FALSE)</f>
        <v>3.6</v>
      </c>
      <c r="F9" s="82">
        <f t="shared" si="2"/>
        <v>24.817499999999999</v>
      </c>
      <c r="G9" s="1166">
        <f>VLOOKUP(4,$I$6:$P$3099,8,FALSE)</f>
        <v>115.2</v>
      </c>
      <c r="H9" s="1073">
        <f>VLOOKUP(4,$I$6:$Q$3099,9,FALSE)</f>
        <v>2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Atrazine</v>
      </c>
      <c r="B10" s="1166" t="str">
        <f>VLOOKUP(5,$I$6:$P$3099,3,FALSE)</f>
        <v/>
      </c>
      <c r="C10" s="1166" t="str">
        <f>VLOOKUP(5,$I$6:$P$3099,4,FALSE)</f>
        <v>qt</v>
      </c>
      <c r="D10" s="1165">
        <f>VLOOKUP(5,$I$6:$P$3099,5,FALSE)</f>
        <v>4.1124999999999998</v>
      </c>
      <c r="E10" s="1165">
        <f>VLOOKUP(5,$I$6:$P$3099,6,FALSE)</f>
        <v>2</v>
      </c>
      <c r="F10" s="82">
        <f t="shared" si="2"/>
        <v>8.2249999999999996</v>
      </c>
      <c r="G10" s="1166">
        <f>VLOOKUP(5,$I$6:$P$3099,8,FALSE)</f>
        <v>0</v>
      </c>
      <c r="H10" s="1073">
        <f>VLOOKUP(5,$I$6:$Q$3099,9,FALSE)</f>
        <v>2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Other</v>
      </c>
      <c r="B11" s="1166" t="str">
        <f>VLOOKUP(6,$I$6:$P$3099,3,FALSE)</f>
        <v/>
      </c>
      <c r="C11" s="1166">
        <f>VLOOKUP(6,$I$6:$P$3099,4,FALSE)</f>
        <v>0</v>
      </c>
      <c r="D11" s="1165">
        <f>VLOOKUP(6,$I$6:$P$3099,5,FALSE)</f>
        <v>0</v>
      </c>
      <c r="E11" s="1165">
        <f>VLOOKUP(6,$I$6:$P$3099,6,FALSE)</f>
        <v>0</v>
      </c>
      <c r="F11" s="82">
        <f t="shared" si="2"/>
        <v>0</v>
      </c>
      <c r="G11" s="1166">
        <f>VLOOKUP(6,$I$6:$P$3099,8,FALSE)</f>
        <v>0</v>
      </c>
      <c r="H11" s="1073">
        <f>VLOOKUP(6,$I$6:$Q$3099,9,FALSE)</f>
        <v>2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Other</v>
      </c>
      <c r="B12" s="1166" t="str">
        <f>VLOOKUP(7,$I$6:$P$3099,3,FALSE)</f>
        <v/>
      </c>
      <c r="C12" s="1166">
        <f>VLOOKUP(7,$I$6:$P$3099,4,FALSE)</f>
        <v>0</v>
      </c>
      <c r="D12" s="1165">
        <f>VLOOKUP(7,$I$6:$P$3099,5,FALSE)</f>
        <v>0</v>
      </c>
      <c r="E12" s="1165">
        <f>VLOOKUP(7,$I$6:$P$3099,6,FALSE)</f>
        <v>0</v>
      </c>
      <c r="F12" s="82">
        <f t="shared" si="2"/>
        <v>0</v>
      </c>
      <c r="G12" s="1166">
        <f>VLOOKUP(7,$I$6:$P$3099,8,FALSE)</f>
        <v>0</v>
      </c>
      <c r="H12" s="1073">
        <f>VLOOKUP(7,$I$6:$Q$3099,9,FALSE)</f>
        <v>2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Other</v>
      </c>
      <c r="B13" s="1166" t="str">
        <f>VLOOKUP(8,$I$6:$P$3099,3,FALSE)</f>
        <v/>
      </c>
      <c r="C13" s="1166">
        <f>VLOOKUP(8,$I$6:$P$3099,4,FALSE)</f>
        <v>0</v>
      </c>
      <c r="D13" s="1165">
        <f>VLOOKUP(8,$I$6:$P$3099,5,FALSE)</f>
        <v>0</v>
      </c>
      <c r="E13" s="1165">
        <f>VLOOKUP(8,$I$6:$P$3099,6,FALSE)</f>
        <v>0</v>
      </c>
      <c r="F13" s="82">
        <f t="shared" si="2"/>
        <v>0</v>
      </c>
      <c r="G13" s="1166">
        <f>VLOOKUP(8,$I$6:$P$3099,8,FALSE)</f>
        <v>0</v>
      </c>
      <c r="H13" s="1073">
        <f>VLOOKUP(8,$I$6:$Q$3099,9,FALSE)</f>
        <v>2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Other</v>
      </c>
      <c r="B14" s="1166" t="str">
        <f>VLOOKUP(9,$I$6:$P$3099,3,FALSE)</f>
        <v/>
      </c>
      <c r="C14" s="1166">
        <f>VLOOKUP(9,$I$6:$P$3099,4,FALSE)</f>
        <v>0</v>
      </c>
      <c r="D14" s="1165">
        <f>VLOOKUP(9,$I$6:$P$3099,5,FALSE)</f>
        <v>0</v>
      </c>
      <c r="E14" s="1165">
        <f>VLOOKUP(9,$I$6:$P$3099,6,FALSE)</f>
        <v>0</v>
      </c>
      <c r="F14" s="82">
        <f t="shared" si="2"/>
        <v>0</v>
      </c>
      <c r="G14" s="1166">
        <f>VLOOKUP(9,$I$6:$P$3099,8,FALSE)</f>
        <v>0</v>
      </c>
      <c r="H14" s="1073">
        <f>VLOOKUP(9,$I$6:$Q$3099,9,FALSE)</f>
        <v>2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 t="str">
        <f>VLOOKUP(10,$I$6:$P$3099,3,FALSE)</f>
        <v/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2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 t="str">
        <f>VLOOKUP(11,$I$6:$P$3099,3,FALSE)</f>
        <v/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2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2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2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2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53.767500000000005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Other</v>
      </c>
      <c r="B24" s="1166" t="str">
        <f>VLOOKUP(15,$I$6:$P$3099,3,FALSE)</f>
        <v/>
      </c>
      <c r="C24" s="1166">
        <f>VLOOKUP(15,$I$6:$P$3099,4,FALSE)</f>
        <v>0</v>
      </c>
      <c r="D24" s="1165">
        <f>VLOOKUP(15,$I$6:$P$3099,5,FALSE)</f>
        <v>0</v>
      </c>
      <c r="E24" s="1165">
        <f>VLOOKUP(15,$I$6:$P$3099,6,FALSE)</f>
        <v>0</v>
      </c>
      <c r="F24" s="82">
        <f t="shared" ref="F24:F33" si="4">D24*E24</f>
        <v>0</v>
      </c>
      <c r="G24" s="1166">
        <f>VLOOKUP(15,$I$6:$P$3099,8,FALSE)</f>
        <v>0</v>
      </c>
      <c r="H24" s="1073">
        <f>VLOOKUP(15,$I$6:$Q$3099,9,FALSE)</f>
        <v>2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Other</v>
      </c>
      <c r="B25" s="1166" t="str">
        <f>VLOOKUP(16,$I$6:$P$3099,3,FALSE)</f>
        <v/>
      </c>
      <c r="C25" s="1166">
        <f>VLOOKUP(16,$I$6:$P$3099,4,FALSE)</f>
        <v>0</v>
      </c>
      <c r="D25" s="1165">
        <f>VLOOKUP(16,$I$6:$P$3099,5,FALSE)</f>
        <v>0</v>
      </c>
      <c r="E25" s="1165">
        <f>VLOOKUP(16,$I$6:$P$3099,6,FALSE)</f>
        <v>0</v>
      </c>
      <c r="F25" s="82">
        <f t="shared" si="4"/>
        <v>0</v>
      </c>
      <c r="G25" s="1166">
        <f>VLOOKUP(16,$I$6:$P$3099,8,FALSE)</f>
        <v>0</v>
      </c>
      <c r="H25" s="1073">
        <f>VLOOKUP(16,$I$6:$Q$3099,9,FALSE)</f>
        <v>2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Other</v>
      </c>
      <c r="B26" s="1166" t="str">
        <f>VLOOKUP(17,$I$6:$P$3099,3,FALSE)</f>
        <v/>
      </c>
      <c r="C26" s="1166">
        <f>VLOOKUP(17,$I$6:$P$3099,4,FALSE)</f>
        <v>0</v>
      </c>
      <c r="D26" s="1165">
        <f>VLOOKUP(17,$I$6:$P$3099,5,FALSE)</f>
        <v>0</v>
      </c>
      <c r="E26" s="1165">
        <f>VLOOKUP(17,$I$6:$P$3099,6,FALSE)</f>
        <v>0</v>
      </c>
      <c r="F26" s="82">
        <f t="shared" si="4"/>
        <v>0</v>
      </c>
      <c r="G26" s="1166">
        <f>VLOOKUP(17,$I$6:$P$3099,8,FALSE)</f>
        <v>0</v>
      </c>
      <c r="H26" s="1073">
        <f>VLOOKUP(17,$I$6:$Q$3099,9,FALSE)</f>
        <v>2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 t="str">
        <f>VLOOKUP(18,$I$6:$P$3099,3,FALSE)</f>
        <v/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2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2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2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2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2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2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2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0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Fungicide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Fungicide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Other</v>
      </c>
      <c r="B38" s="1166" t="str">
        <f>VLOOKUP(25,$I$6:$P$3099,3,FALSE)</f>
        <v/>
      </c>
      <c r="C38" s="1166">
        <f>VLOOKUP(25,$I$6:$P$3099,4,FALSE)</f>
        <v>0</v>
      </c>
      <c r="D38" s="1165">
        <f>VLOOKUP(25,$I$6:$P$3099,5,FALSE)</f>
        <v>0</v>
      </c>
      <c r="E38" s="1165">
        <f>VLOOKUP(25,$I$6:$P$3099,6,FALSE)</f>
        <v>0</v>
      </c>
      <c r="F38" s="82">
        <f>D38*E38</f>
        <v>0</v>
      </c>
      <c r="G38" s="1166">
        <f>VLOOKUP(25,$I$6:$P$3099,8,FALSE)</f>
        <v>0</v>
      </c>
      <c r="H38" s="1073">
        <f>VLOOKUP(25,$I$6:$Q$3099,9,FALSE)</f>
        <v>2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2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0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Other Chemical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Other Chemical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Other</v>
      </c>
      <c r="B44" s="1166" t="str">
        <f>VLOOKUP(27,$I$6:$P$3099,3,FALSE)</f>
        <v/>
      </c>
      <c r="C44" s="1166">
        <f>VLOOKUP(27,$I$6:$P$3099,4,FALSE)</f>
        <v>0</v>
      </c>
      <c r="D44" s="1165">
        <f>VLOOKUP(27,$I$6:$P$3099,5,FALSE)</f>
        <v>0</v>
      </c>
      <c r="E44" s="1165">
        <f>VLOOKUP(27,$I$6:$P$3099,6,FALSE)</f>
        <v>0</v>
      </c>
      <c r="F44" s="82">
        <f t="shared" ref="F44:F50" si="8">D44*E44</f>
        <v>0</v>
      </c>
      <c r="G44" s="1166">
        <f>VLOOKUP(27,$I$6:$P$3099,8,FALSE)</f>
        <v>0</v>
      </c>
      <c r="H44" s="1073">
        <f>VLOOKUP(27,$I$6:$Q$3099,9,FALSE)</f>
        <v>2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Other</v>
      </c>
      <c r="B45" s="1166" t="str">
        <f>VLOOKUP(28,$I$6:$P$3099,3,FALSE)</f>
        <v/>
      </c>
      <c r="C45" s="1166">
        <f>VLOOKUP(28,$I$6:$P$3099,4,FALSE)</f>
        <v>0</v>
      </c>
      <c r="D45" s="1165">
        <f>VLOOKUP(28,$I$6:$P$3099,5,FALSE)</f>
        <v>0</v>
      </c>
      <c r="E45" s="1165">
        <f>VLOOKUP(28,$I$6:$P$3099,6,FALSE)</f>
        <v>0</v>
      </c>
      <c r="F45" s="82">
        <f t="shared" si="8"/>
        <v>0</v>
      </c>
      <c r="G45" s="1166">
        <f>VLOOKUP(28,$I$6:$P$3099,8,FALSE)</f>
        <v>0</v>
      </c>
      <c r="H45" s="1073">
        <f>VLOOKUP(28,$I$6:$Q$3099,9,FALSE)</f>
        <v>2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Other</v>
      </c>
      <c r="B46" s="1166" t="str">
        <f>VLOOKUP(29,$I$6:$P$3099,3,FALSE)</f>
        <v/>
      </c>
      <c r="C46" s="1166">
        <f>VLOOKUP(29,$I$6:$P$3099,4,FALSE)</f>
        <v>0</v>
      </c>
      <c r="D46" s="1165">
        <f>VLOOKUP(29,$I$6:$P$3099,5,FALSE)</f>
        <v>0</v>
      </c>
      <c r="E46" s="1165">
        <f>VLOOKUP(29,$I$6:$P$3099,6,FALSE)</f>
        <v>0</v>
      </c>
      <c r="F46" s="82">
        <f t="shared" si="8"/>
        <v>0</v>
      </c>
      <c r="G46" s="1166">
        <f>VLOOKUP(29,$I$6:$P$3099,8,FALSE)</f>
        <v>0</v>
      </c>
      <c r="H46" s="1073">
        <f>VLOOKUP(29,$I$6:$Q$3099,9,FALSE)</f>
        <v>2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 t="str">
        <f>VLOOKUP(30,$I$6:$P$3099,3,FALSE)</f>
        <v/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2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2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2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2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0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Other</v>
      </c>
      <c r="B55" s="1166" t="str">
        <f>VLOOKUP(34,$I$6:$P$3099,3,FALSE)</f>
        <v/>
      </c>
      <c r="C55" s="1166">
        <f>VLOOKUP(34,$I$6:$P$3099,4,FALSE)</f>
        <v>0</v>
      </c>
      <c r="D55" s="1165">
        <f>VLOOKUP(34,$I$6:$P$3099,5,FALSE)</f>
        <v>0</v>
      </c>
      <c r="E55" s="1165">
        <f>VLOOKUP(34,$I$6:$P$3099,6,FALSE)</f>
        <v>0</v>
      </c>
      <c r="F55" s="82">
        <f t="shared" ref="F55:F61" si="12">D55*E55</f>
        <v>0</v>
      </c>
      <c r="G55" s="1166">
        <f>VLOOKUP(34,$I$6:$P$3099,8,FALSE)</f>
        <v>0</v>
      </c>
      <c r="H55" s="1073">
        <f>VLOOKUP(34,$I$6:$Q$3099,9,FALSE)</f>
        <v>2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 t="str">
        <f>VLOOKUP(35,$I$6:$P$3099,3,FALSE)</f>
        <v/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2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 t="str">
        <f>VLOOKUP(36,$I$6:$P$3099,3,FALSE)</f>
        <v/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2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 t="str">
        <f>VLOOKUP(37,$I$6:$P$3099,3,FALSE)</f>
        <v/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2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 t="str">
        <f>VLOOKUP(38,$I$6:$P$3099,3,FALSE)</f>
        <v/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2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2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2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0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1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2</v>
      </c>
    </row>
    <row r="69" spans="9:17" ht="13.9" x14ac:dyDescent="0.4">
      <c r="I69" s="1073">
        <f t="shared" ref="I69:I81" si="17">IF($A$1=2,I68+1,0)</f>
        <v>2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2</v>
      </c>
    </row>
    <row r="70" spans="9:17" ht="13.9" x14ac:dyDescent="0.4">
      <c r="I70" s="1073">
        <f t="shared" si="17"/>
        <v>3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2</v>
      </c>
    </row>
    <row r="71" spans="9:17" ht="13.9" x14ac:dyDescent="0.4">
      <c r="I71" s="1073">
        <f t="shared" si="17"/>
        <v>4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2</v>
      </c>
    </row>
    <row r="72" spans="9:17" ht="13.9" x14ac:dyDescent="0.4">
      <c r="I72" s="1073">
        <f t="shared" si="17"/>
        <v>5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2</v>
      </c>
    </row>
    <row r="73" spans="9:17" ht="13.9" x14ac:dyDescent="0.4">
      <c r="I73" s="1073">
        <f t="shared" si="17"/>
        <v>6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2</v>
      </c>
    </row>
    <row r="74" spans="9:17" ht="13.9" x14ac:dyDescent="0.4">
      <c r="I74" s="1073">
        <f t="shared" si="17"/>
        <v>7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2</v>
      </c>
    </row>
    <row r="75" spans="9:17" ht="13.9" x14ac:dyDescent="0.4">
      <c r="I75" s="1073">
        <f t="shared" si="17"/>
        <v>8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2</v>
      </c>
    </row>
    <row r="76" spans="9:17" ht="13.9" x14ac:dyDescent="0.4">
      <c r="I76" s="1073">
        <f t="shared" si="17"/>
        <v>9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2</v>
      </c>
    </row>
    <row r="77" spans="9:17" ht="13.9" x14ac:dyDescent="0.4">
      <c r="I77" s="1073">
        <f t="shared" si="17"/>
        <v>10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2</v>
      </c>
    </row>
    <row r="78" spans="9:17" ht="13.9" x14ac:dyDescent="0.4">
      <c r="I78" s="1073">
        <f t="shared" si="17"/>
        <v>11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2</v>
      </c>
    </row>
    <row r="79" spans="9:17" ht="13.9" x14ac:dyDescent="0.4">
      <c r="I79" s="1073">
        <f t="shared" si="17"/>
        <v>12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2</v>
      </c>
    </row>
    <row r="80" spans="9:17" ht="13.9" x14ac:dyDescent="0.4">
      <c r="I80" s="1073">
        <f t="shared" si="17"/>
        <v>13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2</v>
      </c>
    </row>
    <row r="81" spans="9:17" ht="13.9" x14ac:dyDescent="0.4">
      <c r="I81" s="1073">
        <f t="shared" si="17"/>
        <v>14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2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15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2</v>
      </c>
    </row>
    <row r="87" spans="9:17" ht="13.9" x14ac:dyDescent="0.4">
      <c r="I87" s="1073">
        <f t="shared" ref="I87:I95" si="20">IF($A$1=2,I86+1,0)</f>
        <v>16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2</v>
      </c>
    </row>
    <row r="88" spans="9:17" ht="13.9" x14ac:dyDescent="0.4">
      <c r="I88" s="1073">
        <f t="shared" si="20"/>
        <v>17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2</v>
      </c>
    </row>
    <row r="89" spans="9:17" ht="13.9" x14ac:dyDescent="0.4">
      <c r="I89" s="1073">
        <f t="shared" si="20"/>
        <v>18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2</v>
      </c>
    </row>
    <row r="90" spans="9:17" ht="13.9" x14ac:dyDescent="0.4">
      <c r="I90" s="1073">
        <f t="shared" si="20"/>
        <v>19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2</v>
      </c>
    </row>
    <row r="91" spans="9:17" ht="13.9" x14ac:dyDescent="0.4">
      <c r="I91" s="1073">
        <f t="shared" si="20"/>
        <v>20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2</v>
      </c>
    </row>
    <row r="92" spans="9:17" ht="13.9" x14ac:dyDescent="0.4">
      <c r="I92" s="1073">
        <f t="shared" si="20"/>
        <v>21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2</v>
      </c>
    </row>
    <row r="93" spans="9:17" ht="13.9" x14ac:dyDescent="0.4">
      <c r="I93" s="1073">
        <f t="shared" si="20"/>
        <v>22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2</v>
      </c>
    </row>
    <row r="94" spans="9:17" ht="13.9" x14ac:dyDescent="0.4">
      <c r="I94" s="1073">
        <f t="shared" si="20"/>
        <v>23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2</v>
      </c>
    </row>
    <row r="95" spans="9:17" ht="13.9" x14ac:dyDescent="0.4">
      <c r="I95" s="1073">
        <f t="shared" si="20"/>
        <v>24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2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Fungicide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25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2</v>
      </c>
    </row>
    <row r="101" spans="9:17" ht="13.9" x14ac:dyDescent="0.4">
      <c r="I101" s="1073">
        <f>IF($A$1=2,I100+1,0)</f>
        <v>26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2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Other Chemical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27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2</v>
      </c>
    </row>
    <row r="107" spans="9:17" ht="13.9" x14ac:dyDescent="0.4">
      <c r="I107" s="1073">
        <f t="shared" ref="I107:I112" si="23">IF($A$1=2,I106+1,0)</f>
        <v>28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2</v>
      </c>
    </row>
    <row r="108" spans="9:17" ht="13.9" x14ac:dyDescent="0.4">
      <c r="I108" s="1073">
        <f t="shared" si="23"/>
        <v>29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2</v>
      </c>
    </row>
    <row r="109" spans="9:17" ht="13.9" x14ac:dyDescent="0.4">
      <c r="I109" s="1073">
        <f t="shared" si="23"/>
        <v>30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2</v>
      </c>
    </row>
    <row r="110" spans="9:17" ht="13.9" x14ac:dyDescent="0.4">
      <c r="I110" s="1073">
        <f t="shared" si="23"/>
        <v>31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2</v>
      </c>
    </row>
    <row r="111" spans="9:17" ht="13.9" x14ac:dyDescent="0.4">
      <c r="I111" s="1073">
        <f t="shared" si="23"/>
        <v>32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2</v>
      </c>
    </row>
    <row r="112" spans="9:17" ht="13.9" x14ac:dyDescent="0.4">
      <c r="I112" s="1073">
        <f t="shared" si="23"/>
        <v>33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2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34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2</v>
      </c>
    </row>
    <row r="118" spans="9:17" ht="13.9" x14ac:dyDescent="0.4">
      <c r="I118" s="1073">
        <f t="shared" ref="I118:I123" si="26">IF($A$1=2,I117+1,0)</f>
        <v>35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2</v>
      </c>
    </row>
    <row r="119" spans="9:17" ht="13.9" x14ac:dyDescent="0.4">
      <c r="I119" s="1073">
        <f t="shared" si="26"/>
        <v>36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2</v>
      </c>
    </row>
    <row r="120" spans="9:17" ht="13.9" x14ac:dyDescent="0.4">
      <c r="I120" s="1073">
        <f t="shared" si="26"/>
        <v>37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2</v>
      </c>
    </row>
    <row r="121" spans="9:17" ht="13.9" x14ac:dyDescent="0.4">
      <c r="I121" s="1073">
        <f t="shared" si="26"/>
        <v>38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2</v>
      </c>
    </row>
    <row r="122" spans="9:17" ht="13.9" x14ac:dyDescent="0.4">
      <c r="I122" s="1073">
        <f t="shared" si="26"/>
        <v>39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2</v>
      </c>
    </row>
    <row r="123" spans="9:17" ht="13.9" x14ac:dyDescent="0.4">
      <c r="I123" s="1073">
        <f t="shared" si="26"/>
        <v>40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2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Fungicide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Other Chemical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Fungicide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Other Chemical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Fungicide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Other Chemical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Fungicide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Other Chemical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Fungicide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Other Chemical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Fungicide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Other Chemical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Fungicide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Other Chemical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Fungicide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Other Chemical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Fungicide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Other Chemical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Fungicide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Other Chemical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Fungicide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Other Chemical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Fungicide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Other Chemical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Fungicide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Other Chemical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Fungicide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Other Chemical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Fungicide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Other Chemical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Fungicide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Other Chemical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Fungicide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Other Chemical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Fungicide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Other Chemical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Fungicide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Other Chemical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Fungicide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Other Chemical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Fungicide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Other Chemical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Fungicide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Other Chemical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Fungicide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Other Chemical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Fungicide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Other Chemical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Fungicide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Other Chemical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Fungicide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Other Chemical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Fungicide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Other Chemical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Fungicide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Other Chemical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Fungicide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Other Chemical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Fungicide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Other Chemical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Fungicide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Other Chemical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Fungicide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Other Chemical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Fungicide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Other Chemical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Fungicide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Other Chemical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Fungicide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Other Chemical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Fungicide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Other Chemical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Fungicide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Other Chemical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Fungicide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Other Chemical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Fungicide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Other Chemical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Fungicide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Other Chemical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Fungicide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Other Chemical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Fungicide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Other Chemical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Fungicide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Other Chemical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Fungicide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Other Chemical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Fungicide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Other Chemical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Fungicide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Other Chemical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Fungicide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Other Chemical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Fungicide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Other Chemical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25</v>
      </c>
      <c r="D69" s="1926">
        <f>VLOOKUP(50,$N$14:$Z$303,5,FALSE)</f>
        <v>3.5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25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25</v>
      </c>
      <c r="D74" s="1924">
        <f>VLOOKUP(55,$N$14:$Z$303,5,FALSE)</f>
        <v>3.5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25</v>
      </c>
      <c r="R74" s="1925">
        <f>R69</f>
        <v>3.5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25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25</v>
      </c>
      <c r="R148" s="1925">
        <f>R143</f>
        <v>3.5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25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25</v>
      </c>
      <c r="R222" s="1925">
        <f>R217</f>
        <v>3.5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25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25</v>
      </c>
      <c r="R296" s="1925">
        <f>R291</f>
        <v>3.5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2. Details of Chemicals Applied, Corn, Pivot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2</v>
      </c>
      <c r="F5" s="96">
        <f>Seed_Chemical!F13</f>
        <v>8.75</v>
      </c>
      <c r="G5" s="106" t="e">
        <f>Seed_Chemical!#REF!</f>
        <v>#REF!</v>
      </c>
    </row>
    <row r="6" spans="1:7" ht="13.9" x14ac:dyDescent="0.4">
      <c r="A6" s="96" t="str">
        <f>Seed_Chemical!A14</f>
        <v>Dual Magnum</v>
      </c>
      <c r="B6" s="104" t="e">
        <f>Seed_Chemical!#REF!</f>
        <v>#REF!</v>
      </c>
      <c r="C6" s="104" t="str">
        <f>Seed_Chemical!C14</f>
        <v>pt</v>
      </c>
      <c r="D6" s="96">
        <f>Seed_Chemical!D14</f>
        <v>5.75</v>
      </c>
      <c r="E6" s="96">
        <f>Seed_Chemical!E14</f>
        <v>1.3</v>
      </c>
      <c r="F6" s="96">
        <f>Seed_Chemical!F14</f>
        <v>7.4750000000000005</v>
      </c>
      <c r="G6" s="106" t="e">
        <f>Seed_Chemical!#REF!</f>
        <v>#REF!</v>
      </c>
    </row>
    <row r="7" spans="1:7" ht="13.9" x14ac:dyDescent="0.4">
      <c r="A7" s="96" t="str">
        <f>Seed_Chemical!A15</f>
        <v>Halex GT</v>
      </c>
      <c r="B7" s="104" t="e">
        <f>Seed_Chemical!#REF!</f>
        <v>#REF!</v>
      </c>
      <c r="C7" s="104" t="str">
        <f>Seed_Chemical!C15</f>
        <v>pt</v>
      </c>
      <c r="D7" s="96">
        <f>Seed_Chemical!D15</f>
        <v>6.8937499999999998</v>
      </c>
      <c r="E7" s="96">
        <f>Seed_Chemical!E15</f>
        <v>3.6</v>
      </c>
      <c r="F7" s="96">
        <f>Seed_Chemical!F15</f>
        <v>24.817499999999999</v>
      </c>
      <c r="G7" s="106" t="e">
        <f>Seed_Chemical!#REF!</f>
        <v>#REF!</v>
      </c>
    </row>
    <row r="8" spans="1:7" ht="13.9" x14ac:dyDescent="0.4">
      <c r="A8" s="96" t="str">
        <f>Seed_Chemical!A16</f>
        <v>Atrazine</v>
      </c>
      <c r="B8" s="104" t="e">
        <f>Seed_Chemical!#REF!</f>
        <v>#REF!</v>
      </c>
      <c r="C8" s="104" t="str">
        <f>Seed_Chemical!C16</f>
        <v>qt</v>
      </c>
      <c r="D8" s="96">
        <f>Seed_Chemical!D16</f>
        <v>4.1124999999999998</v>
      </c>
      <c r="E8" s="96">
        <f>Seed_Chemical!E16</f>
        <v>2</v>
      </c>
      <c r="F8" s="96">
        <f>Seed_Chemical!F16</f>
        <v>8.2249999999999996</v>
      </c>
      <c r="G8" s="106" t="e">
        <f>Seed_Chemical!#REF!</f>
        <v>#REF!</v>
      </c>
    </row>
    <row r="9" spans="1:7" ht="13.9" x14ac:dyDescent="0.4">
      <c r="A9" s="96" t="str">
        <f>Seed_Chemical!A17</f>
        <v xml:space="preserve"> </v>
      </c>
      <c r="B9" s="104" t="e">
        <f>Seed_Chemical!#REF!</f>
        <v>#REF!</v>
      </c>
      <c r="C9" s="104" t="str">
        <f>Seed_Chemical!C17</f>
        <v xml:space="preserve"> </v>
      </c>
      <c r="D9" s="96">
        <f>Seed_Chemical!D17</f>
        <v>0</v>
      </c>
      <c r="E9" s="96">
        <f>Seed_Chemical!E17</f>
        <v>0</v>
      </c>
      <c r="F9" s="96">
        <f>Seed_Chemical!F17</f>
        <v>0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53.767500000000005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 xml:space="preserve"> </v>
      </c>
      <c r="B22" s="104" t="e">
        <f>Seed_Chemical!#REF!</f>
        <v>#REF!</v>
      </c>
      <c r="C22" s="104" t="str">
        <f>Seed_Chemical!C30</f>
        <v xml:space="preserve"> </v>
      </c>
      <c r="D22" s="96">
        <f>Seed_Chemical!D30</f>
        <v>0</v>
      </c>
      <c r="E22" s="96">
        <f>Seed_Chemical!E30</f>
        <v>0</v>
      </c>
      <c r="F22" s="96">
        <f>Seed_Chemical!F30</f>
        <v>0</v>
      </c>
      <c r="G22" s="106" t="e">
        <f>Seed_Chemical!#REF!</f>
        <v>#REF!</v>
      </c>
    </row>
    <row r="23" spans="1:7" ht="13.9" x14ac:dyDescent="0.4">
      <c r="A23" s="96" t="str">
        <f>Seed_Chemical!A31</f>
        <v xml:space="preserve"> </v>
      </c>
      <c r="B23" s="104" t="e">
        <f>Seed_Chemical!#REF!</f>
        <v>#REF!</v>
      </c>
      <c r="C23" s="104" t="str">
        <f>Seed_Chemical!C31</f>
        <v xml:space="preserve"> </v>
      </c>
      <c r="D23" s="96">
        <f>Seed_Chemical!D31</f>
        <v>0</v>
      </c>
      <c r="E23" s="96">
        <f>Seed_Chemical!E31</f>
        <v>0</v>
      </c>
      <c r="F23" s="96">
        <f>Seed_Chemical!F31</f>
        <v>0</v>
      </c>
      <c r="G23" s="106" t="e">
        <f>Seed_Chemical!#REF!</f>
        <v>#REF!</v>
      </c>
    </row>
    <row r="24" spans="1:7" ht="13.9" x14ac:dyDescent="0.4">
      <c r="A24" s="96" t="str">
        <f>Seed_Chemical!A32</f>
        <v xml:space="preserve"> </v>
      </c>
      <c r="B24" s="104" t="e">
        <f>Seed_Chemical!#REF!</f>
        <v>#REF!</v>
      </c>
      <c r="C24" s="104" t="str">
        <f>Seed_Chemical!C32</f>
        <v xml:space="preserve"> </v>
      </c>
      <c r="D24" s="96">
        <f>Seed_Chemical!D32</f>
        <v>0</v>
      </c>
      <c r="E24" s="96">
        <f>Seed_Chemical!E32</f>
        <v>0</v>
      </c>
      <c r="F24" s="96">
        <f>Seed_Chemical!F32</f>
        <v>0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0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Fungicide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 xml:space="preserve"> </v>
      </c>
      <c r="B36" s="104" t="e">
        <f>Seed_Chemical!#REF!</f>
        <v>#REF!</v>
      </c>
      <c r="C36" s="104" t="str">
        <f>Seed_Chemical!C44</f>
        <v xml:space="preserve"> </v>
      </c>
      <c r="D36" s="96">
        <f>Seed_Chemical!D44</f>
        <v>0</v>
      </c>
      <c r="E36" s="96">
        <f>Seed_Chemical!E44</f>
        <v>0</v>
      </c>
      <c r="F36" s="96">
        <f>Seed_Chemical!F44</f>
        <v>0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0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Other Chemical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 xml:space="preserve"> </v>
      </c>
      <c r="B42" s="104" t="e">
        <f>Seed_Chemical!#REF!</f>
        <v>#REF!</v>
      </c>
      <c r="C42" s="104" t="str">
        <f>Seed_Chemical!C50</f>
        <v xml:space="preserve"> </v>
      </c>
      <c r="D42" s="96">
        <f>Seed_Chemical!D50</f>
        <v>0</v>
      </c>
      <c r="E42" s="96">
        <f>Seed_Chemical!E50</f>
        <v>0</v>
      </c>
      <c r="F42" s="96">
        <f>Seed_Chemical!F50</f>
        <v>0</v>
      </c>
      <c r="G42" s="106" t="e">
        <f>Seed_Chemical!#REF!</f>
        <v>#REF!</v>
      </c>
    </row>
    <row r="43" spans="1:7" ht="13.9" x14ac:dyDescent="0.4">
      <c r="A43" s="96" t="str">
        <f>Seed_Chemical!A51</f>
        <v xml:space="preserve"> </v>
      </c>
      <c r="B43" s="104" t="e">
        <f>Seed_Chemical!#REF!</f>
        <v>#REF!</v>
      </c>
      <c r="C43" s="104" t="str">
        <f>Seed_Chemical!C51</f>
        <v xml:space="preserve"> </v>
      </c>
      <c r="D43" s="96">
        <f>Seed_Chemical!D51</f>
        <v>0</v>
      </c>
      <c r="E43" s="96">
        <f>Seed_Chemical!E51</f>
        <v>0</v>
      </c>
      <c r="F43" s="96">
        <f>Seed_Chemical!F51</f>
        <v>0</v>
      </c>
      <c r="G43" s="106" t="e">
        <f>Seed_Chemical!#REF!</f>
        <v>#REF!</v>
      </c>
    </row>
    <row r="44" spans="1:7" ht="13.9" x14ac:dyDescent="0.4">
      <c r="A44" s="96" t="str">
        <f>Seed_Chemical!A52</f>
        <v xml:space="preserve"> </v>
      </c>
      <c r="B44" s="104" t="e">
        <f>Seed_Chemical!#REF!</f>
        <v>#REF!</v>
      </c>
      <c r="C44" s="104" t="str">
        <f>Seed_Chemical!C52</f>
        <v xml:space="preserve"> </v>
      </c>
      <c r="D44" s="96">
        <f>Seed_Chemical!D52</f>
        <v>0</v>
      </c>
      <c r="E44" s="96">
        <f>Seed_Chemical!E52</f>
        <v>0</v>
      </c>
      <c r="F44" s="96">
        <f>Seed_Chemical!F52</f>
        <v>0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0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 xml:space="preserve"> </v>
      </c>
      <c r="B53" s="104" t="e">
        <f>Seed_Chemical!#REF!</f>
        <v>#REF!</v>
      </c>
      <c r="C53" s="104" t="str">
        <f>Seed_Chemical!C61</f>
        <v xml:space="preserve"> </v>
      </c>
      <c r="D53" s="96">
        <f>Seed_Chemical!D61</f>
        <v>0</v>
      </c>
      <c r="E53" s="96">
        <f>Seed_Chemical!E61</f>
        <v>0</v>
      </c>
      <c r="F53" s="96">
        <f>Seed_Chemical!F61</f>
        <v>0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0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2. Details of Chemicals Applied, Corn, Pivot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2</v>
      </c>
      <c r="F5" s="96">
        <f>Seed_Chemical!F13</f>
        <v>8.75</v>
      </c>
      <c r="G5" s="106" t="e">
        <f>Seed_Chemical!#REF!</f>
        <v>#REF!</v>
      </c>
    </row>
    <row r="6" spans="1:7" ht="13.9" x14ac:dyDescent="0.4">
      <c r="A6" s="96" t="str">
        <f>Seed_Chemical!A14</f>
        <v>Dual Magnum</v>
      </c>
      <c r="B6" s="104" t="e">
        <f>Seed_Chemical!#REF!</f>
        <v>#REF!</v>
      </c>
      <c r="C6" s="104" t="str">
        <f>Seed_Chemical!C14</f>
        <v>pt</v>
      </c>
      <c r="D6" s="96">
        <f>Seed_Chemical!D14</f>
        <v>5.75</v>
      </c>
      <c r="E6" s="96">
        <f>Seed_Chemical!E14</f>
        <v>1.3</v>
      </c>
      <c r="F6" s="96">
        <f>Seed_Chemical!F14</f>
        <v>7.4750000000000005</v>
      </c>
      <c r="G6" s="106" t="e">
        <f>Seed_Chemical!#REF!</f>
        <v>#REF!</v>
      </c>
    </row>
    <row r="7" spans="1:7" ht="13.9" x14ac:dyDescent="0.4">
      <c r="A7" s="96" t="str">
        <f>Seed_Chemical!A15</f>
        <v>Halex GT</v>
      </c>
      <c r="B7" s="104" t="e">
        <f>Seed_Chemical!#REF!</f>
        <v>#REF!</v>
      </c>
      <c r="C7" s="104" t="str">
        <f>Seed_Chemical!C15</f>
        <v>pt</v>
      </c>
      <c r="D7" s="96">
        <f>Seed_Chemical!D15</f>
        <v>6.8937499999999998</v>
      </c>
      <c r="E7" s="96">
        <f>Seed_Chemical!E15</f>
        <v>3.6</v>
      </c>
      <c r="F7" s="96">
        <f>Seed_Chemical!F15</f>
        <v>24.817499999999999</v>
      </c>
      <c r="G7" s="106" t="e">
        <f>Seed_Chemical!#REF!</f>
        <v>#REF!</v>
      </c>
    </row>
    <row r="8" spans="1:7" ht="13.9" x14ac:dyDescent="0.4">
      <c r="A8" s="96" t="str">
        <f>Seed_Chemical!A16</f>
        <v>Atrazine</v>
      </c>
      <c r="B8" s="104" t="e">
        <f>Seed_Chemical!#REF!</f>
        <v>#REF!</v>
      </c>
      <c r="C8" s="104" t="str">
        <f>Seed_Chemical!C16</f>
        <v>qt</v>
      </c>
      <c r="D8" s="96">
        <f>Seed_Chemical!D16</f>
        <v>4.1124999999999998</v>
      </c>
      <c r="E8" s="96">
        <f>Seed_Chemical!E16</f>
        <v>2</v>
      </c>
      <c r="F8" s="96">
        <f>Seed_Chemical!F16</f>
        <v>8.2249999999999996</v>
      </c>
      <c r="G8" s="106" t="e">
        <f>Seed_Chemical!#REF!</f>
        <v>#REF!</v>
      </c>
    </row>
    <row r="9" spans="1:7" ht="13.9" x14ac:dyDescent="0.4">
      <c r="A9" s="96" t="str">
        <f>Seed_Chemical!A17</f>
        <v xml:space="preserve"> </v>
      </c>
      <c r="B9" s="104" t="e">
        <f>Seed_Chemical!#REF!</f>
        <v>#REF!</v>
      </c>
      <c r="C9" s="104" t="str">
        <f>Seed_Chemical!C17</f>
        <v xml:space="preserve"> </v>
      </c>
      <c r="D9" s="96">
        <f>Seed_Chemical!D17</f>
        <v>0</v>
      </c>
      <c r="E9" s="96">
        <f>Seed_Chemical!E17</f>
        <v>0</v>
      </c>
      <c r="F9" s="96">
        <f>Seed_Chemical!F17</f>
        <v>0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53.767500000000005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 xml:space="preserve"> </v>
      </c>
      <c r="B18" s="104" t="e">
        <f>Seed_Chemical!#REF!</f>
        <v>#REF!</v>
      </c>
      <c r="C18" s="104" t="str">
        <f>Seed_Chemical!C30</f>
        <v xml:space="preserve"> </v>
      </c>
      <c r="D18" s="96">
        <f>Seed_Chemical!D30</f>
        <v>0</v>
      </c>
      <c r="E18" s="96">
        <f>Seed_Chemical!E30</f>
        <v>0</v>
      </c>
      <c r="F18" s="96">
        <f>Seed_Chemical!F30</f>
        <v>0</v>
      </c>
      <c r="G18" s="106" t="e">
        <f>Seed_Chemical!#REF!</f>
        <v>#REF!</v>
      </c>
    </row>
    <row r="19" spans="1:7" ht="13.9" x14ac:dyDescent="0.4">
      <c r="A19" s="96" t="str">
        <f>Seed_Chemical!A31</f>
        <v xml:space="preserve"> </v>
      </c>
      <c r="B19" s="104" t="e">
        <f>Seed_Chemical!#REF!</f>
        <v>#REF!</v>
      </c>
      <c r="C19" s="104" t="str">
        <f>Seed_Chemical!C31</f>
        <v xml:space="preserve"> </v>
      </c>
      <c r="D19" s="96">
        <f>Seed_Chemical!D31</f>
        <v>0</v>
      </c>
      <c r="E19" s="96">
        <f>Seed_Chemical!E31</f>
        <v>0</v>
      </c>
      <c r="F19" s="96">
        <f>Seed_Chemical!F31</f>
        <v>0</v>
      </c>
      <c r="G19" s="106" t="e">
        <f>Seed_Chemical!#REF!</f>
        <v>#REF!</v>
      </c>
    </row>
    <row r="20" spans="1:7" ht="13.9" x14ac:dyDescent="0.4">
      <c r="A20" s="96" t="str">
        <f>Seed_Chemical!A32</f>
        <v xml:space="preserve"> </v>
      </c>
      <c r="B20" s="104" t="e">
        <f>Seed_Chemical!#REF!</f>
        <v>#REF!</v>
      </c>
      <c r="C20" s="104" t="str">
        <f>Seed_Chemical!C32</f>
        <v xml:space="preserve"> </v>
      </c>
      <c r="D20" s="96">
        <f>Seed_Chemical!D32</f>
        <v>0</v>
      </c>
      <c r="E20" s="96">
        <f>Seed_Chemical!E32</f>
        <v>0</v>
      </c>
      <c r="F20" s="96">
        <f>Seed_Chemical!F32</f>
        <v>0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0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Fungicide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0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Other Chemical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 xml:space="preserve"> </v>
      </c>
      <c r="B31" s="104" t="e">
        <f>Seed_Chemical!#REF!</f>
        <v>#REF!</v>
      </c>
      <c r="C31" s="104" t="str">
        <f>Seed_Chemical!C50</f>
        <v xml:space="preserve"> </v>
      </c>
      <c r="D31" s="96">
        <f>Seed_Chemical!D50</f>
        <v>0</v>
      </c>
      <c r="E31" s="96">
        <f>Seed_Chemical!E50</f>
        <v>0</v>
      </c>
      <c r="F31" s="96">
        <f>Seed_Chemical!F50</f>
        <v>0</v>
      </c>
      <c r="G31" s="106" t="e">
        <f>Seed_Chemical!#REF!</f>
        <v>#REF!</v>
      </c>
    </row>
    <row r="32" spans="1:7" ht="13.9" x14ac:dyDescent="0.4">
      <c r="A32" s="96" t="str">
        <f>Seed_Chemical!A51</f>
        <v xml:space="preserve"> </v>
      </c>
      <c r="B32" s="104" t="e">
        <f>Seed_Chemical!#REF!</f>
        <v>#REF!</v>
      </c>
      <c r="C32" s="104" t="str">
        <f>Seed_Chemical!C51</f>
        <v xml:space="preserve"> </v>
      </c>
      <c r="D32" s="96">
        <f>Seed_Chemical!D51</f>
        <v>0</v>
      </c>
      <c r="E32" s="96">
        <f>Seed_Chemical!E51</f>
        <v>0</v>
      </c>
      <c r="F32" s="96">
        <f>Seed_Chemical!F51</f>
        <v>0</v>
      </c>
      <c r="G32" s="106" t="e">
        <f>Seed_Chemical!#REF!</f>
        <v>#REF!</v>
      </c>
    </row>
    <row r="33" spans="1:7" ht="13.9" x14ac:dyDescent="0.4">
      <c r="A33" s="96" t="str">
        <f>Seed_Chemical!A52</f>
        <v xml:space="preserve"> </v>
      </c>
      <c r="B33" s="104" t="e">
        <f>Seed_Chemical!#REF!</f>
        <v>#REF!</v>
      </c>
      <c r="C33" s="104" t="str">
        <f>Seed_Chemical!C52</f>
        <v xml:space="preserve"> </v>
      </c>
      <c r="D33" s="96">
        <f>Seed_Chemical!D52</f>
        <v>0</v>
      </c>
      <c r="E33" s="96">
        <f>Seed_Chemical!E52</f>
        <v>0</v>
      </c>
      <c r="F33" s="96">
        <f>Seed_Chemical!F52</f>
        <v>0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0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 xml:space="preserve"> </v>
      </c>
      <c r="B38" s="104" t="e">
        <f>Seed_Chemical!#REF!</f>
        <v>#REF!</v>
      </c>
      <c r="C38" s="104" t="str">
        <f>Seed_Chemical!C61</f>
        <v xml:space="preserve"> </v>
      </c>
      <c r="D38" s="96">
        <f>Seed_Chemical!D61</f>
        <v>0</v>
      </c>
      <c r="E38" s="96">
        <f>Seed_Chemical!E61</f>
        <v>0</v>
      </c>
      <c r="F38" s="96">
        <f>Seed_Chemical!F61</f>
        <v>0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0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2025-10-29T01:50:24Z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