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7" documentId="8_{D6C3B469-8341-473D-93E1-3C22D2500826}" xr6:coauthVersionLast="47" xr6:coauthVersionMax="47" xr10:uidLastSave="{0B9EFB10-48DD-4F7D-AE19-52066F56557A}"/>
  <bookViews>
    <workbookView xWindow="1612" yWindow="1643" windowWidth="15826" windowHeight="10507" firstSheet="22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E10" i="4" l="1"/>
  <c r="G10" i="25" l="1"/>
  <c r="F10" i="25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P15" i="40" l="1"/>
  <c r="S9" i="40"/>
  <c r="A35" i="4" l="1"/>
  <c r="E8" i="25"/>
  <c r="E7" i="25"/>
  <c r="S14" i="40" l="1"/>
  <c r="S12" i="40"/>
  <c r="S11" i="40"/>
  <c r="P16" i="40"/>
  <c r="P12" i="40"/>
  <c r="P10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P6" i="40"/>
  <c r="G5" i="40"/>
  <c r="G4" i="40"/>
  <c r="G3" i="40"/>
  <c r="D4" i="40" l="1"/>
  <c r="D6" i="40"/>
  <c r="D7" i="40"/>
  <c r="P2" i="40" l="1"/>
  <c r="D2" i="40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P3" i="40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39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39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39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H39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F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AO39" i="32"/>
  <c r="K39" i="32"/>
  <c r="J39" i="32"/>
  <c r="M39" i="32"/>
  <c r="L39" i="32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2" i="19" l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1 -</t>
        </r>
        <r>
          <rPr>
            <sz val="9"/>
            <color indexed="81"/>
            <rFont val="Tahoma"/>
            <family val="2"/>
          </rPr>
          <t xml:space="preserve">
2 pt Glyphosate, 1 qt 2,4-D 
</t>
        </r>
        <r>
          <rPr>
            <i/>
            <u/>
            <sz val="9"/>
            <color indexed="81"/>
            <rFont val="Tahoma"/>
            <family val="2"/>
          </rPr>
          <t xml:space="preserve">Custom Ground App 3 - </t>
        </r>
        <r>
          <rPr>
            <sz val="9"/>
            <color indexed="81"/>
            <rFont val="Tahoma"/>
            <family val="2"/>
          </rPr>
          <t xml:space="preserve">
3.5 oz Zidua SC
</t>
        </r>
        <r>
          <rPr>
            <i/>
            <u/>
            <sz val="9"/>
            <color indexed="81"/>
            <rFont val="Tahoma"/>
            <family val="2"/>
          </rPr>
          <t xml:space="preserve">Custom Ground App 5 - </t>
        </r>
        <r>
          <rPr>
            <sz val="9"/>
            <color indexed="81"/>
            <rFont val="Tahoma"/>
            <family val="2"/>
          </rPr>
          <t xml:space="preserve">
2.6 pt Halex GT, 2 qt Atrazine
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 xml:space="preserve">Custom Ground App 2 - </t>
        </r>
        <r>
          <rPr>
            <sz val="9"/>
            <color indexed="81"/>
            <rFont val="Tahoma"/>
            <family val="2"/>
          </rPr>
          <t xml:space="preserve"> 
Fertilizer Blend (100 lbs Urea, 29 lbs Zinc, 100 lbs Ammonium Sulfate, 130 lbs Potash, and 175 lbs Triple Super Phosphate
</t>
        </r>
        <r>
          <rPr>
            <i/>
            <u/>
            <sz val="9"/>
            <color indexed="81"/>
            <rFont val="Tahoma"/>
            <family val="2"/>
          </rPr>
          <t xml:space="preserve">Custom Ground App 4 - </t>
        </r>
        <r>
          <rPr>
            <sz val="9"/>
            <color indexed="81"/>
            <rFont val="Tahoma"/>
            <family val="2"/>
          </rPr>
          <t xml:space="preserve">
235 lbs Urea</t>
        </r>
      </text>
    </comment>
    <comment ref="F22" authorId="0" shapeId="0" xr:uid="{D680E18D-184D-4222-8B4D-B626BC794767}">
      <text>
        <r>
          <rPr>
            <i/>
            <u/>
            <sz val="9"/>
            <color indexed="81"/>
            <rFont val="Tahoma"/>
            <family val="2"/>
          </rPr>
          <t>Aerial Application 1:</t>
        </r>
        <r>
          <rPr>
            <sz val="9"/>
            <color indexed="81"/>
            <rFont val="Tahoma"/>
            <family val="2"/>
          </rPr>
          <t xml:space="preserve">
100 lbs Urea
</t>
        </r>
      </text>
    </comment>
    <comment ref="F33" authorId="0" shapeId="0" xr:uid="{5A81CDC3-0A0A-4B58-A919-4A11248AB6E0}">
      <text>
        <r>
          <rPr>
            <b/>
            <u/>
            <sz val="9"/>
            <color indexed="81"/>
            <rFont val="Tahoma"/>
            <family val="2"/>
          </rPr>
          <t>Labor: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Field Activities: $ /ac</t>
        </r>
        <r>
          <rPr>
            <sz val="9"/>
            <color indexed="81"/>
            <rFont val="Tahoma"/>
            <family val="2"/>
          </rPr>
          <t xml:space="preserve">
0.7137 hrs @ $14.35/hr
</t>
        </r>
        <r>
          <rPr>
            <i/>
            <sz val="9"/>
            <color indexed="81"/>
            <rFont val="Tahoma"/>
            <family val="2"/>
          </rPr>
          <t>Irrigation: $ /ac
0.0461</t>
        </r>
        <r>
          <rPr>
            <sz val="9"/>
            <color indexed="81"/>
            <rFont val="Tahoma"/>
            <family val="2"/>
          </rPr>
          <t xml:space="preserve"> hrs @ $14.35/hr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Hipper x 2
Do All x 1
Field Cultivator x 1
Row Crop Cultivator x 1
Planter x 1
Polypipe - Roll Out, Punch, Take Up x 1
Combine x 1
Corn 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<sst xmlns="http://schemas.openxmlformats.org/spreadsheetml/2006/main" count="8688" uniqueCount="1247">
  <si>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</si>
  <si>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</si>
  <si>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</si>
  <si>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</si>
  <si>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</si>
  <si>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</si>
  <si>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</si>
  <si>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</si>
  <si>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</si>
  <si>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</si>
  <si>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</si>
  <si>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</si>
  <si>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</si>
  <si>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</si>
  <si>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</si>
  <si>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</si>
  <si>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</si>
  <si>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</si>
  <si>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</si>
  <si>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</si>
  <si>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</si>
  <si>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</si>
  <si>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</si>
  <si>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</si>
  <si>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</si>
  <si>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</si>
  <si>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</si>
  <si>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</si>
  <si>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</si>
  <si>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</si>
  <si>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</si>
  <si>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</si>
  <si>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</si>
  <si>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</si>
  <si>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</si>
  <si>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</si>
  <si>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</si>
  <si>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</si>
  <si>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</si>
  <si>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</si>
  <si>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</si>
  <si>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</si>
  <si>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</si>
  <si>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</si>
  <si>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</si>
  <si>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</si>
  <si>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</si>
  <si>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</si>
  <si>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</si>
  <si>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</si>
  <si>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</si>
  <si>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</si>
  <si>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</si>
  <si>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</si>
  <si>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</si>
  <si>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</si>
  <si>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</si>
  <si>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</si>
  <si>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</si>
  <si>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</si>
  <si>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</si>
  <si>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</si>
  <si>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</si>
  <si>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</si>
  <si>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</si>
  <si>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</si>
  <si>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</si>
  <si>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</si>
  <si>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</si>
  <si>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</si>
  <si>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</si>
  <si>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</si>
  <si>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</si>
  <si>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</si>
  <si>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</si>
  <si>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</si>
  <si>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</si>
  <si>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</si>
  <si>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</si>
  <si>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</si>
  <si>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</si>
  <si>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</si>
  <si>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</si>
  <si>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</si>
  <si>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</si>
  <si>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</si>
  <si>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</si>
  <si>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</si>
  <si>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</si>
  <si>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</si>
  <si>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</si>
  <si>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</si>
  <si>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</si>
  <si>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</si>
  <si>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</si>
  <si>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</si>
  <si>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</si>
  <si>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</si>
  <si>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</si>
  <si>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</si>
  <si>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</si>
  <si>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</si>
  <si>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</si>
  <si>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</si>
  <si>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</si>
  <si>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</si>
  <si>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</si>
  <si>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</si>
  <si>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</si>
  <si>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</si>
  <si>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</si>
  <si>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</si>
  <si>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</si>
  <si>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</si>
  <si>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</si>
  <si>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</si>
  <si>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</si>
  <si>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</si>
  <si>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</si>
  <si>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</si>
  <si>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</si>
  <si>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</si>
  <si>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</si>
  <si>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</si>
  <si>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</si>
  <si>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</si>
  <si>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</si>
  <si>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</si>
  <si>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</si>
  <si>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</si>
  <si>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</si>
  <si>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</si>
  <si>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</si>
  <si>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</si>
  <si>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</si>
  <si>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</si>
  <si>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</si>
  <si>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</si>
  <si>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</si>
  <si>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</si>
  <si>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</si>
  <si>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</si>
  <si>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</si>
  <si>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</si>
  <si>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</si>
  <si>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</si>
  <si>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</si>
  <si>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</si>
  <si>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</si>
  <si>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</si>
  <si>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</si>
  <si>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</si>
  <si>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</si>
  <si>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</si>
  <si>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</si>
  <si>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</si>
  <si>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</si>
  <si>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</si>
  <si>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</si>
  <si>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</si>
  <si>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</si>
  <si>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</si>
  <si>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</si>
  <si>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</si>
  <si>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</si>
  <si>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</si>
  <si>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</si>
  <si>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</si>
  <si>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</si>
  <si>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</si>
  <si>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</si>
  <si>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</si>
  <si>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</si>
  <si>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</si>
  <si>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</si>
  <si>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</si>
  <si>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</si>
  <si>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</si>
  <si>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</si>
  <si>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</si>
  <si>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</si>
  <si>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</si>
  <si>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</si>
  <si>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</si>
  <si>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</si>
  <si>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</si>
  <si>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</si>
  <si>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</si>
  <si>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</si>
  <si>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</si>
  <si>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</si>
  <si>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</si>
  <si>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</si>
  <si>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</si>
  <si>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</si>
  <si>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</si>
  <si>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</si>
  <si>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</si>
  <si>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</si>
  <si>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</si>
  <si>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</si>
  <si>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</si>
  <si>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</si>
  <si>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</si>
  <si>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</si>
  <si>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</si>
  <si>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</si>
  <si>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</si>
  <si>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</si>
  <si>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</si>
  <si>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</si>
  <si>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</si>
  <si>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</si>
  <si>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</si>
  <si>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</si>
  <si>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</si>
  <si>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</si>
  <si>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</si>
  <si>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</si>
  <si>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</si>
  <si>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</si>
  <si>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</si>
  <si>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</si>
  <si>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</si>
  <si>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</si>
  <si>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</si>
  <si>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</si>
  <si>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</si>
  <si>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</si>
  <si>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</si>
  <si>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</si>
  <si>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</si>
  <si>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</si>
  <si>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</si>
  <si>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</si>
  <si>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</si>
  <si>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</si>
  <si>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</si>
  <si>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</si>
  <si>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</si>
  <si>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</si>
  <si>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</si>
  <si>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</si>
  <si>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</si>
  <si>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</si>
  <si>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</si>
  <si>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</si>
  <si>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</si>
  <si>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</si>
  <si>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</si>
  <si>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</si>
  <si>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</si>
  <si>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</si>
  <si>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</si>
  <si>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</si>
  <si>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</si>
  <si>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</si>
  <si>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</si>
  <si>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</si>
  <si>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</si>
  <si>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</si>
  <si>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</si>
  <si>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</si>
  <si>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</si>
  <si>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</si>
  <si>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</si>
  <si>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</si>
  <si>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</si>
  <si>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</si>
  <si>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</si>
  <si>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</si>
  <si>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</si>
  <si>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</si>
  <si>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</si>
  <si>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</si>
  <si>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</si>
  <si>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</si>
  <si>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</si>
  <si>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</si>
  <si>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</si>
  <si>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</si>
  <si>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</si>
  <si>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</si>
  <si>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</si>
  <si>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</si>
  <si>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</si>
  <si>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</si>
  <si>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</si>
  <si>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</si>
  <si>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</si>
  <si>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</si>
  <si>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</si>
  <si>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</si>
  <si>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</si>
  <si>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</si>
  <si>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</si>
  <si>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</si>
  <si>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</si>
  <si>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</si>
  <si>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</si>
  <si>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</si>
  <si>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</si>
  <si>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</si>
  <si>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</si>
  <si>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</si>
  <si>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</si>
  <si>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</si>
  <si>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</si>
  <si>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</si>
  <si>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</si>
  <si>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</si>
  <si>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</si>
  <si>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</si>
  <si>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</si>
  <si>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</si>
  <si>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</si>
  <si>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</si>
  <si>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</si>
  <si>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</si>
  <si>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</si>
  <si>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</si>
  <si>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</si>
  <si>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</si>
  <si>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</si>
  <si>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</si>
  <si>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</si>
  <si>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</si>
  <si>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</si>
  <si>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</si>
  <si>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</si>
  <si>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</si>
  <si>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</si>
  <si>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</si>
  <si>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</si>
  <si>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</si>
  <si>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</si>
  <si>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</si>
  <si>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</si>
  <si>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</si>
  <si>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</si>
  <si>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</si>
  <si>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</si>
  <si>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</si>
  <si>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</si>
  <si>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</si>
  <si>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</si>
  <si>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</si>
  <si>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</si>
  <si>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</si>
  <si>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</si>
  <si>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</si>
  <si>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</si>
  <si>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</si>
  <si>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</si>
  <si>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</si>
  <si>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</si>
  <si>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</si>
  <si>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</si>
  <si>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</si>
  <si>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</si>
  <si>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</si>
  <si>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</si>
  <si>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</si>
  <si>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</si>
  <si>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</si>
  <si>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</si>
  <si>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</si>
  <si>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</si>
  <si>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</si>
  <si>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</si>
  <si>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</si>
  <si>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</si>
  <si>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</si>
  <si>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</si>
  <si>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</si>
  <si>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</si>
  <si>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</si>
  <si>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</si>
  <si>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</si>
  <si>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</si>
  <si>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</si>
  <si>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</si>
  <si>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</si>
  <si>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</si>
  <si>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</si>
  <si>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</si>
  <si>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</si>
  <si>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</si>
  <si>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</si>
  <si>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</si>
  <si>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</si>
  <si>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</si>
  <si>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</si>
  <si>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</si>
  <si>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</si>
  <si>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</si>
  <si>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</si>
  <si>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</si>
  <si>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</si>
  <si>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</si>
  <si>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</si>
  <si>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</si>
  <si>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</si>
  <si>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</si>
  <si>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</si>
  <si>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</si>
  <si>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</si>
  <si>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</si>
  <si>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</si>
  <si>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</si>
  <si>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</si>
  <si>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</si>
  <si>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</si>
  <si>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</si>
  <si>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</si>
  <si>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</si>
  <si>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</si>
  <si>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</si>
  <si>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</si>
  <si>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</si>
  <si>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</si>
  <si>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</si>
  <si>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</si>
  <si>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</si>
  <si>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</si>
  <si>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</si>
  <si>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</si>
  <si>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</si>
  <si>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</si>
  <si>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</si>
  <si>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</si>
  <si>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</si>
  <si>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</si>
  <si>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</si>
  <si>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</si>
  <si>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</si>
  <si>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</si>
  <si>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</si>
  <si>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</si>
  <si>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</si>
  <si>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</si>
  <si>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</si>
  <si>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</si>
  <si>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</si>
  <si>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</si>
  <si>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</si>
  <si>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</si>
  <si>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</si>
  <si>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</si>
  <si>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</si>
  <si>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</si>
  <si>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</si>
  <si>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</si>
  <si>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</si>
  <si>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</si>
  <si>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</si>
  <si>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</si>
  <si>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</si>
  <si>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</si>
  <si>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</si>
  <si>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</si>
  <si>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</si>
  <si>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</si>
  <si>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</si>
  <si>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</si>
  <si>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</si>
  <si>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</si>
  <si>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</si>
  <si>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</si>
  <si>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</si>
  <si>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</si>
  <si>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</si>
  <si>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</si>
  <si>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</si>
  <si>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</si>
  <si>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</si>
  <si>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</si>
  <si>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</si>
  <si>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</si>
  <si>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</si>
  <si>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</si>
  <si>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</si>
  <si>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</si>
  <si>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</si>
  <si>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</si>
  <si>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</si>
  <si>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</si>
  <si>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</si>
  <si>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</si>
  <si>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</si>
  <si>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</si>
  <si>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</si>
  <si>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</si>
  <si>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</si>
  <si>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</si>
  <si>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</si>
  <si>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</si>
  <si>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</si>
  <si>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</si>
  <si>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</si>
  <si>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</si>
  <si>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</si>
  <si>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</si>
  <si>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</si>
  <si>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</si>
  <si>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</si>
  <si>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</si>
  <si>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</si>
  <si>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</si>
  <si>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</si>
  <si>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</si>
  <si>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</si>
  <si>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</si>
  <si>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</si>
  <si>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</si>
  <si>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</si>
  <si>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</si>
  <si>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</si>
  <si>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</si>
  <si>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</si>
  <si>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</si>
  <si>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</si>
  <si>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</si>
  <si>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</si>
  <si>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</si>
  <si>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</si>
  <si>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</si>
  <si>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</si>
  <si>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</si>
  <si>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</si>
  <si>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</si>
  <si>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</si>
  <si>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</si>
  <si>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</si>
  <si>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</si>
  <si>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</si>
  <si>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</si>
  <si>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</si>
  <si>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</si>
  <si>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</si>
  <si>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</si>
  <si>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</si>
  <si>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</si>
  <si>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</si>
  <si>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</si>
  <si>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</si>
  <si>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</si>
  <si>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</si>
  <si>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</si>
  <si>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</si>
  <si>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</si>
  <si>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</si>
  <si>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</si>
  <si>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</si>
  <si>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</si>
  <si>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</si>
  <si>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</si>
  <si>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</si>
  <si>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</si>
  <si>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</si>
  <si>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</si>
  <si>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</si>
  <si>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</si>
  <si>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</si>
  <si>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</si>
  <si>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</si>
  <si>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</si>
  <si>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</si>
  <si>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</si>
  <si>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</si>
  <si>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</si>
  <si>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</si>
  <si>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</si>
  <si>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</si>
  <si>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</si>
  <si>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</si>
  <si>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</si>
  <si>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</si>
  <si>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</si>
  <si>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</si>
  <si>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</si>
  <si>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</si>
  <si>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</si>
  <si>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</si>
  <si>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</si>
  <si>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</si>
  <si>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</si>
  <si>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</si>
  <si>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</si>
  <si>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</si>
  <si>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</si>
  <si>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</si>
  <si>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</si>
  <si>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</si>
  <si>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</si>
  <si>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</si>
  <si>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</si>
  <si>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</si>
  <si>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</si>
  <si>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</si>
  <si>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</si>
  <si>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</si>
  <si>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</si>
  <si>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</si>
  <si>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</si>
  <si>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</si>
  <si>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</si>
  <si>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</si>
  <si>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</si>
  <si>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</si>
  <si>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</si>
  <si>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</si>
  <si>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</si>
  <si>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</si>
  <si>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</si>
  <si>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</si>
  <si>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</si>
  <si>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</si>
  <si>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</si>
  <si>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</si>
  <si>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</si>
  <si>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</si>
  <si>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</si>
  <si>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</si>
  <si>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</si>
  <si>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</si>
  <si>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</si>
  <si>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</si>
  <si>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</si>
  <si>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</si>
  <si>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</si>
  <si>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</si>
  <si>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</si>
  <si>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</si>
  <si>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</si>
  <si>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</si>
  <si>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</si>
  <si>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</si>
  <si>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</si>
  <si>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</si>
  <si>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</si>
  <si>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</si>
  <si>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</si>
  <si>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</si>
  <si>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</si>
  <si>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</si>
  <si>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</si>
  <si>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</si>
  <si>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</si>
  <si>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</si>
  <si>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</si>
  <si>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</si>
  <si>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</si>
  <si>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</si>
  <si>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</si>
  <si>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</si>
  <si>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</si>
  <si>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</si>
  <si>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</si>
  <si>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</si>
  <si>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</si>
  <si>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</si>
  <si>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</si>
  <si>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</si>
  <si>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</si>
  <si>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</si>
  <si>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</si>
  <si>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</si>
  <si>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</si>
  <si>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</si>
  <si>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</si>
  <si>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</si>
  <si>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</si>
  <si>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</si>
  <si>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</si>
  <si>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</si>
  <si>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</si>
  <si>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</si>
  <si>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</si>
  <si>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</si>
  <si>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</si>
  <si>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</si>
  <si>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</si>
  <si>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</si>
  <si>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</si>
  <si>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</si>
  <si>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</si>
  <si>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</si>
  <si>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</si>
  <si>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</si>
  <si>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</si>
  <si>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</si>
  <si>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</si>
  <si>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</si>
  <si>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</si>
  <si>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</si>
  <si>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</si>
  <si>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</si>
  <si>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</si>
  <si>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</si>
  <si>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</si>
  <si>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</si>
  <si>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</si>
  <si>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</si>
  <si>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</si>
  <si>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</si>
  <si>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</si>
  <si>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</si>
  <si>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</si>
  <si>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</si>
  <si>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</si>
  <si>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</si>
  <si>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</si>
  <si>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</si>
  <si>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</si>
  <si>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</si>
  <si>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</si>
  <si>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</si>
  <si>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</si>
  <si>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</si>
  <si>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</si>
  <si>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</si>
  <si>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</si>
  <si>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</si>
  <si>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</si>
  <si>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</si>
  <si>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</si>
  <si>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</si>
  <si>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</si>
  <si>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</si>
  <si>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</si>
  <si>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</si>
  <si>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</si>
  <si>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</si>
  <si>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</si>
  <si>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</si>
  <si>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</si>
  <si>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</si>
  <si>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</si>
  <si>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</si>
  <si>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</si>
  <si>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</si>
  <si>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</si>
  <si>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</si>
  <si>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</si>
  <si>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</si>
  <si>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</si>
  <si>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</si>
  <si>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</si>
  <si>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</si>
  <si>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</si>
  <si>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</si>
  <si>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</si>
  <si>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</si>
  <si>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</si>
  <si>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</si>
  <si>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</si>
  <si>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</si>
  <si>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</si>
  <si>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</si>
  <si>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</si>
  <si>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</si>
  <si>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</si>
  <si>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</si>
  <si>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</si>
  <si>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</si>
  <si>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</si>
  <si>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</si>
  <si>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</si>
  <si>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</si>
  <si>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</si>
  <si>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</si>
  <si>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</si>
  <si>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</si>
  <si>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</si>
  <si>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</si>
  <si>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</si>
  <si>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</si>
  <si>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</si>
  <si>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</si>
  <si>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</si>
  <si>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</si>
  <si>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</si>
  <si>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</si>
  <si>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</si>
  <si>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</si>
  <si>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</si>
  <si>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</si>
  <si>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</si>
  <si>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</si>
  <si>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</si>
  <si>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</si>
  <si>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</si>
  <si>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</si>
  <si>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</si>
  <si>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</si>
  <si>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</si>
  <si>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</si>
  <si>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</si>
  <si>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</si>
  <si>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</si>
  <si>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</si>
  <si>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</si>
  <si>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</si>
  <si>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</si>
  <si>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</si>
  <si>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</si>
  <si>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</si>
  <si>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</si>
  <si>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</si>
  <si>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</si>
  <si>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</si>
  <si>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</si>
  <si>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</si>
  <si>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</si>
  <si>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</si>
  <si>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</si>
  <si>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</si>
  <si>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</si>
  <si>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</si>
  <si>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</si>
  <si>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</si>
  <si>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</si>
  <si>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</si>
  <si>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</si>
  <si>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</si>
  <si>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</si>
  <si>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</si>
  <si>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</si>
  <si>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</si>
  <si>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</si>
  <si>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</si>
  <si>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</si>
  <si>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</si>
  <si>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</si>
  <si>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</si>
  <si>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</si>
  <si>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</si>
  <si>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</si>
  <si>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</si>
  <si>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</si>
  <si>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</si>
  <si>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</si>
  <si>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</si>
  <si>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</si>
  <si>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</si>
  <si>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</si>
  <si>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</si>
  <si>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</si>
  <si>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</si>
  <si>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</si>
  <si>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</si>
  <si>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</si>
  <si>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</si>
  <si>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</si>
  <si>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</si>
  <si>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</si>
  <si>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</si>
  <si>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</si>
  <si>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</si>
  <si>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</si>
  <si>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</si>
  <si>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</si>
  <si>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</si>
  <si>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</si>
  <si>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</si>
  <si>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</si>
  <si>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</si>
  <si>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</si>
  <si>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</si>
  <si>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</si>
  <si>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</si>
  <si>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</si>
  <si>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</si>
  <si>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</si>
  <si>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</si>
  <si>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</si>
  <si>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</si>
  <si>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</si>
  <si>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</si>
  <si>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</si>
  <si>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</si>
  <si>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</si>
  <si>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</si>
  <si>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</si>
  <si>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</si>
  <si>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</si>
  <si>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</si>
  <si>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</si>
  <si>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</si>
  <si>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</si>
  <si>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</si>
  <si>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</si>
  <si>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</si>
  <si>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</si>
  <si>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</si>
  <si>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</si>
  <si>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</si>
  <si>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</si>
  <si>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</si>
  <si>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</si>
  <si>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</si>
  <si>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</si>
  <si>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</si>
  <si>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</si>
  <si>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</si>
  <si>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</si>
  <si>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</si>
  <si>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</si>
  <si>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</si>
  <si>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</si>
  <si>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</si>
  <si>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</si>
  <si>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</si>
  <si>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</si>
  <si>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</si>
  <si>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</si>
  <si>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</si>
  <si>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</si>
  <si>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</si>
  <si>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</si>
  <si>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</si>
  <si>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</si>
  <si>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</si>
  <si>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</si>
  <si>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</si>
  <si>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</si>
  <si>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</si>
  <si>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</si>
  <si>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</si>
  <si>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</si>
  <si>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</si>
  <si>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</si>
  <si>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</si>
  <si>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</si>
  <si>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</si>
  <si>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</si>
  <si>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</si>
  <si>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</si>
  <si>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</si>
  <si>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</si>
  <si>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</si>
  <si>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</si>
  <si>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</si>
  <si>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</si>
  <si>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</si>
  <si>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</si>
  <si>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</si>
  <si>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</si>
  <si>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</si>
  <si>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</si>
  <si>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</si>
  <si>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</si>
  <si>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</si>
  <si>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</si>
  <si>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</si>
  <si>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</si>
  <si>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</si>
  <si>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</si>
  <si>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</si>
  <si>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</si>
  <si>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</si>
  <si>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</si>
  <si>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</si>
  <si>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</si>
  <si>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</si>
  <si>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</si>
  <si>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</si>
  <si>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</si>
  <si>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</si>
  <si>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</si>
  <si>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</si>
  <si>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</si>
  <si>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</si>
  <si>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</si>
  <si>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</si>
  <si>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</si>
  <si>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</si>
  <si>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</si>
  <si>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</si>
  <si>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</si>
  <si>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</si>
  <si>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</si>
  <si>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</si>
  <si>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</si>
  <si>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</si>
  <si>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</si>
  <si>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</si>
  <si>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</si>
  <si>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</si>
  <si>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</si>
  <si>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</si>
  <si>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</si>
  <si>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</si>
  <si>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</si>
  <si>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</si>
  <si>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</si>
  <si>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</si>
  <si>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</si>
  <si>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</si>
  <si>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</si>
  <si>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</si>
  <si>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</si>
  <si>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</si>
  <si>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</si>
  <si>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</si>
  <si>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</si>
  <si>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</si>
  <si>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</si>
  <si>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</si>
  <si>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</si>
  <si>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</si>
  <si>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</si>
  <si>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</si>
  <si>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</si>
  <si>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</si>
  <si>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</si>
  <si>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</si>
  <si>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</si>
  <si>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</si>
  <si>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</si>
  <si>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</si>
  <si>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</si>
  <si>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</si>
  <si>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</si>
  <si>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</si>
  <si>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</si>
  <si>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</si>
  <si>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</si>
  <si>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</si>
  <si>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</si>
  <si>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</si>
  <si>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</si>
  <si>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</si>
  <si>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</si>
  <si>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</si>
  <si>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</si>
  <si>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</si>
  <si>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</si>
  <si>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</si>
  <si>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</si>
  <si>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</si>
  <si>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</si>
  <si>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</si>
  <si>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</si>
  <si>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</si>
  <si>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</si>
  <si>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</si>
  <si>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</si>
  <si>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</si>
  <si>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</si>
  <si>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</si>
  <si>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</si>
  <si>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</si>
  <si>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</si>
  <si>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</si>
  <si>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</si>
  <si>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</si>
  <si>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</si>
  <si>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</si>
  <si>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</si>
  <si>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</si>
  <si>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</si>
  <si>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</si>
  <si>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</si>
  <si>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</si>
  <si>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</si>
  <si>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</si>
  <si>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</si>
  <si>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</si>
  <si>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</si>
  <si>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</si>
  <si>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</si>
  <si>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</si>
  <si>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</si>
  <si>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</si>
  <si>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</si>
  <si>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</si>
  <si>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</si>
  <si>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</si>
  <si>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</si>
  <si>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</si>
  <si>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</si>
  <si>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</si>
  <si>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</si>
  <si>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</si>
  <si>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</si>
  <si>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</si>
  <si>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</si>
  <si>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</si>
  <si>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</si>
  <si>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</si>
  <si>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</si>
  <si>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</si>
  <si>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</si>
  <si>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</si>
  <si>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</si>
  <si>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</si>
  <si>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</si>
  <si>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</si>
  <si>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</si>
  <si>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</si>
  <si>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</si>
  <si>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</si>
  <si>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</si>
  <si>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</si>
  <si>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</si>
  <si>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</si>
  <si>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</si>
  <si>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</si>
  <si>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</si>
  <si>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</si>
  <si>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</si>
  <si>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</si>
  <si>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</si>
  <si>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</si>
  <si>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</si>
  <si>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</si>
  <si>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</si>
  <si>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</si>
  <si>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</si>
  <si>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</si>
  <si>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</si>
  <si>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</si>
  <si>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</si>
  <si>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</si>
  <si>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</si>
  <si>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</si>
  <si>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</si>
  <si>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</si>
  <si>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</si>
  <si>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</si>
  <si>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</si>
  <si>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</si>
  <si>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</si>
  <si>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</si>
  <si>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</si>
  <si>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</si>
  <si>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</si>
  <si>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</si>
  <si>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</si>
  <si>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</si>
  <si>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</si>
  <si>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</si>
  <si>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</si>
  <si>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</si>
  <si>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</si>
  <si>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</si>
  <si>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</si>
  <si>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</si>
  <si>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</si>
  <si>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</si>
  <si>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</si>
  <si>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</si>
  <si>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</si>
  <si>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</si>
  <si>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</si>
  <si>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</si>
  <si>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</si>
  <si>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</si>
  <si>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</si>
  <si>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</si>
  <si>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</si>
  <si>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</si>
  <si>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</si>
  <si>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</si>
  <si>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</si>
  <si>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</si>
  <si>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</si>
  <si>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</si>
  <si>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</si>
  <si>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</si>
  <si>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</si>
  <si>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</si>
  <si>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</si>
  <si>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</si>
  <si>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</si>
  <si>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</si>
  <si>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</si>
  <si>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</si>
  <si>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</si>
  <si>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</si>
  <si>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</si>
  <si>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</si>
  <si>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</si>
  <si>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</si>
  <si>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</si>
  <si>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Table 37. 2025 Cotton Enterprise Budget, ThriveOn, Furrow Irrigation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</si>
  <si>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</si>
  <si>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</si>
  <si>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</si>
  <si>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</si>
  <si>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</si>
  <si>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</si>
  <si>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</si>
  <si>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</si>
  <si>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</si>
  <si>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</si>
  <si>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</si>
  <si>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</si>
  <si>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</si>
  <si>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</si>
  <si>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</si>
  <si>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</si>
  <si>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</si>
  <si>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</si>
  <si>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</si>
  <si>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</si>
  <si>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</si>
  <si>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</si>
  <si>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</si>
  <si>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</si>
  <si>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</si>
  <si>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</si>
  <si>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</si>
  <si>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</si>
  <si>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</si>
  <si>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</si>
  <si>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</si>
  <si>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</si>
  <si>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</si>
  <si>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</si>
  <si>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</si>
  <si>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</si>
  <si>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</si>
  <si>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</si>
  <si>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</si>
  <si>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</si>
  <si>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</si>
  <si>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</si>
  <si>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</si>
  <si>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</si>
  <si>
    <t>Soybeans, RR2XtendFlex, Furrow</t>
  </si>
  <si>
    <t>Soybeans, RR2XtendFlex, Pivot</t>
  </si>
  <si>
    <t>Soybeans, RR2XtendFlex, No Irrigation</t>
  </si>
  <si>
    <t>Soybeans, RR2XtendFlex, Flood</t>
  </si>
  <si>
    <t>Soybeans, EnlistE3, Furrow</t>
  </si>
  <si>
    <t>Soybeans, EnlistE3, Pivot</t>
  </si>
  <si>
    <t>Soybeans, EnlistE3, No Irrigation</t>
  </si>
  <si>
    <t>Soybeans, EnlistE3, Flood</t>
  </si>
  <si>
    <t>Cotton, B3XF, Furrow</t>
  </si>
  <si>
    <t>Cotton, B3XF, Pivot</t>
  </si>
  <si>
    <t>Cotton, B3XF, No Irrigation</t>
  </si>
  <si>
    <t>Cotton, W3FE, Furrow</t>
  </si>
  <si>
    <t>Cotton, W3FE, Pivot</t>
  </si>
  <si>
    <t>Cotton, W3FE, No Irrigation</t>
  </si>
  <si>
    <t>Cotton, B3XFThriveOn, Furrow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</si>
</sst>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Diesel</v>
      </c>
      <c r="Q1" s="1180" t="str">
        <f>IF(Irrigation!B2&lt;3,"Diesel","None")</f>
        <v>Diesel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215</v>
      </c>
      <c r="Q2" s="1177">
        <f>P2</f>
        <v>215</v>
      </c>
      <c r="R2" s="650">
        <v>220</v>
      </c>
      <c r="S2" s="1177">
        <f>IF(Irrigation!$B$2&lt;3,(Q2*$Q$36)+(R2*$R$36),A1_Link!Q2)</f>
        <v>217.33601830279883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215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215</v>
      </c>
      <c r="L3" s="182"/>
      <c r="M3" s="1190"/>
      <c r="N3" s="3"/>
      <c r="O3" s="648" t="s">
        <v>21</v>
      </c>
      <c r="P3" s="1181">
        <f>Budget!E3</f>
        <v>4.45</v>
      </c>
      <c r="Q3" s="1177">
        <f>P3</f>
        <v>4.45</v>
      </c>
      <c r="R3" s="650">
        <v>4</v>
      </c>
      <c r="S3" s="1177">
        <f>IF(Irrigation!$B$2&lt;3,(Q3*$Q$36)+(R3*$R$36),A1_Link!Q3)</f>
        <v>4.2397583527481029</v>
      </c>
      <c r="T3" s="650"/>
      <c r="U3" s="1190"/>
      <c r="V3" s="3"/>
      <c r="W3" s="3"/>
      <c r="X3" s="648" t="s">
        <v>21</v>
      </c>
      <c r="Y3" s="650">
        <f>Budget!E3</f>
        <v>4.45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67.040000000000006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4.45</v>
      </c>
      <c r="D4" s="3"/>
      <c r="E4" s="1190"/>
      <c r="F4" s="4" t="s">
        <v>788</v>
      </c>
      <c r="G4" s="1189">
        <f>C3</f>
        <v>215</v>
      </c>
      <c r="H4" s="3"/>
      <c r="I4" s="1190"/>
      <c r="J4" s="651" t="s">
        <v>494</v>
      </c>
      <c r="K4" s="1245">
        <f>C4</f>
        <v>4.45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>
        <f>IF(Irrigation!$B$2&lt;3,(IF(A2_Budget_Look_Up!B7&gt;0,Q4,0)*$Q$36)+(IF(A2_Budget_Look_Up!B7&gt;0,R4,0)*$R$36),A1_Link!Q4)</f>
        <v>0</v>
      </c>
      <c r="T4" s="650"/>
      <c r="U4" s="1190"/>
      <c r="V4" s="3"/>
      <c r="W4" s="3"/>
      <c r="X4" s="648" t="s">
        <v>15</v>
      </c>
      <c r="Y4" s="650">
        <f>Budget!D3</f>
        <v>215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67.040000000000006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4.45</v>
      </c>
      <c r="H6" s="3"/>
      <c r="I6" s="1190"/>
      <c r="J6" s="652" t="s">
        <v>231</v>
      </c>
      <c r="K6" s="173">
        <f>K3*K4*(K5)</f>
        <v>956.75</v>
      </c>
      <c r="L6" s="182"/>
      <c r="M6" s="1190"/>
      <c r="N6" s="3"/>
      <c r="O6" s="648" t="s">
        <v>482</v>
      </c>
      <c r="P6" s="1181">
        <f>Budget!F6</f>
        <v>134.08000000000001</v>
      </c>
      <c r="Q6" s="1177">
        <f t="shared" ref="Q6:Q26" si="0">P6</f>
        <v>134.08000000000001</v>
      </c>
      <c r="R6" s="650">
        <v>125.73</v>
      </c>
      <c r="S6" s="1177">
        <f>IF(Irrigation!$B$2&lt;3,(Q6*$Q$36)+(R6*$R$36),A1_Link!Q6)</f>
        <v>130.17884943432591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112.0125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112.0125</v>
      </c>
      <c r="Q7" s="1177">
        <f t="shared" si="0"/>
        <v>112.0125</v>
      </c>
      <c r="R7" s="650">
        <v>104.82639999999999</v>
      </c>
      <c r="S7" s="1177">
        <f>IF(Irrigation!$B$2&lt;3,(Q7*$Q$36)+(R7*$R$36),A1_Link!Q7)</f>
        <v>108.65512777485142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658.37223083029971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60.374999999999993</v>
      </c>
      <c r="AI7" s="3"/>
    </row>
    <row r="8" spans="2:35" ht="13.9" x14ac:dyDescent="0.4">
      <c r="B8" s="1185" t="s">
        <v>223</v>
      </c>
      <c r="C8" s="1186">
        <f>Budget!F6</f>
        <v>134.08000000000001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60.374999999999993</v>
      </c>
      <c r="Q8" s="1177">
        <f t="shared" si="0"/>
        <v>60.374999999999993</v>
      </c>
      <c r="R8" s="650">
        <v>30</v>
      </c>
      <c r="S8" s="1177">
        <f>IF(Irrigation!$B$2&lt;3,(Q8*$Q$36)+(R8*$R$36),A1_Link!Q8)</f>
        <v>46.183688810496967</v>
      </c>
      <c r="T8" s="650"/>
      <c r="U8" s="1190"/>
      <c r="V8" s="3"/>
      <c r="W8" s="3"/>
      <c r="X8" s="648" t="s">
        <v>1</v>
      </c>
      <c r="Y8" s="650">
        <f>Budget!F36</f>
        <v>34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32.5</v>
      </c>
      <c r="AI8" s="3"/>
    </row>
    <row r="9" spans="2:35" ht="13.9" x14ac:dyDescent="0.4">
      <c r="B9" s="1185" t="s">
        <v>224</v>
      </c>
      <c r="C9" s="1186">
        <f>SUM(Budget!F7:F13)</f>
        <v>280.94150000000002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608.21041890228241</v>
      </c>
      <c r="L9" s="182">
        <v>491.31931557339078</v>
      </c>
      <c r="M9" s="1190"/>
      <c r="N9" s="3"/>
      <c r="O9" s="648" t="s">
        <v>484</v>
      </c>
      <c r="P9" s="1181">
        <f>Budget!F9</f>
        <v>32.5</v>
      </c>
      <c r="Q9" s="1177">
        <f t="shared" si="0"/>
        <v>32.5</v>
      </c>
      <c r="R9" s="650">
        <v>33.299999999999997</v>
      </c>
      <c r="S9" s="1177">
        <f>IF(Irrigation!$B$2&lt;3,(Q9*$Q$36)+(R9*$R$36),A1_Link!Q9)</f>
        <v>32.873762928447817</v>
      </c>
      <c r="T9" s="650"/>
      <c r="U9" s="1190"/>
      <c r="V9" s="3"/>
      <c r="W9" s="3"/>
      <c r="X9" s="648" t="s">
        <v>55</v>
      </c>
      <c r="Y9" s="650">
        <f>Trips!E45+Trips!E51+(Trips!E72*(1-W10))+Trips!E76</f>
        <v>11.047226018407775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76.054000000000002</v>
      </c>
      <c r="AI9" s="3"/>
    </row>
    <row r="10" spans="2:35" ht="13.9" x14ac:dyDescent="0.4">
      <c r="B10" s="1185" t="s">
        <v>495</v>
      </c>
      <c r="C10" s="1186">
        <f>SUM(Budget!F14:F18)</f>
        <v>61.790156249999995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34</v>
      </c>
      <c r="L10" s="182">
        <v>0</v>
      </c>
      <c r="M10" s="1190"/>
      <c r="N10" s="3"/>
      <c r="O10" s="648" t="s">
        <v>485</v>
      </c>
      <c r="P10" s="1181">
        <f>SUM(Budget!F10:F13)</f>
        <v>76.054000000000002</v>
      </c>
      <c r="Q10" s="1177">
        <f t="shared" si="0"/>
        <v>76.054000000000002</v>
      </c>
      <c r="R10" s="650">
        <v>22.159999999999997</v>
      </c>
      <c r="S10" s="1177">
        <f>IF(Irrigation!$B$2&lt;3,(Q10*$Q$36)+(R10*$R$36),A1_Link!Q10)</f>
        <v>50.874525917791729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215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61.790156249999995</v>
      </c>
      <c r="AI10" s="3"/>
    </row>
    <row r="11" spans="2:35" ht="13.9" x14ac:dyDescent="0.4">
      <c r="B11" s="1185" t="s">
        <v>225</v>
      </c>
      <c r="C11" s="1186">
        <f>SUM(Budget!F20:F23)</f>
        <v>52.5</v>
      </c>
      <c r="D11" s="3"/>
      <c r="E11" s="1190"/>
      <c r="F11" s="1185" t="s">
        <v>223</v>
      </c>
      <c r="G11" s="1186">
        <f>C8</f>
        <v>134.08000000000001</v>
      </c>
      <c r="H11" s="3"/>
      <c r="I11" s="1190"/>
      <c r="J11" s="648" t="s">
        <v>791</v>
      </c>
      <c r="K11" s="665">
        <f>K30+SUM(K32:K35)</f>
        <v>69.838066517853719</v>
      </c>
      <c r="L11" s="182">
        <v>58.670258247720405</v>
      </c>
      <c r="M11" s="1190"/>
      <c r="N11" s="3"/>
      <c r="O11" s="648" t="s">
        <v>183</v>
      </c>
      <c r="P11" s="1181">
        <f>Budget!F14</f>
        <v>61.790156249999995</v>
      </c>
      <c r="Q11" s="1177">
        <f t="shared" si="0"/>
        <v>61.790156249999995</v>
      </c>
      <c r="R11" s="650">
        <v>23.8</v>
      </c>
      <c r="S11" s="1177">
        <f>IF(Irrigation!$B$2&lt;3,(Q11*$Q$36)+(R11*$R$36),A1_Link!Q11)</f>
        <v>44.041016184762356</v>
      </c>
      <c r="T11" s="650"/>
      <c r="U11" s="1190"/>
      <c r="V11" s="3"/>
      <c r="W11" s="3"/>
      <c r="X11" s="648" t="s">
        <v>814</v>
      </c>
      <c r="Y11" s="650">
        <f>Budget!F27</f>
        <v>8.6290285714285719</v>
      </c>
      <c r="Z11" s="650">
        <f>Budget!D$3</f>
        <v>215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0</v>
      </c>
      <c r="AI11" s="3"/>
    </row>
    <row r="12" spans="2:35" ht="13.9" x14ac:dyDescent="0.4">
      <c r="B12" s="1185" t="s">
        <v>422</v>
      </c>
      <c r="C12" s="1186">
        <f>Budget!F31+Budget!F32</f>
        <v>16.25</v>
      </c>
      <c r="D12" s="3"/>
      <c r="E12" s="1190"/>
      <c r="F12" s="1185" t="s">
        <v>421</v>
      </c>
      <c r="G12" s="1186">
        <f t="shared" ref="G12:G21" si="2">C9</f>
        <v>280.94150000000002</v>
      </c>
      <c r="H12" s="3"/>
      <c r="I12" s="1190"/>
      <c r="J12" s="648" t="s">
        <v>792</v>
      </c>
      <c r="K12" s="664">
        <f>SUM(K36:K37)</f>
        <v>96.75</v>
      </c>
      <c r="L12" s="182">
        <v>105.03</v>
      </c>
      <c r="M12" s="1190"/>
      <c r="N12" s="3"/>
      <c r="O12" s="648" t="s">
        <v>184</v>
      </c>
      <c r="P12" s="1181">
        <f>Budget!F15</f>
        <v>0</v>
      </c>
      <c r="Q12" s="1177">
        <f t="shared" si="0"/>
        <v>0</v>
      </c>
      <c r="R12" s="650">
        <v>0</v>
      </c>
      <c r="S12" s="1177">
        <f>IF(Irrigation!$B$2&lt;3,(Q12*$Q$36)+(R12*$R$36),A1_Link!Q12)</f>
        <v>0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215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0</v>
      </c>
      <c r="AI12" s="3"/>
    </row>
    <row r="13" spans="2:35" ht="13.9" x14ac:dyDescent="0.4">
      <c r="B13" s="1185" t="s">
        <v>781</v>
      </c>
      <c r="C13" s="1186">
        <f>Budget!F25+Budget!F27</f>
        <v>16.348424406668279</v>
      </c>
      <c r="D13" s="3"/>
      <c r="E13" s="1190"/>
      <c r="F13" s="1185" t="s">
        <v>495</v>
      </c>
      <c r="G13" s="1186">
        <f t="shared" si="2"/>
        <v>61.790156249999995</v>
      </c>
      <c r="H13" s="3"/>
      <c r="I13" s="1190"/>
      <c r="J13" s="652" t="s">
        <v>168</v>
      </c>
      <c r="K13" s="173">
        <f>SUM(K9:K12)-K7</f>
        <v>808.7984854201361</v>
      </c>
      <c r="L13" s="182"/>
      <c r="M13" s="1190"/>
      <c r="N13" s="3"/>
      <c r="O13" s="648" t="s">
        <v>91</v>
      </c>
      <c r="P13" s="1181">
        <f>SUM(Budget!F16:F18)</f>
        <v>0</v>
      </c>
      <c r="Q13" s="1177">
        <f t="shared" si="0"/>
        <v>0</v>
      </c>
      <c r="R13" s="650">
        <v>0</v>
      </c>
      <c r="S13" s="1177">
        <f>IF(Irrigation!$B$2&lt;3,(Q13*$Q$36)+(R13*$R$36),A1_Link!Q13)</f>
        <v>0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96.75</v>
      </c>
      <c r="Z13" s="650">
        <f>SUM(Y7:Y13)-Y5</f>
        <v>808.79848542013599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52.5</v>
      </c>
      <c r="AI13" s="3"/>
    </row>
    <row r="14" spans="2:35" ht="13.9" x14ac:dyDescent="0.4">
      <c r="B14" s="1185" t="s">
        <v>423</v>
      </c>
      <c r="C14" s="1186">
        <f>Budget!F29</f>
        <v>46.300338245614029</v>
      </c>
      <c r="D14" s="3"/>
      <c r="E14" s="1190"/>
      <c r="F14" s="1185" t="s">
        <v>225</v>
      </c>
      <c r="G14" s="1186">
        <f t="shared" si="2"/>
        <v>52.5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52.5</v>
      </c>
      <c r="Q14" s="1177">
        <f t="shared" si="0"/>
        <v>52.5</v>
      </c>
      <c r="R14" s="650">
        <v>7.0000000000000009</v>
      </c>
      <c r="S14" s="1177">
        <f>IF(Irrigation!$B$2&lt;3,(Q14*$Q$36)+(R14*$R$36),A1_Link!Q14)</f>
        <v>31.242233444530441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7.719395835239709</v>
      </c>
      <c r="AI14" s="3"/>
    </row>
    <row r="15" spans="2:35" ht="13.9" x14ac:dyDescent="0.4">
      <c r="B15" s="1185" t="s">
        <v>780</v>
      </c>
      <c r="C15" s="1186">
        <f>Budget!F34+Budget!F35</f>
        <v>6</v>
      </c>
      <c r="D15" s="3"/>
      <c r="E15" s="1190"/>
      <c r="F15" s="1185" t="s">
        <v>782</v>
      </c>
      <c r="G15" s="1186">
        <f t="shared" si="2"/>
        <v>16.25</v>
      </c>
      <c r="H15" s="3"/>
      <c r="I15" s="1190"/>
      <c r="J15" s="652" t="s">
        <v>233</v>
      </c>
      <c r="K15" s="173">
        <f>(K3*K4*K5)-K13-K14</f>
        <v>147.9515145798639</v>
      </c>
      <c r="L15" s="182"/>
      <c r="M15" s="1190"/>
      <c r="N15" s="3"/>
      <c r="O15" s="648" t="s">
        <v>425</v>
      </c>
      <c r="P15" s="1181">
        <f>Budget!F25</f>
        <v>7.719395835239709</v>
      </c>
      <c r="Q15" s="1177">
        <f t="shared" si="0"/>
        <v>7.719395835239709</v>
      </c>
      <c r="R15" s="650">
        <v>10.547472063880164</v>
      </c>
      <c r="S15" s="1177">
        <f>IF(Irrigation!$B$2&lt;3,(Q15*$Q$36)+(R15*$R$36),A1_Link!Q15)</f>
        <v>9.0406834016025996</v>
      </c>
      <c r="T15" s="650"/>
      <c r="U15" s="1190"/>
      <c r="V15" s="3"/>
      <c r="W15" s="3"/>
      <c r="X15" s="648" t="s">
        <v>585</v>
      </c>
      <c r="Y15" s="650">
        <f>Budget!F48</f>
        <v>91.39533000594308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5.9610027838445596</v>
      </c>
      <c r="AI15" s="3"/>
    </row>
    <row r="16" spans="2:35" ht="13.9" x14ac:dyDescent="0.4">
      <c r="B16" s="1185" t="s">
        <v>1</v>
      </c>
      <c r="C16" s="1186">
        <f>Budget!F36</f>
        <v>34</v>
      </c>
      <c r="D16" s="3"/>
      <c r="E16" s="1190"/>
      <c r="F16" s="1185" t="s">
        <v>781</v>
      </c>
      <c r="G16" s="1186">
        <f t="shared" si="2"/>
        <v>16.348424406668279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5.9610027838445596</v>
      </c>
      <c r="Q16" s="1177">
        <f t="shared" si="0"/>
        <v>5.9610027838445596</v>
      </c>
      <c r="R16" s="650">
        <v>9.3388892486480266</v>
      </c>
      <c r="S16" s="1177">
        <f>IF(Irrigation!$B$2&lt;3,(Q16*$Q$36)+(R16*$R$36),A1_Link!Q16)</f>
        <v>7.5391637051560423</v>
      </c>
      <c r="T16" s="650"/>
      <c r="U16" s="1190"/>
      <c r="V16" s="3"/>
      <c r="W16" s="3"/>
      <c r="X16" s="648" t="s">
        <v>304</v>
      </c>
      <c r="Y16" s="650">
        <f>Budget!F49</f>
        <v>31.611622731180638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8.6290285714285719</v>
      </c>
      <c r="AI16" s="3"/>
    </row>
    <row r="17" spans="2:35" ht="13.9" x14ac:dyDescent="0.4">
      <c r="B17" s="1185" t="s">
        <v>226</v>
      </c>
      <c r="C17" s="1186">
        <f>Budget!F26+Budget!F28+Budget!F30</f>
        <v>22.128465529200856</v>
      </c>
      <c r="D17" s="3"/>
      <c r="E17" s="1190"/>
      <c r="F17" s="1185" t="s">
        <v>423</v>
      </c>
      <c r="G17" s="1186">
        <f t="shared" si="2"/>
        <v>46.300338245614029</v>
      </c>
      <c r="H17" s="3"/>
      <c r="I17" s="1190"/>
      <c r="J17" s="648" t="s">
        <v>249</v>
      </c>
      <c r="K17" s="978">
        <f>SUM(K40:K42)</f>
        <v>127.57671923742087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8.6290285714285719</v>
      </c>
      <c r="Q17" s="1177">
        <f t="shared" si="0"/>
        <v>8.6290285714285719</v>
      </c>
      <c r="R17" s="650">
        <v>7.4958759183673482</v>
      </c>
      <c r="S17" s="1177">
        <f>IF(Irrigation!$B$2&lt;3,(Q17*$Q$36)+(R17*$R$36),A1_Link!Q17)</f>
        <v>8.099615503945353</v>
      </c>
      <c r="T17" s="650"/>
      <c r="U17" s="1190"/>
      <c r="V17" s="3"/>
      <c r="W17" s="3"/>
      <c r="X17" s="648" t="s">
        <v>586</v>
      </c>
      <c r="Y17" s="650">
        <f>Budget!F50</f>
        <v>4.5697665002971544</v>
      </c>
      <c r="Z17" s="650">
        <f>SUM(Y15:Y17)</f>
        <v>127.57671923742087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12.469858578689628</v>
      </c>
      <c r="AI17" s="3"/>
    </row>
    <row r="18" spans="2:35" ht="13.9" x14ac:dyDescent="0.4">
      <c r="B18" s="1185" t="s">
        <v>214</v>
      </c>
      <c r="C18" s="1186">
        <f>Trips!E45+Trips!E51+Trips!E72+Trips!E76</f>
        <v>11.047226018407775</v>
      </c>
      <c r="D18" s="3"/>
      <c r="E18" s="1190"/>
      <c r="F18" s="1185" t="s">
        <v>780</v>
      </c>
      <c r="G18" s="1186">
        <f t="shared" si="2"/>
        <v>6</v>
      </c>
      <c r="H18" s="3"/>
      <c r="I18" s="1190"/>
      <c r="J18" s="308" t="s">
        <v>651</v>
      </c>
      <c r="K18" s="173">
        <f>K13+K17</f>
        <v>936.37520465755699</v>
      </c>
      <c r="L18" s="182"/>
      <c r="M18" s="1190"/>
      <c r="N18" s="3"/>
      <c r="O18" s="648" t="s">
        <v>17</v>
      </c>
      <c r="P18" s="1181">
        <f>(Budget!F28/Budget!D3)*P2</f>
        <v>12.469858578689628</v>
      </c>
      <c r="Q18" s="1177">
        <f t="shared" si="0"/>
        <v>12.469858578689628</v>
      </c>
      <c r="R18" s="650">
        <v>12.958564105965449</v>
      </c>
      <c r="S18" s="1177">
        <f>IF(Irrigation!$B$2&lt;3,(Q18*$Q$36)+(R18*$R$36),A1_Link!Q18)</f>
        <v>12.698183589968686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46.300338245614029</v>
      </c>
      <c r="AI18" s="3"/>
    </row>
    <row r="19" spans="2:35" ht="13.9" x14ac:dyDescent="0.4">
      <c r="B19" s="1185" t="s">
        <v>28</v>
      </c>
      <c r="C19" s="1186">
        <f>Budget!F37</f>
        <v>30.662374970245089</v>
      </c>
      <c r="D19" s="3"/>
      <c r="E19" s="1190"/>
      <c r="F19" s="1185" t="s">
        <v>1</v>
      </c>
      <c r="G19" s="1186">
        <f t="shared" si="2"/>
        <v>34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46.300338245614029</v>
      </c>
      <c r="Q19" s="1177">
        <f t="shared" si="0"/>
        <v>46.300338245614029</v>
      </c>
      <c r="R19" s="650">
        <v>27.046874608695653</v>
      </c>
      <c r="S19" s="1177">
        <f>IF(Irrigation!$B$2&lt;3,(Q19*$Q$36)+(R19*$R$36),A1_Link!Q19)</f>
        <v>37.305049555991332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3.6976041666666672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22.128465529200856</v>
      </c>
      <c r="H20" s="3"/>
      <c r="I20" s="1190"/>
      <c r="J20" s="308" t="s">
        <v>763</v>
      </c>
      <c r="K20" s="173">
        <f>(K3*K4*K5)-K14-K18</f>
        <v>20.374795342443008</v>
      </c>
      <c r="L20" s="182"/>
      <c r="M20" s="1190"/>
      <c r="N20" s="3"/>
      <c r="O20" s="648" t="s">
        <v>296</v>
      </c>
      <c r="P20" s="1181">
        <f>Budget!F30</f>
        <v>3.6976041666666672</v>
      </c>
      <c r="Q20" s="1177">
        <f t="shared" si="0"/>
        <v>3.6976041666666672</v>
      </c>
      <c r="R20" s="650">
        <v>1.6916666666666667</v>
      </c>
      <c r="S20" s="1177">
        <f>IF(Irrigation!$B$2&lt;3,(Q20*$Q$36)+(R20*$R$36),A1_Link!Q20)</f>
        <v>2.7604228238125521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16.25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94.6</v>
      </c>
      <c r="D21" s="3"/>
      <c r="E21" s="1190"/>
      <c r="F21" s="1185" t="s">
        <v>214</v>
      </c>
      <c r="G21" s="1186">
        <f t="shared" si="2"/>
        <v>11.047226018407775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16.25</v>
      </c>
      <c r="Q21" s="1177">
        <f t="shared" si="0"/>
        <v>16.25</v>
      </c>
      <c r="R21" s="650">
        <v>3.45</v>
      </c>
      <c r="S21" s="1177">
        <f>IF(Irrigation!$B$2&lt;3,(Q21*$Q$36)+(R21*$R$36),A1_Link!Q21)</f>
        <v>10.269793144834937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2.15</v>
      </c>
      <c r="D22" s="3"/>
      <c r="E22" s="1190"/>
      <c r="F22" s="1185" t="s">
        <v>786</v>
      </c>
      <c r="G22" s="1186">
        <f>SUM(G11:G21)*(0.0475/2)</f>
        <v>16.18292012318491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</v>
      </c>
      <c r="Q22" s="1177">
        <f t="shared" si="0"/>
        <v>0</v>
      </c>
      <c r="R22" s="650">
        <v>0</v>
      </c>
      <c r="S22" s="1177">
        <f>IF(Irrigation!$B$2&lt;3,(Q22*$Q$36)+(R22*$R$36),A1_Link!Q22)</f>
        <v>0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134.08000000000001</v>
      </c>
      <c r="L23" s="1251">
        <v>1</v>
      </c>
      <c r="M23" s="1190"/>
      <c r="N23" s="3"/>
      <c r="O23" s="648" t="s">
        <v>214</v>
      </c>
      <c r="P23" s="1181">
        <f>Budget!F33</f>
        <v>11.047226018407773</v>
      </c>
      <c r="Q23" s="1177">
        <f t="shared" si="0"/>
        <v>11.047226018407773</v>
      </c>
      <c r="R23" s="650">
        <v>11.817977438585899</v>
      </c>
      <c r="S23" s="1177">
        <f>IF(Irrigation!$B$2&lt;3,(Q23*$Q$36)+(R23*$R$36),A1_Link!Q23)</f>
        <v>11.407323903296636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11.047226018407773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96.75</v>
      </c>
      <c r="H24" s="3"/>
      <c r="I24" s="1190"/>
      <c r="J24" s="1185" t="s">
        <v>224</v>
      </c>
      <c r="K24" s="1249">
        <f t="shared" ref="K24:K38" si="3">C9*L24</f>
        <v>280.94150000000002</v>
      </c>
      <c r="L24" s="1251">
        <v>1</v>
      </c>
      <c r="M24" s="1190"/>
      <c r="N24" s="3"/>
      <c r="O24" s="648" t="s">
        <v>23</v>
      </c>
      <c r="P24" s="1181">
        <f>Budget!F34</f>
        <v>6</v>
      </c>
      <c r="Q24" s="1177">
        <f t="shared" si="0"/>
        <v>6</v>
      </c>
      <c r="R24" s="650">
        <v>0</v>
      </c>
      <c r="S24" s="1177">
        <f>IF(Irrigation!$B$2&lt;3,(Q24*$Q$36)+(R24*$R$36),A1_Link!Q24)</f>
        <v>3.1967780366413763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6</v>
      </c>
      <c r="AI24" s="3"/>
    </row>
    <row r="25" spans="2:35" ht="13.9" x14ac:dyDescent="0.4">
      <c r="B25" s="648" t="s">
        <v>123</v>
      </c>
      <c r="C25" s="665">
        <f>Budget!F48</f>
        <v>91.39533000594308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61.790156249999995</v>
      </c>
      <c r="L25" s="1251">
        <v>1</v>
      </c>
      <c r="M25" s="1190"/>
      <c r="N25" s="3"/>
      <c r="O25" s="648" t="s">
        <v>488</v>
      </c>
      <c r="P25" s="1181">
        <f>Budget!F35</f>
        <v>0</v>
      </c>
      <c r="Q25" s="1177">
        <f t="shared" si="0"/>
        <v>0</v>
      </c>
      <c r="R25" s="650">
        <v>0</v>
      </c>
      <c r="S25" s="1177">
        <f>IF(Irrigation!$B$2&lt;3,(Q25*$Q$36)+(R25*$R$36),A1_Link!Q25)</f>
        <v>0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0</v>
      </c>
      <c r="AI25" s="3"/>
    </row>
    <row r="26" spans="2:35" ht="13.9" x14ac:dyDescent="0.4">
      <c r="B26" s="648" t="s">
        <v>304</v>
      </c>
      <c r="C26" s="665">
        <f>Budget!F49</f>
        <v>31.611622731180638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52.5</v>
      </c>
      <c r="L26" s="1251">
        <v>1</v>
      </c>
      <c r="M26" s="1190"/>
      <c r="N26" s="3"/>
      <c r="O26" s="648" t="s">
        <v>1</v>
      </c>
      <c r="P26" s="1181">
        <f>Budget!F36</f>
        <v>34</v>
      </c>
      <c r="Q26" s="1177">
        <f t="shared" si="0"/>
        <v>34</v>
      </c>
      <c r="R26" s="650">
        <v>0</v>
      </c>
      <c r="S26" s="1177">
        <f>IF(Irrigation!$B$2&lt;3,(Q26*$Q$36)+(R26*$R$36),A1_Link!Q26)</f>
        <v>18.115075540967801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30.662374970245089</v>
      </c>
      <c r="AI26" s="650">
        <f>SUM(AH3:AH26)</f>
        <v>678.04848542013599</v>
      </c>
    </row>
    <row r="27" spans="2:35" ht="13.9" x14ac:dyDescent="0.4">
      <c r="B27" s="648" t="s">
        <v>586</v>
      </c>
      <c r="C27" s="664">
        <f>Budget!F50</f>
        <v>4.5697665002971544</v>
      </c>
      <c r="D27" s="3"/>
      <c r="E27" s="1190"/>
      <c r="F27" s="648" t="s">
        <v>1004</v>
      </c>
      <c r="G27" s="1186">
        <f>C25+C26</f>
        <v>123.00695273712373</v>
      </c>
      <c r="H27" s="3"/>
      <c r="I27" s="1190"/>
      <c r="J27" s="1185" t="s">
        <v>422</v>
      </c>
      <c r="K27" s="1249">
        <f t="shared" si="3"/>
        <v>16.25</v>
      </c>
      <c r="L27" s="1251">
        <v>1</v>
      </c>
      <c r="M27" s="1190"/>
      <c r="N27" s="173"/>
      <c r="O27" s="648" t="s">
        <v>263</v>
      </c>
      <c r="P27" s="1181">
        <f>SUM(P6:P26)*((Budget!D37/100)/2)</f>
        <v>30.662374970245089</v>
      </c>
      <c r="Q27" s="1177">
        <f>P27</f>
        <v>30.662374970245089</v>
      </c>
      <c r="R27" s="650">
        <v>10.240138351206717</v>
      </c>
      <c r="S27" s="1177">
        <f>IF(Irrigation!$B$2&lt;3,(Q27*$Q$36)+(R27*$R$36),A1_Link!Q27)</f>
        <v>21.121031265012569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40.85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4.5697665002971544</v>
      </c>
      <c r="H28" s="3"/>
      <c r="I28" s="1190"/>
      <c r="J28" s="1185" t="s">
        <v>781</v>
      </c>
      <c r="K28" s="1249">
        <f t="shared" si="3"/>
        <v>16.348424406668279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40.85</v>
      </c>
      <c r="Q28" s="1177">
        <f>P28</f>
        <v>40.85</v>
      </c>
      <c r="R28" s="650">
        <v>41.8</v>
      </c>
      <c r="S28" s="1177">
        <f>IF(Irrigation!$B$2&lt;3,(Q28*$Q$36)+(R28*$R$36),A1_Link!Q28)</f>
        <v>41.29384347753178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53.75</v>
      </c>
      <c r="AI28" s="3"/>
    </row>
    <row r="29" spans="2:35" ht="13.9" x14ac:dyDescent="0.4">
      <c r="B29" s="652" t="s">
        <v>779</v>
      </c>
      <c r="C29" s="173">
        <f>SUM(C8:C14)</f>
        <v>608.21041890228241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46.300338245614029</v>
      </c>
      <c r="L29" s="1251">
        <v>1</v>
      </c>
      <c r="M29" s="1190"/>
      <c r="N29" s="3"/>
      <c r="O29" s="648" t="s">
        <v>490</v>
      </c>
      <c r="P29" s="1181">
        <f>Budget!F41</f>
        <v>53.75</v>
      </c>
      <c r="Q29" s="1177">
        <f>P29</f>
        <v>53.75</v>
      </c>
      <c r="R29" s="650">
        <v>55</v>
      </c>
      <c r="S29" s="1177">
        <f>IF(Irrigation!$B$2&lt;3,(Q29*$Q$36)+(R29*$R$36),A1_Link!Q29)</f>
        <v>54.334004575699709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2.15</v>
      </c>
      <c r="AI29" s="3"/>
    </row>
    <row r="30" spans="2:35" ht="13.9" x14ac:dyDescent="0.4">
      <c r="B30" s="652" t="s">
        <v>641</v>
      </c>
      <c r="C30" s="173">
        <f>SUM(C8:C18)</f>
        <v>681.38611044989102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6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2.15</v>
      </c>
      <c r="Q30" s="1177">
        <f>P30</f>
        <v>2.15</v>
      </c>
      <c r="R30" s="650">
        <v>2.2000000000000002</v>
      </c>
      <c r="S30" s="1177">
        <f>IF(Irrigation!$B$2&lt;3,(Q30*$Q$36)+(R30*$R$36),A1_Link!Q30)</f>
        <v>2.1733601830279885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808.7984854201361</v>
      </c>
      <c r="D31" s="3"/>
      <c r="E31" s="1190"/>
      <c r="F31" s="1308">
        <f>SUM(C8:C22)</f>
        <v>808.7984854201361</v>
      </c>
      <c r="G31" s="3"/>
      <c r="H31" s="3"/>
      <c r="I31" s="1190"/>
      <c r="J31" s="1185" t="s">
        <v>1</v>
      </c>
      <c r="K31" s="1249">
        <f t="shared" si="3"/>
        <v>34</v>
      </c>
      <c r="L31" s="1251">
        <v>1</v>
      </c>
      <c r="M31" s="1190"/>
      <c r="N31" s="534"/>
      <c r="O31" s="1309">
        <f>P31+IF(A2_Budget_Look_Up!B7&gt;0,P4,0)</f>
        <v>808.79848542013599</v>
      </c>
      <c r="P31" s="1178">
        <f>SUM(P6:P30)-IF(A2_Budget_Look_Up!B7&gt;0,P4,0)</f>
        <v>808.79848542013599</v>
      </c>
      <c r="Q31" s="1178">
        <f>SUM(Q6:Q30)-IF(A2_Budget_Look_Up!B7&gt;0,Q4,0)</f>
        <v>808.79848542013599</v>
      </c>
      <c r="R31" s="1178">
        <f>SUM(R6:R30)-IF(A2_Budget_Look_Up!B7&gt;0,R4,0)</f>
        <v>540.40385840201589</v>
      </c>
      <c r="S31" s="1179">
        <f>SUM(S6:S30)-IF(A2_Budget_Look_Up!B7&gt;0,S4,0)</f>
        <v>683.40353320269605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91.39533000594308</v>
      </c>
      <c r="AI31" s="3"/>
    </row>
    <row r="32" spans="2:35" ht="13.9" x14ac:dyDescent="0.4">
      <c r="B32" s="173" t="s">
        <v>249</v>
      </c>
      <c r="C32" s="173">
        <f>SUM(C25:C27)</f>
        <v>127.57671923742087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22.128465529200856</v>
      </c>
      <c r="L32" s="1251">
        <v>1</v>
      </c>
      <c r="M32" s="1190"/>
      <c r="N32" s="183"/>
      <c r="O32" s="648" t="s">
        <v>123</v>
      </c>
      <c r="P32" s="1181">
        <f>Budget!F48</f>
        <v>91.39533000594308</v>
      </c>
      <c r="Q32" s="1177">
        <f>P32</f>
        <v>91.39533000594308</v>
      </c>
      <c r="R32" s="650">
        <v>62.654368717931924</v>
      </c>
      <c r="S32" s="1177">
        <f>IF(Irrigation!$B$2&lt;3,(Q32*$Q$36)+(R32*$R$36),A1_Link!Q32)</f>
        <v>77.967447684177614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31.611622731180638</v>
      </c>
      <c r="AI32" s="3"/>
    </row>
    <row r="33" spans="2:35" ht="13.9" x14ac:dyDescent="0.4">
      <c r="B33" s="308" t="s">
        <v>651</v>
      </c>
      <c r="C33" s="173">
        <f>C31+C32</f>
        <v>936.37520465755699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11.047226018407775</v>
      </c>
      <c r="L33" s="1251">
        <v>1</v>
      </c>
      <c r="M33" s="1190"/>
      <c r="N33" s="182"/>
      <c r="O33" s="648" t="s">
        <v>304</v>
      </c>
      <c r="P33" s="1181">
        <f>Budget!F49</f>
        <v>31.611622731180638</v>
      </c>
      <c r="Q33" s="1177">
        <f>P33</f>
        <v>31.611622731180638</v>
      </c>
      <c r="R33" s="650">
        <v>11.440610711903465</v>
      </c>
      <c r="S33" s="1177">
        <f>IF(Irrigation!$B$2&lt;3,(Q33*$Q$36)+(R33*$R$36),A1_Link!Q33)</f>
        <v>22.187652078579212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4.5697665002971544</v>
      </c>
      <c r="AI33" s="3"/>
    </row>
    <row r="34" spans="2:35" ht="13.9" x14ac:dyDescent="0.4">
      <c r="B34" s="308" t="s">
        <v>763</v>
      </c>
      <c r="C34" s="173">
        <f>(C3*C4*C5)-C23-C33</f>
        <v>20.374795342443008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30.662374970245089</v>
      </c>
      <c r="L34" s="1251">
        <v>1</v>
      </c>
      <c r="M34" s="1190"/>
      <c r="N34" s="182"/>
      <c r="O34" s="648" t="s">
        <v>492</v>
      </c>
      <c r="P34" s="1181">
        <f>Budget!F50</f>
        <v>4.5697665002971544</v>
      </c>
      <c r="Q34" s="1177">
        <f>P34</f>
        <v>4.5697665002971544</v>
      </c>
      <c r="R34" s="650">
        <v>7.4094979429835393</v>
      </c>
      <c r="S34" s="1177">
        <f>IF(Irrigation!$B$2&lt;3,(Q34*$Q$36)+(R34*$R$36),A1_Link!Q34)</f>
        <v>5.8964994253269118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127.57671923742087</v>
      </c>
      <c r="Q35" s="1178">
        <f>SUM(Q32:Q34)</f>
        <v>127.57671923742087</v>
      </c>
      <c r="R35" s="1178">
        <f>SUM(R32:R34)</f>
        <v>81.504477372818926</v>
      </c>
      <c r="S35" s="1179">
        <f>SUM(S32:S34)</f>
        <v>106.05159918808374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94.6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54.374795342443136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2.15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91.39533000594308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31.611622731180638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4.5697665002971544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1. 2025 Corn Enterprise Budget, Stacked Gene, Furrow Irrigation</v>
      </c>
      <c r="E3" s="4"/>
      <c r="F3" s="436">
        <v>1</v>
      </c>
      <c r="G3" s="1343" t="s">
        <v>1059</v>
      </c>
      <c r="H3" s="668" t="s">
        <v>657</v>
      </c>
      <c r="I3" s="1244" t="s">
        <v>1230</v>
      </c>
      <c r="J3" s="1244" t="s">
        <v>1230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1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1230</v>
      </c>
      <c r="J4" s="1244" t="s">
        <v>1230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1230</v>
      </c>
      <c r="J5" s="1244" t="s">
        <v>1230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1240</v>
      </c>
      <c r="I6" s="1244" t="s">
        <v>1230</v>
      </c>
      <c r="J6" s="1244" t="s">
        <v>1230</v>
      </c>
      <c r="K6" s="4" t="s">
        <v>1193</v>
      </c>
      <c r="L6" s="4" t="s">
        <v>1199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Corn, Furrow</v>
      </c>
      <c r="E7" s="4"/>
      <c r="F7" s="436">
        <f t="shared" si="0"/>
        <v>5</v>
      </c>
      <c r="G7" s="1345" t="s">
        <v>1085</v>
      </c>
      <c r="H7" s="668" t="s">
        <v>1241</v>
      </c>
      <c r="I7" s="1244" t="s">
        <v>1230</v>
      </c>
      <c r="J7" s="1244" t="s">
        <v>1230</v>
      </c>
      <c r="K7" s="4" t="s">
        <v>1194</v>
      </c>
      <c r="L7" s="4" t="s">
        <v>1200</v>
      </c>
    </row>
    <row r="8" spans="1:12" ht="13.9" x14ac:dyDescent="0.4">
      <c r="A8" s="505" t="s">
        <v>178</v>
      </c>
      <c r="B8" s="401">
        <v>1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1242</v>
      </c>
      <c r="I8" s="1244" t="s">
        <v>1230</v>
      </c>
      <c r="J8" s="1244" t="s">
        <v>1230</v>
      </c>
      <c r="K8" s="4" t="s">
        <v>1195</v>
      </c>
      <c r="L8" s="4" t="s">
        <v>1201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1243</v>
      </c>
      <c r="I9" s="1244" t="s">
        <v>1230</v>
      </c>
      <c r="J9" s="1244" t="s">
        <v>1230</v>
      </c>
      <c r="K9" s="4" t="s">
        <v>1196</v>
      </c>
      <c r="L9" s="4" t="s">
        <v>1202</v>
      </c>
    </row>
    <row r="10" spans="1:12" ht="13.9" x14ac:dyDescent="0.4">
      <c r="A10" s="505" t="s">
        <v>180</v>
      </c>
      <c r="B10" s="401">
        <v>0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1244</v>
      </c>
      <c r="I10" s="1244" t="s">
        <v>1230</v>
      </c>
      <c r="J10" s="1244" t="s">
        <v>1230</v>
      </c>
      <c r="K10" s="4" t="s">
        <v>1197</v>
      </c>
      <c r="L10" s="4" t="s">
        <v>1203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Thous</v>
      </c>
      <c r="E11" s="183" t="str">
        <f>LOOKUP(C4,F3:F52,J3:J52)</f>
        <v>Thous</v>
      </c>
      <c r="F11" s="436">
        <f t="shared" si="0"/>
        <v>9</v>
      </c>
      <c r="G11" s="1345" t="s">
        <v>1089</v>
      </c>
      <c r="H11" s="668" t="s">
        <v>1245</v>
      </c>
      <c r="I11" s="1244" t="s">
        <v>1230</v>
      </c>
      <c r="J11" s="1244" t="s">
        <v>1230</v>
      </c>
      <c r="K11" s="4" t="s">
        <v>1198</v>
      </c>
      <c r="L11" s="4" t="s">
        <v>1204</v>
      </c>
    </row>
    <row r="12" spans="1:12" ht="13.9" x14ac:dyDescent="0.4">
      <c r="A12" s="506" t="s">
        <v>182</v>
      </c>
      <c r="B12" s="402">
        <v>0</v>
      </c>
      <c r="C12" s="4"/>
      <c r="D12" s="4"/>
      <c r="E12" s="4"/>
      <c r="F12" s="436">
        <f t="shared" si="0"/>
        <v>10</v>
      </c>
      <c r="G12" s="1345" t="s">
        <v>1187</v>
      </c>
      <c r="H12" s="668" t="s">
        <v>1246</v>
      </c>
      <c r="I12" s="1244" t="s">
        <v>1230</v>
      </c>
      <c r="J12" s="1244" t="s">
        <v>1230</v>
      </c>
      <c r="K12" s="4" t="s">
        <v>1188</v>
      </c>
      <c r="L12" s="4" t="s">
        <v>1189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1. Details of Chemicals Applied, Corn,Furrow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1. Machinery Capital Recovery and Operating Costs, Corn, Furrow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1. 2025 Corn Enterprise Budget, Stacked Gene, Furrow Irrigation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1230</v>
      </c>
      <c r="J18" s="1244" t="s">
        <v>1230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112.0125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1230</v>
      </c>
      <c r="J19" s="1244" t="s">
        <v>1230</v>
      </c>
      <c r="K19" s="4" t="s">
        <v>1182</v>
      </c>
      <c r="L19" s="4" t="s">
        <v>1181</v>
      </c>
    </row>
    <row r="20" spans="1:12" ht="13.9" x14ac:dyDescent="0.4">
      <c r="A20" s="3"/>
      <c r="B20" s="978">
        <f>Budget!F45</f>
        <v>808.79848542013599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91.39533000594308</v>
      </c>
      <c r="C21" s="4" t="s">
        <v>746</v>
      </c>
      <c r="D21" s="4"/>
      <c r="E21" s="4"/>
      <c r="F21" s="436">
        <f t="shared" si="0"/>
        <v>19</v>
      </c>
      <c r="G21" s="1346" t="s">
        <v>1161</v>
      </c>
      <c r="H21" s="668" t="s">
        <v>1232</v>
      </c>
      <c r="I21" s="1244" t="s">
        <v>5</v>
      </c>
      <c r="J21" s="1244" t="s">
        <v>5</v>
      </c>
      <c r="K21" s="4" t="s">
        <v>1162</v>
      </c>
      <c r="L21" s="4" t="s">
        <v>1163</v>
      </c>
    </row>
    <row r="22" spans="1:12" ht="13.9" x14ac:dyDescent="0.4">
      <c r="A22" s="3"/>
      <c r="B22" s="978">
        <f>Budget!F51</f>
        <v>127.57671923742087</v>
      </c>
      <c r="C22" s="4" t="s">
        <v>747</v>
      </c>
      <c r="D22" s="4"/>
      <c r="E22" s="4"/>
      <c r="F22" s="436">
        <f t="shared" si="0"/>
        <v>20</v>
      </c>
      <c r="G22" s="1346" t="s">
        <v>1164</v>
      </c>
      <c r="H22" s="668" t="s">
        <v>1233</v>
      </c>
      <c r="I22" s="1244" t="s">
        <v>5</v>
      </c>
      <c r="J22" s="1244" t="s">
        <v>5</v>
      </c>
      <c r="K22" s="4" t="s">
        <v>1167</v>
      </c>
      <c r="L22" s="4" t="s">
        <v>1168</v>
      </c>
    </row>
    <row r="23" spans="1:12" ht="13.9" x14ac:dyDescent="0.4">
      <c r="A23" s="3"/>
      <c r="B23" s="978">
        <f>Budget!F53</f>
        <v>20.374795342443122</v>
      </c>
      <c r="C23" s="4" t="s">
        <v>748</v>
      </c>
      <c r="D23" s="4"/>
      <c r="E23" s="4"/>
      <c r="F23" s="436">
        <f t="shared" si="0"/>
        <v>21</v>
      </c>
      <c r="G23" s="1346" t="s">
        <v>1165</v>
      </c>
      <c r="H23" s="668" t="s">
        <v>1234</v>
      </c>
      <c r="I23" s="1244" t="s">
        <v>5</v>
      </c>
      <c r="J23" s="1244" t="s">
        <v>5</v>
      </c>
      <c r="K23" s="4" t="s">
        <v>1169</v>
      </c>
      <c r="L23" s="4" t="s">
        <v>1170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1166</v>
      </c>
      <c r="H24" s="668" t="s">
        <v>1235</v>
      </c>
      <c r="I24" s="1244" t="s">
        <v>5</v>
      </c>
      <c r="J24" s="1244" t="s">
        <v>5</v>
      </c>
      <c r="K24" s="4" t="s">
        <v>1171</v>
      </c>
      <c r="L24" s="4" t="s">
        <v>1172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1183</v>
      </c>
      <c r="H25" s="668" t="s">
        <v>1236</v>
      </c>
      <c r="I25" s="1244" t="s">
        <v>5</v>
      </c>
      <c r="J25" s="1244" t="s">
        <v>5</v>
      </c>
      <c r="K25" s="4" t="s">
        <v>1173</v>
      </c>
      <c r="L25" s="4" t="s">
        <v>1177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1184</v>
      </c>
      <c r="H26" s="668" t="s">
        <v>1237</v>
      </c>
      <c r="I26" s="1244" t="s">
        <v>5</v>
      </c>
      <c r="J26" s="1244" t="s">
        <v>5</v>
      </c>
      <c r="K26" s="4" t="s">
        <v>1174</v>
      </c>
      <c r="L26" s="4" t="s">
        <v>1178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1185</v>
      </c>
      <c r="H27" s="668" t="s">
        <v>1238</v>
      </c>
      <c r="I27" s="1244" t="s">
        <v>5</v>
      </c>
      <c r="J27" s="1244" t="s">
        <v>5</v>
      </c>
      <c r="K27" s="4" t="s">
        <v>1175</v>
      </c>
      <c r="L27" s="4" t="s">
        <v>1179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1186</v>
      </c>
      <c r="H28" s="668" t="s">
        <v>1239</v>
      </c>
      <c r="I28" s="1244" t="s">
        <v>5</v>
      </c>
      <c r="J28" s="1244" t="s">
        <v>5</v>
      </c>
      <c r="K28" s="4" t="s">
        <v>1176</v>
      </c>
      <c r="L28" s="4" t="s">
        <v>1180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1230</v>
      </c>
      <c r="J34" s="1244" t="s">
        <v>1230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1230</v>
      </c>
      <c r="J35" s="1244" t="s">
        <v>1230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1230</v>
      </c>
      <c r="J36" s="1244" t="s">
        <v>1230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1230</v>
      </c>
      <c r="J40" s="1244" t="s">
        <v>1230</v>
      </c>
      <c r="K40" s="4" t="s">
        <v>1190</v>
      </c>
      <c r="L40" s="4" t="s">
        <v>1191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1230</v>
      </c>
      <c r="J41" s="1244" t="s">
        <v>1230</v>
      </c>
      <c r="K41" s="4" t="s">
        <v>947</v>
      </c>
      <c r="L41" s="4" t="s">
        <v>1192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1230</v>
      </c>
      <c r="J44" s="1244" t="s">
        <v>1230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1230</v>
      </c>
      <c r="J45" s="1244" t="s">
        <v>1230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1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0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>
        <f>IF(D2&gt;0,A2_Budget_Look_Up!$C$4," ")</f>
        <v>1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 t="str">
        <f>IF(P2&gt;0,A2_Budget_Look_Up!$C$4," ")</f>
        <v xml:space="preserve"> 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1149</v>
      </c>
      <c r="H3" s="1155" t="s">
        <v>1150</v>
      </c>
      <c r="I3" s="1155" t="s">
        <v>1151</v>
      </c>
      <c r="J3" s="1155" t="s">
        <v>1152</v>
      </c>
      <c r="K3" s="1155" t="s">
        <v>1153</v>
      </c>
      <c r="L3" s="1155" t="s">
        <v>1154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1224</v>
      </c>
      <c r="W3" s="1155" t="s">
        <v>1223</v>
      </c>
      <c r="X3" s="1155" t="s">
        <v>1222</v>
      </c>
      <c r="Y3" s="1155" t="s">
        <v>1221</v>
      </c>
      <c r="Z3" s="1155" t="s">
        <v>1155</v>
      </c>
      <c r="AA3" s="1155" t="s">
        <v>1156</v>
      </c>
      <c r="AB3" s="1155" t="s">
        <v>1157</v>
      </c>
      <c r="AC3" s="1155" t="s">
        <v>1158</v>
      </c>
      <c r="AD3" s="1155" t="s">
        <v>1220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1225</v>
      </c>
      <c r="AJ3" s="1155" t="s">
        <v>1226</v>
      </c>
      <c r="AK3" s="1155" t="s">
        <v>1159</v>
      </c>
      <c r="AL3" s="1155" t="s">
        <v>1216</v>
      </c>
      <c r="AM3" s="1155" t="s">
        <v>1217</v>
      </c>
      <c r="AN3" s="1155" t="s">
        <v>1218</v>
      </c>
      <c r="AO3" s="1155" t="s">
        <v>854</v>
      </c>
      <c r="AP3" s="1155" t="s">
        <v>1219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215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100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2.25</v>
      </c>
      <c r="AG4" s="1031">
        <v>2.25</v>
      </c>
      <c r="AH4" s="1031">
        <v>1.5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215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4.45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375</v>
      </c>
      <c r="AG5" s="1031">
        <v>375</v>
      </c>
      <c r="AH5" s="1031">
        <v>375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4.45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0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435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240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435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175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110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175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130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130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100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100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Zinc Sulfate 33%</v>
      </c>
      <c r="B17" s="1024">
        <f>IF(B$2=1,SUM(BC17:CZ17),"Error")</f>
        <v>29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29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Other Nutrients, Including Poultry Litter</v>
      </c>
      <c r="B19" s="1024">
        <f t="shared" si="12"/>
        <v>0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0.67</v>
      </c>
      <c r="C20" s="1030"/>
      <c r="D20" s="1031">
        <v>0.67</v>
      </c>
      <c r="E20" s="1031">
        <v>1.63</v>
      </c>
      <c r="F20" s="1031">
        <v>0</v>
      </c>
      <c r="G20" s="1031">
        <v>0.57999999999999996</v>
      </c>
      <c r="H20" s="1031">
        <v>1.39</v>
      </c>
      <c r="I20" s="1031">
        <v>0</v>
      </c>
      <c r="J20" s="1031">
        <v>0.57999999999999996</v>
      </c>
      <c r="K20" s="1031">
        <v>1.39</v>
      </c>
      <c r="L20" s="1031">
        <v>0</v>
      </c>
      <c r="M20" s="1031">
        <v>0.57999999999999996</v>
      </c>
      <c r="N20" s="1031">
        <v>0.48</v>
      </c>
      <c r="O20" s="1031">
        <v>1.1599999999999999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0.36249999999999999</v>
      </c>
      <c r="W20" s="1031">
        <v>1.39</v>
      </c>
      <c r="X20" s="1031">
        <v>0</v>
      </c>
      <c r="Y20" s="1031">
        <v>0.3125</v>
      </c>
      <c r="Z20" s="1031">
        <v>0.36249999999999999</v>
      </c>
      <c r="AA20" s="1031">
        <v>1.39</v>
      </c>
      <c r="AB20" s="1031">
        <v>0</v>
      </c>
      <c r="AC20" s="1031">
        <v>0.3125</v>
      </c>
      <c r="AD20" s="1031">
        <v>0.36249999999999999</v>
      </c>
      <c r="AE20" s="1031">
        <v>0</v>
      </c>
      <c r="AF20" s="1031">
        <v>0.57999999999999996</v>
      </c>
      <c r="AG20" s="1031">
        <v>1.39</v>
      </c>
      <c r="AH20" s="1031">
        <v>0</v>
      </c>
      <c r="AI20" s="1031">
        <v>0.67</v>
      </c>
      <c r="AJ20" s="1031">
        <v>1.63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0.67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5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5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0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0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1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0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100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100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100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14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14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16.25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16.25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Other Inputs</v>
      </c>
      <c r="B31" s="1024">
        <f>IF(B$2=1,SUM(BC31:CZ31),"Error")</f>
        <v>0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6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6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0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0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34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34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0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0.19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0.19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0.25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0.01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14.324999999999999</v>
      </c>
      <c r="H39" s="1049">
        <f>(1+2.2)+(0.005*500*Budget!$E$3)</f>
        <v>14.324999999999999</v>
      </c>
      <c r="I39" s="1049">
        <f>(1+2.2)+(0.005*500*Budget!$E$3)</f>
        <v>14.324999999999999</v>
      </c>
      <c r="J39" s="1049">
        <f>(1+2.2)+(0.005*500*Budget!$E$3)</f>
        <v>14.324999999999999</v>
      </c>
      <c r="K39" s="1049">
        <f>(1+2.2)+(0.005*500*Budget!$E$3)</f>
        <v>14.324999999999999</v>
      </c>
      <c r="L39" s="1049">
        <f>(1+2.2)+(0.005*500*Budget!$E$3)</f>
        <v>14.324999999999999</v>
      </c>
      <c r="M39" s="1049">
        <f>(1+2.2)+(0.005*500*Budget!$E$3)</f>
        <v>14.324999999999999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2.2250000000000002E-2</v>
      </c>
      <c r="W39" s="1887">
        <f>(Budget!$E$3*(0.01/2))</f>
        <v>2.2250000000000002E-2</v>
      </c>
      <c r="X39" s="1887">
        <f>(Budget!$E$3*(0.01/2))</f>
        <v>2.2250000000000002E-2</v>
      </c>
      <c r="Y39" s="1887">
        <f>(Budget!$E$3*(0.01/2))</f>
        <v>2.2250000000000002E-2</v>
      </c>
      <c r="Z39" s="1887">
        <f>(Budget!$E$3*(0.01/2))</f>
        <v>2.2250000000000002E-2</v>
      </c>
      <c r="AA39" s="1887">
        <f>(Budget!$E$3*(0.01/2))</f>
        <v>2.2250000000000002E-2</v>
      </c>
      <c r="AB39" s="1887">
        <f>(Budget!$E$3*(0.01/2))</f>
        <v>2.2250000000000002E-2</v>
      </c>
      <c r="AC39" s="1887">
        <f>(Budget!$E$3*(0.01/2))</f>
        <v>2.2250000000000002E-2</v>
      </c>
      <c r="AD39" s="1887">
        <f>(Budget!$E$3*(0.01/2))</f>
        <v>2.2250000000000002E-2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2.2250000000000002E-2</v>
      </c>
      <c r="AM39" s="1887">
        <f>(Budget!$E$3*(0.01/2))</f>
        <v>2.2250000000000002E-2</v>
      </c>
      <c r="AN39" s="1887">
        <f>(Budget!$E$3*(0.01/2))</f>
        <v>2.2250000000000002E-2</v>
      </c>
      <c r="AO39" s="1049">
        <f>(1+2.2)+(0.005*500*Budget!$E$3)</f>
        <v>14.324999999999999</v>
      </c>
      <c r="AP39" s="1049">
        <f>(1+2.2)+(0.005*500*Budget!$E$3)</f>
        <v>14.324999999999999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0.01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4.1900000000000004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2.5299999999999998</v>
      </c>
      <c r="K43" s="1132">
        <v>2.5299999999999998</v>
      </c>
      <c r="L43" s="1132">
        <v>2.5299999999999998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4.1900000000000004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0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32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100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32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0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1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1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0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1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1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1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1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0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0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0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1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1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1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1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0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1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1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0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0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1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1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0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0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1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0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1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1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0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0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0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1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0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>
      <selection activeCell="K8" sqref="K8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238</v>
      </c>
      <c r="P2" s="1266">
        <f>17.5/128</f>
        <v>0.13671875</v>
      </c>
      <c r="Q2" s="1091" t="s">
        <v>684</v>
      </c>
      <c r="R2" s="1163" t="s">
        <v>238</v>
      </c>
      <c r="S2" s="1264">
        <f>66/128</f>
        <v>0.515625</v>
      </c>
      <c r="T2" s="1238" t="s">
        <v>1212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238</v>
      </c>
      <c r="P3" s="1266">
        <f>25/128</f>
        <v>0.1953125</v>
      </c>
      <c r="Q3" s="1091" t="s">
        <v>687</v>
      </c>
      <c r="R3" s="1163" t="s">
        <v>238</v>
      </c>
      <c r="S3" s="1264">
        <v>13.5</v>
      </c>
      <c r="T3" s="1235" t="s">
        <v>1214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1206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238</v>
      </c>
      <c r="P6" s="1266">
        <f>51.5/128</f>
        <v>0.40234375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1227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1207</v>
      </c>
      <c r="I8" s="302" t="s">
        <v>238</v>
      </c>
      <c r="J8" s="1262">
        <v>3.39</v>
      </c>
      <c r="K8" s="300" t="s">
        <v>1228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1160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1205</v>
      </c>
      <c r="L10" s="302" t="s">
        <v>238</v>
      </c>
      <c r="M10" s="1262">
        <v>16.5</v>
      </c>
      <c r="N10" s="905" t="s">
        <v>636</v>
      </c>
      <c r="O10" s="1159" t="s">
        <v>238</v>
      </c>
      <c r="P10" s="1266">
        <f>30/128</f>
        <v>0.234375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238</v>
      </c>
      <c r="P15" s="1266">
        <f>7.66/16</f>
        <v>0.47875000000000001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1208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1209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1210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1211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1213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zoomScaleNormal="100" workbookViewId="0">
      <selection activeCell="J1614" sqref="J1614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1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 t="str">
        <f>VLOOKUP(1,$I$6:$P$3099,3,FALSE)</f>
        <v/>
      </c>
      <c r="C6" s="1166" t="str">
        <f>VLOOKUP(1,$I$6:$P$3099,4,FALSE)</f>
        <v>pt</v>
      </c>
      <c r="D6" s="1165">
        <f>VLOOKUP(1,$I$6:$P$3099,5,FALSE)</f>
        <v>2.1875</v>
      </c>
      <c r="E6" s="1165">
        <f>VLOOKUP(1,$I$6:$P$3099,6,FALSE)</f>
        <v>2</v>
      </c>
      <c r="F6" s="82">
        <f>D6*E6</f>
        <v>4.375</v>
      </c>
      <c r="G6" s="1166">
        <f>VLOOKUP(1,$I$6:$P$3099,8,FALSE)</f>
        <v>32</v>
      </c>
      <c r="H6" s="1073">
        <f>VLOOKUP(1,$I$6:$Q$3099,9,FALSE)</f>
        <v>1</v>
      </c>
      <c r="I6" s="1073">
        <f>IF($A$1=1,1,0)</f>
        <v>1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1</v>
      </c>
    </row>
    <row r="7" spans="1:17" ht="13.9" x14ac:dyDescent="0.4">
      <c r="A7" s="1165" t="str">
        <f>VLOOKUP(2,$I$6:$J$3099,2,FALSE)</f>
        <v>2,4-D</v>
      </c>
      <c r="B7" s="1166" t="str">
        <f>VLOOKUP(2,$I$6:$P$3099,3,FALSE)</f>
        <v/>
      </c>
      <c r="C7" s="1166" t="str">
        <f>VLOOKUP(2,$I$6:$P$3099,4,FALSE)</f>
        <v>pt</v>
      </c>
      <c r="D7" s="1165">
        <f>VLOOKUP(2,$I$6:$P$3099,5,FALSE)</f>
        <v>2.5</v>
      </c>
      <c r="E7" s="1165">
        <f>VLOOKUP(2,$I$6:$P$3099,6,FALSE)</f>
        <v>2</v>
      </c>
      <c r="F7" s="82">
        <f>D7*E7</f>
        <v>5</v>
      </c>
      <c r="G7" s="1166">
        <f>VLOOKUP(2,$I$6:$P$3099,8,FALSE)</f>
        <v>32</v>
      </c>
      <c r="H7" s="1073">
        <f>VLOOKUP(2,$I$6:$Q$3099,9,FALSE)</f>
        <v>1</v>
      </c>
      <c r="I7" s="1073">
        <f t="shared" ref="I7:I19" si="1">IF($A$1=1,I6+1,0)</f>
        <v>2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1</v>
      </c>
    </row>
    <row r="8" spans="1:17" ht="13.9" x14ac:dyDescent="0.4">
      <c r="A8" s="1165" t="str">
        <f>VLOOKUP(3,$I$6:$J$3099,2,FALSE)</f>
        <v>Zidua SC</v>
      </c>
      <c r="B8" s="1166" t="str">
        <f>VLOOKUP(3,$I$6:$P$3099,3,FALSE)</f>
        <v/>
      </c>
      <c r="C8" s="1166" t="str">
        <f>VLOOKUP(3,$I$6:$P$3099,4,FALSE)</f>
        <v>oz</v>
      </c>
      <c r="D8" s="1165">
        <f>VLOOKUP(3,$I$6:$P$3099,5,FALSE)</f>
        <v>5.7421875</v>
      </c>
      <c r="E8" s="1165">
        <f>VLOOKUP(3,$I$6:$P$3099,6,FALSE)</f>
        <v>3.5</v>
      </c>
      <c r="F8" s="82">
        <f t="shared" ref="F8:F19" si="2">D8*E8</f>
        <v>20.09765625</v>
      </c>
      <c r="G8" s="1166">
        <f>VLOOKUP(3,$I$6:$P$3099,8,FALSE)</f>
        <v>56</v>
      </c>
      <c r="H8" s="1073">
        <f>VLOOKUP(3,$I$6:$Q$3099,9,FALSE)</f>
        <v>1</v>
      </c>
      <c r="I8" s="1073">
        <f t="shared" si="1"/>
        <v>3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1</v>
      </c>
    </row>
    <row r="9" spans="1:17" ht="13.9" x14ac:dyDescent="0.4">
      <c r="A9" s="1165" t="str">
        <f>VLOOKUP(4,$I$6:$J$3099,2,FALSE)</f>
        <v>Halex GT</v>
      </c>
      <c r="B9" s="1166" t="str">
        <f>VLOOKUP(4,$I$6:$P$3099,3,FALSE)</f>
        <v/>
      </c>
      <c r="C9" s="1166" t="str">
        <f>VLOOKUP(4,$I$6:$P$3099,4,FALSE)</f>
        <v>pt</v>
      </c>
      <c r="D9" s="1165">
        <f>VLOOKUP(4,$I$6:$P$3099,5,FALSE)</f>
        <v>6.8937499999999998</v>
      </c>
      <c r="E9" s="1165">
        <f>VLOOKUP(4,$I$6:$P$3099,6,FALSE)</f>
        <v>3.6</v>
      </c>
      <c r="F9" s="82">
        <f t="shared" si="2"/>
        <v>24.817499999999999</v>
      </c>
      <c r="G9" s="1166">
        <f>VLOOKUP(4,$I$6:$P$3099,8,FALSE)</f>
        <v>115.2</v>
      </c>
      <c r="H9" s="1073">
        <f>VLOOKUP(4,$I$6:$Q$3099,9,FALSE)</f>
        <v>1</v>
      </c>
      <c r="I9" s="1073">
        <f t="shared" si="1"/>
        <v>4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1</v>
      </c>
    </row>
    <row r="10" spans="1:17" ht="13.9" x14ac:dyDescent="0.4">
      <c r="A10" s="1165" t="str">
        <f>VLOOKUP(5,$I$6:$J$3099,2,FALSE)</f>
        <v>Atrazine</v>
      </c>
      <c r="B10" s="1166" t="str">
        <f>VLOOKUP(5,$I$6:$P$3099,3,FALSE)</f>
        <v/>
      </c>
      <c r="C10" s="1166" t="str">
        <f>VLOOKUP(5,$I$6:$P$3099,4,FALSE)</f>
        <v>qt</v>
      </c>
      <c r="D10" s="1165">
        <f>VLOOKUP(5,$I$6:$P$3099,5,FALSE)</f>
        <v>3.75</v>
      </c>
      <c r="E10" s="1165">
        <f>VLOOKUP(5,$I$6:$P$3099,6,FALSE)</f>
        <v>2</v>
      </c>
      <c r="F10" s="82">
        <f t="shared" si="2"/>
        <v>7.5</v>
      </c>
      <c r="G10" s="1166">
        <f>VLOOKUP(5,$I$6:$P$3099,8,FALSE)</f>
        <v>0</v>
      </c>
      <c r="H10" s="1073">
        <f>VLOOKUP(5,$I$6:$Q$3099,9,FALSE)</f>
        <v>1</v>
      </c>
      <c r="I10" s="1073">
        <f t="shared" si="1"/>
        <v>5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1</v>
      </c>
    </row>
    <row r="11" spans="1:17" ht="13.9" x14ac:dyDescent="0.4">
      <c r="A11" s="1165" t="str">
        <f>VLOOKUP(6,$I$6:$J$3099,2,FALSE)</f>
        <v>Other</v>
      </c>
      <c r="B11" s="1166" t="str">
        <f>VLOOKUP(6,$I$6:$P$3099,3,FALSE)</f>
        <v/>
      </c>
      <c r="C11" s="1166">
        <f>VLOOKUP(6,$I$6:$P$3099,4,FALSE)</f>
        <v>0</v>
      </c>
      <c r="D11" s="1165">
        <f>VLOOKUP(6,$I$6:$P$3099,5,FALSE)</f>
        <v>0</v>
      </c>
      <c r="E11" s="1165">
        <f>VLOOKUP(6,$I$6:$P$3099,6,FALSE)</f>
        <v>0</v>
      </c>
      <c r="F11" s="82">
        <f t="shared" si="2"/>
        <v>0</v>
      </c>
      <c r="G11" s="1166">
        <f>VLOOKUP(6,$I$6:$P$3099,8,FALSE)</f>
        <v>0</v>
      </c>
      <c r="H11" s="1073">
        <f>VLOOKUP(6,$I$6:$Q$3099,9,FALSE)</f>
        <v>1</v>
      </c>
      <c r="I11" s="1073">
        <f t="shared" si="1"/>
        <v>6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1</v>
      </c>
    </row>
    <row r="12" spans="1:17" ht="13.9" x14ac:dyDescent="0.4">
      <c r="A12" s="1165" t="str">
        <f>VLOOKUP(7,$I$6:$J$3099,2,FALSE)</f>
        <v>Other</v>
      </c>
      <c r="B12" s="1166" t="str">
        <f>VLOOKUP(7,$I$6:$P$3099,3,FALSE)</f>
        <v/>
      </c>
      <c r="C12" s="1166">
        <f>VLOOKUP(7,$I$6:$P$3099,4,FALSE)</f>
        <v>0</v>
      </c>
      <c r="D12" s="1165">
        <f>VLOOKUP(7,$I$6:$P$3099,5,FALSE)</f>
        <v>0</v>
      </c>
      <c r="E12" s="1165">
        <f>VLOOKUP(7,$I$6:$P$3099,6,FALSE)</f>
        <v>0</v>
      </c>
      <c r="F12" s="82">
        <f t="shared" si="2"/>
        <v>0</v>
      </c>
      <c r="G12" s="1166">
        <f>VLOOKUP(7,$I$6:$P$3099,8,FALSE)</f>
        <v>0</v>
      </c>
      <c r="H12" s="1073">
        <f>VLOOKUP(7,$I$6:$Q$3099,9,FALSE)</f>
        <v>1</v>
      </c>
      <c r="I12" s="1073">
        <f t="shared" si="1"/>
        <v>7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1</v>
      </c>
    </row>
    <row r="13" spans="1:17" ht="13.9" x14ac:dyDescent="0.4">
      <c r="A13" s="1165" t="str">
        <f>VLOOKUP(8,$I$6:$J$3099,2,FALSE)</f>
        <v>Other</v>
      </c>
      <c r="B13" s="1166" t="str">
        <f>VLOOKUP(8,$I$6:$P$3099,3,FALSE)</f>
        <v/>
      </c>
      <c r="C13" s="1166">
        <f>VLOOKUP(8,$I$6:$P$3099,4,FALSE)</f>
        <v>0</v>
      </c>
      <c r="D13" s="1165">
        <f>VLOOKUP(8,$I$6:$P$3099,5,FALSE)</f>
        <v>0</v>
      </c>
      <c r="E13" s="1165">
        <f>VLOOKUP(8,$I$6:$P$3099,6,FALSE)</f>
        <v>0</v>
      </c>
      <c r="F13" s="82">
        <f t="shared" si="2"/>
        <v>0</v>
      </c>
      <c r="G13" s="1166">
        <f>VLOOKUP(8,$I$6:$P$3099,8,FALSE)</f>
        <v>0</v>
      </c>
      <c r="H13" s="1073">
        <f>VLOOKUP(8,$I$6:$Q$3099,9,FALSE)</f>
        <v>1</v>
      </c>
      <c r="I13" s="1073">
        <f t="shared" si="1"/>
        <v>8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1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1</v>
      </c>
      <c r="I14" s="1073">
        <f t="shared" si="1"/>
        <v>9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1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1</v>
      </c>
      <c r="I15" s="1073">
        <f t="shared" si="1"/>
        <v>10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1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1</v>
      </c>
      <c r="I16" s="1073">
        <f t="shared" si="1"/>
        <v>11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1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1</v>
      </c>
      <c r="I17" s="1073">
        <f t="shared" si="1"/>
        <v>12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1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1</v>
      </c>
      <c r="I18" s="1073">
        <f t="shared" si="1"/>
        <v>13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1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1</v>
      </c>
      <c r="I19" s="1073">
        <f t="shared" si="1"/>
        <v>14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1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61.790156249999995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Other</v>
      </c>
      <c r="B24" s="1166" t="str">
        <f>VLOOKUP(15,$I$6:$P$3099,3,FALSE)</f>
        <v/>
      </c>
      <c r="C24" s="1166">
        <f>VLOOKUP(15,$I$6:$P$3099,4,FALSE)</f>
        <v>0</v>
      </c>
      <c r="D24" s="1165">
        <f>VLOOKUP(15,$I$6:$P$3099,5,FALSE)</f>
        <v>0</v>
      </c>
      <c r="E24" s="1165">
        <f>VLOOKUP(15,$I$6:$P$3099,6,FALSE)</f>
        <v>0</v>
      </c>
      <c r="F24" s="82">
        <f t="shared" ref="F24:F33" si="4">D24*E24</f>
        <v>0</v>
      </c>
      <c r="G24" s="1166">
        <f>VLOOKUP(15,$I$6:$P$3099,8,FALSE)</f>
        <v>0</v>
      </c>
      <c r="H24" s="1073">
        <f>VLOOKUP(15,$I$6:$Q$3099,9,FALSE)</f>
        <v>1</v>
      </c>
      <c r="I24" s="1073">
        <f>IF($A$1=1,I19+1,0)</f>
        <v>15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1</v>
      </c>
    </row>
    <row r="25" spans="1:17" ht="13.9" x14ac:dyDescent="0.4">
      <c r="A25" s="1165" t="str">
        <f>VLOOKUP(16,$I$6:$J$3099,2,FALSE)</f>
        <v>Other</v>
      </c>
      <c r="B25" s="1166" t="str">
        <f>VLOOKUP(16,$I$6:$P$3099,3,FALSE)</f>
        <v/>
      </c>
      <c r="C25" s="1166">
        <f>VLOOKUP(16,$I$6:$P$3099,4,FALSE)</f>
        <v>0</v>
      </c>
      <c r="D25" s="1165">
        <f>VLOOKUP(16,$I$6:$P$3099,5,FALSE)</f>
        <v>0</v>
      </c>
      <c r="E25" s="1165">
        <f>VLOOKUP(16,$I$6:$P$3099,6,FALSE)</f>
        <v>0</v>
      </c>
      <c r="F25" s="82">
        <f t="shared" si="4"/>
        <v>0</v>
      </c>
      <c r="G25" s="1166">
        <f>VLOOKUP(16,$I$6:$P$3099,8,FALSE)</f>
        <v>0</v>
      </c>
      <c r="H25" s="1073">
        <f>VLOOKUP(16,$I$6:$Q$3099,9,FALSE)</f>
        <v>1</v>
      </c>
      <c r="I25" s="1073">
        <f t="shared" ref="I25:I33" si="6">IF($A$1=1,I24+1,0)</f>
        <v>16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1</v>
      </c>
    </row>
    <row r="26" spans="1:17" ht="13.9" x14ac:dyDescent="0.4">
      <c r="A26" s="1165" t="str">
        <f>VLOOKUP(17,$I$6:$J$3099,2,FALSE)</f>
        <v>Other</v>
      </c>
      <c r="B26" s="1166" t="str">
        <f>VLOOKUP(17,$I$6:$P$3099,3,FALSE)</f>
        <v/>
      </c>
      <c r="C26" s="1166">
        <f>VLOOKUP(17,$I$6:$P$3099,4,FALSE)</f>
        <v>0</v>
      </c>
      <c r="D26" s="1165">
        <f>VLOOKUP(17,$I$6:$P$3099,5,FALSE)</f>
        <v>0</v>
      </c>
      <c r="E26" s="1165">
        <f>VLOOKUP(17,$I$6:$P$3099,6,FALSE)</f>
        <v>0</v>
      </c>
      <c r="F26" s="82">
        <f t="shared" si="4"/>
        <v>0</v>
      </c>
      <c r="G26" s="1166">
        <f>VLOOKUP(17,$I$6:$P$3099,8,FALSE)</f>
        <v>0</v>
      </c>
      <c r="H26" s="1073">
        <f>VLOOKUP(17,$I$6:$Q$3099,9,FALSE)</f>
        <v>1</v>
      </c>
      <c r="I26" s="1073">
        <f t="shared" si="6"/>
        <v>17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1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1</v>
      </c>
      <c r="I27" s="1073">
        <f t="shared" si="6"/>
        <v>18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1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1</v>
      </c>
      <c r="I28" s="1073">
        <f t="shared" si="6"/>
        <v>19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1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1</v>
      </c>
      <c r="I29" s="1073">
        <f t="shared" si="6"/>
        <v>20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1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1</v>
      </c>
      <c r="I30" s="1073">
        <f t="shared" si="6"/>
        <v>21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1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1</v>
      </c>
      <c r="I31" s="1073">
        <f t="shared" si="6"/>
        <v>22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1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1</v>
      </c>
      <c r="I32" s="1073">
        <f t="shared" si="6"/>
        <v>23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1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1</v>
      </c>
      <c r="I33" s="1073">
        <f t="shared" si="6"/>
        <v>24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1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0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Other</v>
      </c>
      <c r="B38" s="1166" t="str">
        <f>VLOOKUP(25,$I$6:$P$3099,3,FALSE)</f>
        <v/>
      </c>
      <c r="C38" s="1166">
        <f>VLOOKUP(25,$I$6:$P$3099,4,FALSE)</f>
        <v>0</v>
      </c>
      <c r="D38" s="1165">
        <f>VLOOKUP(25,$I$6:$P$3099,5,FALSE)</f>
        <v>0</v>
      </c>
      <c r="E38" s="1165">
        <f>VLOOKUP(25,$I$6:$P$3099,6,FALSE)</f>
        <v>0</v>
      </c>
      <c r="F38" s="82">
        <f>D38*E38</f>
        <v>0</v>
      </c>
      <c r="G38" s="1166">
        <f>VLOOKUP(25,$I$6:$P$3099,8,FALSE)</f>
        <v>0</v>
      </c>
      <c r="H38" s="1073">
        <f>VLOOKUP(25,$I$6:$Q$3099,9,FALSE)</f>
        <v>1</v>
      </c>
      <c r="I38" s="1073">
        <f>IF($A$1=1,I33+1,0)</f>
        <v>25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1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1</v>
      </c>
      <c r="I39" s="1073">
        <f>IF($A$1=1,I38+1,0)</f>
        <v>26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1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0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 t="str">
        <f>VLOOKUP(27,$I$6:$P$3099,3,FALSE)</f>
        <v/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1</v>
      </c>
      <c r="I44" s="1073">
        <f>IF($A$1=1,I39+1,0)</f>
        <v>27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1</v>
      </c>
    </row>
    <row r="45" spans="1:17" ht="13.9" x14ac:dyDescent="0.4">
      <c r="A45" s="1165" t="str">
        <f>VLOOKUP(28,$I$6:$J$3099,2,FALSE)</f>
        <v>Other</v>
      </c>
      <c r="B45" s="1166" t="str">
        <f>VLOOKUP(28,$I$6:$P$3099,3,FALSE)</f>
        <v/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1</v>
      </c>
      <c r="I45" s="1073">
        <f t="shared" ref="I45:I50" si="10">IF($A$1=1,I44+1,0)</f>
        <v>28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1</v>
      </c>
    </row>
    <row r="46" spans="1:17" ht="13.9" x14ac:dyDescent="0.4">
      <c r="A46" s="1165" t="str">
        <f>VLOOKUP(29,$I$6:$J$3099,2,FALSE)</f>
        <v>Other</v>
      </c>
      <c r="B46" s="1166" t="str">
        <f>VLOOKUP(29,$I$6:$P$3099,3,FALSE)</f>
        <v/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1</v>
      </c>
      <c r="I46" s="1073">
        <f t="shared" si="10"/>
        <v>29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1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1</v>
      </c>
      <c r="I47" s="1073">
        <f t="shared" si="10"/>
        <v>30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1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1</v>
      </c>
      <c r="I48" s="1073">
        <f t="shared" si="10"/>
        <v>31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1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1</v>
      </c>
      <c r="I49" s="1073">
        <f t="shared" si="10"/>
        <v>32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1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1</v>
      </c>
      <c r="I50" s="1073">
        <f t="shared" si="10"/>
        <v>33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1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 t="str">
        <f>VLOOKUP(34,$I$6:$P$3099,3,FALSE)</f>
        <v/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1</v>
      </c>
      <c r="I55" s="1073">
        <f>IF($A$1=1,I50+1,0)</f>
        <v>34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1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1</v>
      </c>
      <c r="I56" s="1073">
        <f t="shared" ref="I56:I61" si="14">IF($A$1=1,I55+1,0)</f>
        <v>35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1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1</v>
      </c>
      <c r="I57" s="1073">
        <f t="shared" si="14"/>
        <v>36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1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1</v>
      </c>
      <c r="I58" s="1073">
        <f t="shared" si="14"/>
        <v>37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1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1</v>
      </c>
      <c r="I59" s="1073">
        <f t="shared" si="14"/>
        <v>38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1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1</v>
      </c>
      <c r="I60" s="1073">
        <f t="shared" si="14"/>
        <v>39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1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1</v>
      </c>
      <c r="I61" s="1073">
        <f t="shared" si="14"/>
        <v>40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1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Cotton, B3XF,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Cotton, B3XF,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Cotton, B3XF,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Cotton, W3FE,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Cotton, W3FE,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Cotton, W3FE,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Cotton, B3XFThriveOn,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0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0</v>
      </c>
    </row>
    <row r="751" spans="9:17" ht="13.9" x14ac:dyDescent="0.4">
      <c r="I751" s="1073">
        <f t="shared" ref="I751:I763" si="156">IF($A$1=13,I750+1,0)</f>
        <v>0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0</v>
      </c>
    </row>
    <row r="752" spans="9:17" ht="13.9" x14ac:dyDescent="0.4">
      <c r="I752" s="1073">
        <f t="shared" si="156"/>
        <v>0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0</v>
      </c>
    </row>
    <row r="753" spans="9:17" ht="13.9" x14ac:dyDescent="0.4">
      <c r="I753" s="1073">
        <f t="shared" si="156"/>
        <v>0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0</v>
      </c>
    </row>
    <row r="754" spans="9:17" ht="13.9" x14ac:dyDescent="0.4">
      <c r="I754" s="1073">
        <f t="shared" si="156"/>
        <v>0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0</v>
      </c>
    </row>
    <row r="755" spans="9:17" ht="13.9" x14ac:dyDescent="0.4">
      <c r="I755" s="1073">
        <f t="shared" si="156"/>
        <v>0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0</v>
      </c>
    </row>
    <row r="756" spans="9:17" ht="13.9" x14ac:dyDescent="0.4">
      <c r="I756" s="1073">
        <f t="shared" si="156"/>
        <v>0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0</v>
      </c>
    </row>
    <row r="757" spans="9:17" ht="13.9" x14ac:dyDescent="0.4">
      <c r="I757" s="1073">
        <f t="shared" si="156"/>
        <v>0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0</v>
      </c>
    </row>
    <row r="758" spans="9:17" ht="13.9" x14ac:dyDescent="0.4">
      <c r="I758" s="1073">
        <f t="shared" si="156"/>
        <v>0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0</v>
      </c>
    </row>
    <row r="759" spans="9:17" ht="13.9" x14ac:dyDescent="0.4">
      <c r="I759" s="1073">
        <f t="shared" si="156"/>
        <v>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0</v>
      </c>
    </row>
    <row r="760" spans="9:17" ht="13.9" x14ac:dyDescent="0.4">
      <c r="I760" s="1073">
        <f t="shared" si="156"/>
        <v>0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0</v>
      </c>
    </row>
    <row r="761" spans="9:17" ht="13.9" x14ac:dyDescent="0.4">
      <c r="I761" s="1073">
        <f t="shared" si="156"/>
        <v>0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0</v>
      </c>
    </row>
    <row r="762" spans="9:17" ht="13.9" x14ac:dyDescent="0.4">
      <c r="I762" s="1073">
        <f t="shared" si="156"/>
        <v>0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0</v>
      </c>
    </row>
    <row r="763" spans="9:17" ht="13.9" x14ac:dyDescent="0.4">
      <c r="I763" s="1073">
        <f t="shared" si="156"/>
        <v>0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0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0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0</v>
      </c>
    </row>
    <row r="769" spans="9:17" ht="13.9" x14ac:dyDescent="0.4">
      <c r="I769" s="1073">
        <f t="shared" ref="I769:I777" si="158">IF($A$1=13,I768+1,0)</f>
        <v>0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0</v>
      </c>
    </row>
    <row r="770" spans="9:17" ht="13.9" x14ac:dyDescent="0.4">
      <c r="I770" s="1073">
        <f t="shared" si="158"/>
        <v>0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0</v>
      </c>
    </row>
    <row r="771" spans="9:17" ht="13.9" x14ac:dyDescent="0.4">
      <c r="I771" s="1073">
        <f t="shared" si="158"/>
        <v>0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0</v>
      </c>
    </row>
    <row r="772" spans="9:17" ht="13.9" x14ac:dyDescent="0.4">
      <c r="I772" s="1073">
        <f t="shared" si="158"/>
        <v>0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0</v>
      </c>
    </row>
    <row r="773" spans="9:17" ht="13.9" x14ac:dyDescent="0.4">
      <c r="I773" s="1073">
        <f t="shared" si="158"/>
        <v>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0</v>
      </c>
    </row>
    <row r="774" spans="9:17" ht="13.9" x14ac:dyDescent="0.4">
      <c r="I774" s="1073">
        <f t="shared" si="158"/>
        <v>0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0</v>
      </c>
    </row>
    <row r="775" spans="9:17" ht="13.9" x14ac:dyDescent="0.4">
      <c r="I775" s="1073">
        <f t="shared" si="158"/>
        <v>0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0</v>
      </c>
    </row>
    <row r="776" spans="9:17" ht="13.9" x14ac:dyDescent="0.4">
      <c r="I776" s="1073">
        <f t="shared" si="158"/>
        <v>0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0</v>
      </c>
    </row>
    <row r="777" spans="9:17" ht="13.9" x14ac:dyDescent="0.4">
      <c r="I777" s="1073">
        <f t="shared" si="158"/>
        <v>0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0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0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0</v>
      </c>
    </row>
    <row r="783" spans="9:17" ht="13.9" x14ac:dyDescent="0.4">
      <c r="I783" s="1073">
        <f>IF($A$1=13,I782+1,0)</f>
        <v>0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0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0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0</v>
      </c>
    </row>
    <row r="789" spans="9:17" ht="13.9" x14ac:dyDescent="0.4">
      <c r="I789" s="1073">
        <f t="shared" ref="I789:I794" si="162">IF($A$1=13,I788+1,0)</f>
        <v>0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0</v>
      </c>
    </row>
    <row r="790" spans="9:17" ht="13.9" x14ac:dyDescent="0.4">
      <c r="I790" s="1073">
        <f t="shared" si="162"/>
        <v>0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0</v>
      </c>
    </row>
    <row r="791" spans="9:17" ht="13.9" x14ac:dyDescent="0.4">
      <c r="I791" s="1073">
        <f t="shared" si="162"/>
        <v>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0</v>
      </c>
    </row>
    <row r="792" spans="9:17" ht="13.9" x14ac:dyDescent="0.4">
      <c r="I792" s="1073">
        <f t="shared" si="162"/>
        <v>0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0</v>
      </c>
    </row>
    <row r="793" spans="9:17" ht="13.9" x14ac:dyDescent="0.4">
      <c r="I793" s="1073">
        <f t="shared" si="162"/>
        <v>0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0</v>
      </c>
    </row>
    <row r="794" spans="9:17" ht="13.9" x14ac:dyDescent="0.4">
      <c r="I794" s="1073">
        <f t="shared" si="162"/>
        <v>0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0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0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0</v>
      </c>
    </row>
    <row r="800" spans="9:17" ht="13.9" x14ac:dyDescent="0.4">
      <c r="I800" s="1073">
        <f t="shared" ref="I800:I805" si="165">IF($A$1=13,I799+1,0)</f>
        <v>0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0</v>
      </c>
    </row>
    <row r="801" spans="9:17" ht="13.9" x14ac:dyDescent="0.4">
      <c r="I801" s="1073">
        <f t="shared" si="165"/>
        <v>0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0</v>
      </c>
    </row>
    <row r="802" spans="9:17" ht="13.9" x14ac:dyDescent="0.4">
      <c r="I802" s="1073">
        <f t="shared" si="165"/>
        <v>0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0</v>
      </c>
    </row>
    <row r="803" spans="9:17" ht="13.9" x14ac:dyDescent="0.4">
      <c r="I803" s="1073">
        <f t="shared" si="165"/>
        <v>0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0</v>
      </c>
    </row>
    <row r="804" spans="9:17" ht="13.9" x14ac:dyDescent="0.4">
      <c r="I804" s="1073">
        <f t="shared" si="165"/>
        <v>0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0</v>
      </c>
    </row>
    <row r="805" spans="9:17" ht="13.9" x14ac:dyDescent="0.4">
      <c r="I805" s="1073">
        <f t="shared" si="165"/>
        <v>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0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Soybeans, RR2XtendFlex,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oz</v>
      </c>
      <c r="M1122" s="159">
        <f>A4_Chem_Prices!P$2</f>
        <v>0.13671875</v>
      </c>
      <c r="N1122" s="157">
        <v>32</v>
      </c>
      <c r="O1122" s="82">
        <f t="shared" ref="O1122:O1135" si="227">M1122*N1122</f>
        <v>4.375</v>
      </c>
      <c r="P1122" s="1449">
        <f>N1122</f>
        <v>32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oz</v>
      </c>
      <c r="M1123" s="159">
        <f>A4_Chem_Prices!P$3</f>
        <v>0.1953125</v>
      </c>
      <c r="N1123" s="157">
        <v>32</v>
      </c>
      <c r="O1123" s="82">
        <f t="shared" si="227"/>
        <v>6.25</v>
      </c>
      <c r="P1123" s="1449">
        <f>N1123</f>
        <v>32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oz</v>
      </c>
      <c r="M1127" s="159">
        <f>A4_Chem_Prices!P$2</f>
        <v>0.13671875</v>
      </c>
      <c r="N1127" s="157">
        <v>32</v>
      </c>
      <c r="O1127" s="82">
        <f t="shared" si="227"/>
        <v>4.375</v>
      </c>
      <c r="P1127" s="1449">
        <f>N1127</f>
        <v>32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oz</v>
      </c>
      <c r="M1128" s="159">
        <f>A4_Chem_Prices!P$6</f>
        <v>0.40234375</v>
      </c>
      <c r="N1128" s="157">
        <v>32</v>
      </c>
      <c r="O1128" s="82">
        <f t="shared" si="227"/>
        <v>12.875</v>
      </c>
      <c r="P1128" s="160">
        <f>N1128*16</f>
        <v>512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Soybeans, RR2XtendFlex,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oz</v>
      </c>
      <c r="M1184" s="159">
        <f>A4_Chem_Prices!P$2</f>
        <v>0.13671875</v>
      </c>
      <c r="N1184" s="157">
        <v>32</v>
      </c>
      <c r="O1184" s="82">
        <f t="shared" ref="O1184:O1197" si="239">M1184*N1184</f>
        <v>4.375</v>
      </c>
      <c r="P1184" s="1449">
        <f>N1184</f>
        <v>32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oz</v>
      </c>
      <c r="M1185" s="159">
        <f>A4_Chem_Prices!P$3</f>
        <v>0.1953125</v>
      </c>
      <c r="N1185" s="157">
        <v>32</v>
      </c>
      <c r="O1185" s="82">
        <f t="shared" si="239"/>
        <v>6.25</v>
      </c>
      <c r="P1185" s="1449">
        <f>N1185</f>
        <v>32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oz</v>
      </c>
      <c r="M1189" s="159">
        <f>A4_Chem_Prices!P$2</f>
        <v>0.13671875</v>
      </c>
      <c r="N1189" s="157">
        <v>32</v>
      </c>
      <c r="O1189" s="82">
        <f t="shared" si="239"/>
        <v>4.375</v>
      </c>
      <c r="P1189" s="1449">
        <f>N1189</f>
        <v>32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oz</v>
      </c>
      <c r="M1190" s="159">
        <f>A4_Chem_Prices!P$6</f>
        <v>0.40234375</v>
      </c>
      <c r="N1190" s="157">
        <v>32</v>
      </c>
      <c r="O1190" s="82">
        <f t="shared" si="239"/>
        <v>12.875</v>
      </c>
      <c r="P1190" s="160">
        <f>N1190*16</f>
        <v>512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Soybeans, RR2XtendFlex,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oz</v>
      </c>
      <c r="M1246" s="159">
        <f>A4_Chem_Prices!P$2</f>
        <v>0.13671875</v>
      </c>
      <c r="N1246" s="157">
        <v>32</v>
      </c>
      <c r="O1246" s="82">
        <f t="shared" ref="O1246:O1259" si="251">M1246*N1246</f>
        <v>4.375</v>
      </c>
      <c r="P1246" s="1449">
        <f>N1246</f>
        <v>32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oz</v>
      </c>
      <c r="M1247" s="159">
        <f>A4_Chem_Prices!P$3</f>
        <v>0.1953125</v>
      </c>
      <c r="N1247" s="157">
        <v>32</v>
      </c>
      <c r="O1247" s="82">
        <f t="shared" si="251"/>
        <v>6.25</v>
      </c>
      <c r="P1247" s="1449">
        <f>N1247</f>
        <v>32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oz</v>
      </c>
      <c r="M1251" s="159">
        <f>A4_Chem_Prices!P$2</f>
        <v>0.13671875</v>
      </c>
      <c r="N1251" s="157">
        <v>32</v>
      </c>
      <c r="O1251" s="82">
        <f t="shared" si="251"/>
        <v>4.375</v>
      </c>
      <c r="P1251" s="1449">
        <f>N1251</f>
        <v>32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oz</v>
      </c>
      <c r="M1252" s="159">
        <f>A4_Chem_Prices!P$6</f>
        <v>0.40234375</v>
      </c>
      <c r="N1252" s="157">
        <v>32</v>
      </c>
      <c r="O1252" s="82">
        <f t="shared" si="251"/>
        <v>12.875</v>
      </c>
      <c r="P1252" s="160">
        <f>N1252*16</f>
        <v>512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Soybeans, RR2XtendFlex,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oz</v>
      </c>
      <c r="M1308" s="159">
        <f>A4_Chem_Prices!P$2</f>
        <v>0.13671875</v>
      </c>
      <c r="N1308" s="157">
        <v>32</v>
      </c>
      <c r="O1308" s="82">
        <f t="shared" ref="O1308:O1321" si="263">M1308*N1308</f>
        <v>4.375</v>
      </c>
      <c r="P1308" s="1449">
        <f>N1308</f>
        <v>32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oz</v>
      </c>
      <c r="M1309" s="159">
        <f>A4_Chem_Prices!P$3</f>
        <v>0.1953125</v>
      </c>
      <c r="N1309" s="157">
        <v>32</v>
      </c>
      <c r="O1309" s="82">
        <f t="shared" si="263"/>
        <v>6.25</v>
      </c>
      <c r="P1309" s="1449">
        <f>N1309</f>
        <v>32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oz</v>
      </c>
      <c r="M1313" s="159">
        <f>A4_Chem_Prices!P$2</f>
        <v>0.13671875</v>
      </c>
      <c r="N1313" s="157">
        <v>32</v>
      </c>
      <c r="O1313" s="82">
        <f t="shared" si="263"/>
        <v>4.375</v>
      </c>
      <c r="P1313" s="1449">
        <f>N1313</f>
        <v>32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oz</v>
      </c>
      <c r="M1314" s="159">
        <f>A4_Chem_Prices!P$6</f>
        <v>0.40234375</v>
      </c>
      <c r="N1314" s="157">
        <v>32</v>
      </c>
      <c r="O1314" s="82">
        <f t="shared" si="263"/>
        <v>12.875</v>
      </c>
      <c r="P1314" s="160">
        <f>N1314*16</f>
        <v>512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Soybeans, EnlistE3,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oz</v>
      </c>
      <c r="M1370" s="159">
        <f>A4_Chem_Prices!P$2</f>
        <v>0.13671875</v>
      </c>
      <c r="N1370" s="157">
        <v>32</v>
      </c>
      <c r="O1370" s="82">
        <f t="shared" ref="O1370:O1383" si="275">M1370*N1370</f>
        <v>4.375</v>
      </c>
      <c r="P1370" s="1449">
        <f>N1370</f>
        <v>32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oz</v>
      </c>
      <c r="M1371" s="159">
        <f>A4_Chem_Prices!P$3</f>
        <v>0.1953125</v>
      </c>
      <c r="N1371" s="157">
        <v>32</v>
      </c>
      <c r="O1371" s="82">
        <f t="shared" si="275"/>
        <v>6.25</v>
      </c>
      <c r="P1371" s="1449">
        <f>N1371</f>
        <v>32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oz</v>
      </c>
      <c r="M1373" s="159">
        <f>A4_Chem_Prices!P$10</f>
        <v>0.234375</v>
      </c>
      <c r="N1373" s="157">
        <v>32</v>
      </c>
      <c r="O1373" s="82">
        <f>M1373*N1373</f>
        <v>7.5</v>
      </c>
      <c r="P1373" s="1449">
        <f>N1373</f>
        <v>32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oz</v>
      </c>
      <c r="M1374" s="159">
        <f>A4_Chem_Prices!P$2</f>
        <v>0.13671875</v>
      </c>
      <c r="N1374" s="157">
        <v>32</v>
      </c>
      <c r="O1374" s="82">
        <f>M1374*N1374</f>
        <v>4.375</v>
      </c>
      <c r="P1374" s="160">
        <f>N1374*16</f>
        <v>512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oz</v>
      </c>
      <c r="M1375" s="159">
        <f>A4_Chem_Prices!P$15</f>
        <v>0.47875000000000001</v>
      </c>
      <c r="N1375" s="157">
        <v>32</v>
      </c>
      <c r="O1375" s="82">
        <f>M1375*N1375</f>
        <v>15.32</v>
      </c>
      <c r="P1375" s="1449">
        <f>N1375</f>
        <v>32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oz</v>
      </c>
      <c r="M1377" s="159">
        <f>A4_Chem_Prices!P$15</f>
        <v>0.47875000000000001</v>
      </c>
      <c r="N1377" s="157">
        <v>32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oz</v>
      </c>
      <c r="M1378" s="159">
        <f>A4_Chem_Prices!P$6</f>
        <v>0.40234375</v>
      </c>
      <c r="N1378" s="157">
        <v>32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Soybeans, EnlistE3,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oz</v>
      </c>
      <c r="M1432" s="159">
        <f>A4_Chem_Prices!P$2</f>
        <v>0.13671875</v>
      </c>
      <c r="N1432" s="157">
        <v>32</v>
      </c>
      <c r="O1432" s="82">
        <f t="shared" ref="O1432:O1445" si="287">M1432*N1432</f>
        <v>4.375</v>
      </c>
      <c r="P1432" s="1449">
        <f>N1432</f>
        <v>32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oz</v>
      </c>
      <c r="M1433" s="159">
        <f>A4_Chem_Prices!P$3</f>
        <v>0.1953125</v>
      </c>
      <c r="N1433" s="157">
        <v>32</v>
      </c>
      <c r="O1433" s="82">
        <f t="shared" si="287"/>
        <v>6.25</v>
      </c>
      <c r="P1433" s="1449">
        <f>N1433</f>
        <v>32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oz</v>
      </c>
      <c r="M1435" s="159">
        <f>A4_Chem_Prices!P$10</f>
        <v>0.234375</v>
      </c>
      <c r="N1435" s="157">
        <v>32</v>
      </c>
      <c r="O1435" s="82">
        <f t="shared" si="287"/>
        <v>7.5</v>
      </c>
      <c r="P1435" s="1449">
        <f>N1435</f>
        <v>32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oz</v>
      </c>
      <c r="M1436" s="159">
        <f>A4_Chem_Prices!P$2</f>
        <v>0.13671875</v>
      </c>
      <c r="N1436" s="157">
        <v>32</v>
      </c>
      <c r="O1436" s="82">
        <f t="shared" si="287"/>
        <v>4.375</v>
      </c>
      <c r="P1436" s="160">
        <f>N1436*16</f>
        <v>512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oz</v>
      </c>
      <c r="M1437" s="159">
        <f>A4_Chem_Prices!P$15</f>
        <v>0.47875000000000001</v>
      </c>
      <c r="N1437" s="157">
        <v>32</v>
      </c>
      <c r="O1437" s="82">
        <f t="shared" si="287"/>
        <v>15.32</v>
      </c>
      <c r="P1437" s="1449">
        <f>N1437</f>
        <v>32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oz</v>
      </c>
      <c r="M1439" s="159">
        <f>A4_Chem_Prices!P$15</f>
        <v>0.47875000000000001</v>
      </c>
      <c r="N1439" s="157">
        <v>32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oz</v>
      </c>
      <c r="M1440" s="159">
        <f>A4_Chem_Prices!P$6</f>
        <v>0.40234375</v>
      </c>
      <c r="N1440" s="157">
        <v>32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Soybeans, EnlistE3,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oz</v>
      </c>
      <c r="M1494" s="159">
        <f>A4_Chem_Prices!P$2</f>
        <v>0.13671875</v>
      </c>
      <c r="N1494" s="157">
        <v>32</v>
      </c>
      <c r="O1494" s="82">
        <f t="shared" ref="O1494:O1507" si="299">M1494*N1494</f>
        <v>4.375</v>
      </c>
      <c r="P1494" s="1449">
        <f>N1494</f>
        <v>32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oz</v>
      </c>
      <c r="M1495" s="159">
        <f>A4_Chem_Prices!P$3</f>
        <v>0.1953125</v>
      </c>
      <c r="N1495" s="157">
        <v>32</v>
      </c>
      <c r="O1495" s="82">
        <f t="shared" si="299"/>
        <v>6.25</v>
      </c>
      <c r="P1495" s="1449">
        <f>N1495</f>
        <v>32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oz</v>
      </c>
      <c r="M1497" s="159">
        <f>A4_Chem_Prices!P$10</f>
        <v>0.234375</v>
      </c>
      <c r="N1497" s="157">
        <v>32</v>
      </c>
      <c r="O1497" s="82">
        <f t="shared" si="299"/>
        <v>7.5</v>
      </c>
      <c r="P1497" s="1449">
        <f>N1497</f>
        <v>32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oz</v>
      </c>
      <c r="M1498" s="159">
        <f>A4_Chem_Prices!P$2</f>
        <v>0.13671875</v>
      </c>
      <c r="N1498" s="157">
        <v>32</v>
      </c>
      <c r="O1498" s="82">
        <f t="shared" si="299"/>
        <v>4.375</v>
      </c>
      <c r="P1498" s="160">
        <f>N1498*16</f>
        <v>512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oz</v>
      </c>
      <c r="M1499" s="159">
        <f>A4_Chem_Prices!P$15</f>
        <v>0.47875000000000001</v>
      </c>
      <c r="N1499" s="157">
        <v>32</v>
      </c>
      <c r="O1499" s="82">
        <f t="shared" si="299"/>
        <v>15.32</v>
      </c>
      <c r="P1499" s="1449">
        <f>N1499</f>
        <v>32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oz</v>
      </c>
      <c r="M1501" s="159">
        <f>A4_Chem_Prices!P$15</f>
        <v>0.47875000000000001</v>
      </c>
      <c r="N1501" s="157">
        <v>32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oz</v>
      </c>
      <c r="M1502" s="159">
        <f>A4_Chem_Prices!P$6</f>
        <v>0.40234375</v>
      </c>
      <c r="N1502" s="157">
        <v>32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Soybeans, EnlistE3,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oz</v>
      </c>
      <c r="M1556" s="159">
        <f>A4_Chem_Prices!P$2</f>
        <v>0.13671875</v>
      </c>
      <c r="N1556" s="157">
        <v>32</v>
      </c>
      <c r="O1556" s="82">
        <f t="shared" ref="O1556:O1569" si="311">M1556*N1556</f>
        <v>4.375</v>
      </c>
      <c r="P1556" s="1449">
        <f>N1556</f>
        <v>32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oz</v>
      </c>
      <c r="M1557" s="159">
        <f>A4_Chem_Prices!P$3</f>
        <v>0.1953125</v>
      </c>
      <c r="N1557" s="157">
        <v>32</v>
      </c>
      <c r="O1557" s="82">
        <f t="shared" si="311"/>
        <v>6.25</v>
      </c>
      <c r="P1557" s="1449">
        <f>N1557</f>
        <v>32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oz</v>
      </c>
      <c r="M1559" s="159">
        <f>A4_Chem_Prices!P$10</f>
        <v>0.234375</v>
      </c>
      <c r="N1559" s="157">
        <v>32</v>
      </c>
      <c r="O1559" s="82">
        <f t="shared" si="311"/>
        <v>7.5</v>
      </c>
      <c r="P1559" s="1449">
        <f>N1559</f>
        <v>32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oz</v>
      </c>
      <c r="M1560" s="159">
        <f>A4_Chem_Prices!P$2</f>
        <v>0.13671875</v>
      </c>
      <c r="N1560" s="157">
        <v>32</v>
      </c>
      <c r="O1560" s="82">
        <f t="shared" si="311"/>
        <v>4.375</v>
      </c>
      <c r="P1560" s="160">
        <f>N1560*16</f>
        <v>512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oz</v>
      </c>
      <c r="M1561" s="159">
        <f>A4_Chem_Prices!P$15</f>
        <v>0.47875000000000001</v>
      </c>
      <c r="N1561" s="157">
        <v>32</v>
      </c>
      <c r="O1561" s="82">
        <f t="shared" si="311"/>
        <v>15.32</v>
      </c>
      <c r="P1561" s="1449">
        <f>N1561</f>
        <v>32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oz</v>
      </c>
      <c r="M1563" s="159">
        <f>A4_Chem_Prices!P$15</f>
        <v>0.47875000000000001</v>
      </c>
      <c r="N1563" s="157">
        <v>32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oz</v>
      </c>
      <c r="M1564" s="159">
        <f>A4_Chem_Prices!P$6</f>
        <v>0.40234375</v>
      </c>
      <c r="N1564" s="157">
        <v>32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oz</v>
      </c>
      <c r="M1618" s="159">
        <f>A4_Chem_Prices!P$2</f>
        <v>0.13671875</v>
      </c>
      <c r="N1618" s="159">
        <v>32</v>
      </c>
      <c r="O1618" s="82">
        <f t="shared" ref="O1618:O1631" si="323">M1618*N1618</f>
        <v>4.375</v>
      </c>
      <c r="P1618" s="1449">
        <f>N1618</f>
        <v>32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oz</v>
      </c>
      <c r="M1619" s="159">
        <f>A4_Chem_Prices!P$3</f>
        <v>0.1953125</v>
      </c>
      <c r="N1619" s="159">
        <v>32</v>
      </c>
      <c r="O1619" s="82">
        <f t="shared" si="323"/>
        <v>6.25</v>
      </c>
      <c r="P1619" s="1449">
        <f>N1619</f>
        <v>32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414</v>
      </c>
      <c r="M1621" s="159">
        <f>A4_Chem_Prices!P$8</f>
        <v>0.78125</v>
      </c>
      <c r="N1621" s="157">
        <v>1</v>
      </c>
      <c r="O1621" s="82">
        <f t="shared" si="323"/>
        <v>0.78125</v>
      </c>
      <c r="P1621" s="1449">
        <f>N1621*16</f>
        <v>16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oz</v>
      </c>
      <c r="M1625" s="159">
        <f>A4_Chem_Prices!P$10</f>
        <v>0.234375</v>
      </c>
      <c r="N1625" s="157">
        <v>32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86.921468750000003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oz</v>
      </c>
      <c r="M2114" s="159">
        <f>A4_Chem_Prices!P$2</f>
        <v>0.13671875</v>
      </c>
      <c r="N2114" s="159">
        <v>32</v>
      </c>
      <c r="O2114" s="82">
        <f t="shared" ref="O2114:O2127" si="419">M2114*N2114</f>
        <v>4.375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oz</v>
      </c>
      <c r="M2115" s="159">
        <f>A4_Chem_Prices!P$3</f>
        <v>0.1953125</v>
      </c>
      <c r="N2115" s="159">
        <v>32</v>
      </c>
      <c r="O2115" s="82">
        <f t="shared" si="419"/>
        <v>6.25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oz</v>
      </c>
      <c r="M2121" s="159">
        <f>A4_Chem_Prices!P$10</f>
        <v>0.234375</v>
      </c>
      <c r="N2121" s="157">
        <v>32</v>
      </c>
      <c r="O2121" s="82">
        <f t="shared" si="419"/>
        <v>7.5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86.921468750000003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oz</v>
      </c>
      <c r="M2176" s="159">
        <f>A4_Chem_Prices!P$2</f>
        <v>0.13671875</v>
      </c>
      <c r="N2176" s="159">
        <v>32</v>
      </c>
      <c r="O2176" s="82">
        <f t="shared" ref="O2176:O2189" si="431">M2176*N2176</f>
        <v>4.375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oz</v>
      </c>
      <c r="M2177" s="159">
        <f>A4_Chem_Prices!P$3</f>
        <v>0.1953125</v>
      </c>
      <c r="N2177" s="159">
        <v>32</v>
      </c>
      <c r="O2177" s="82">
        <f t="shared" si="431"/>
        <v>6.25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oz</v>
      </c>
      <c r="M2183" s="159">
        <f>A4_Chem_Prices!P$10</f>
        <v>0.234375</v>
      </c>
      <c r="N2183" s="157">
        <v>32</v>
      </c>
      <c r="O2183" s="82">
        <f t="shared" si="431"/>
        <v>7.5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86.921468750000003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oz</v>
      </c>
      <c r="M2238" s="159">
        <f>A4_Chem_Prices!P$2</f>
        <v>0.13671875</v>
      </c>
      <c r="N2238" s="159">
        <v>32</v>
      </c>
      <c r="O2238" s="82">
        <f t="shared" ref="O2238:O2251" si="443">M2238*N2238</f>
        <v>4.375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oz</v>
      </c>
      <c r="M2239" s="159">
        <f>A4_Chem_Prices!P$3</f>
        <v>0.1953125</v>
      </c>
      <c r="N2239" s="159">
        <v>32</v>
      </c>
      <c r="O2239" s="82">
        <f t="shared" si="443"/>
        <v>6.25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oz</v>
      </c>
      <c r="M2245" s="159">
        <f>A4_Chem_Prices!P$10</f>
        <v>0.234375</v>
      </c>
      <c r="N2245" s="157">
        <v>32</v>
      </c>
      <c r="O2245" s="82">
        <f t="shared" si="443"/>
        <v>7.5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86.921468750000003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25</v>
      </c>
      <c r="D69" s="1927">
        <f>VLOOKUP(50,$N$14:$Z$303,5,FALSE)</f>
        <v>3.5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25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25</v>
      </c>
      <c r="D74" s="1925">
        <f>VLOOKUP(55,$N$14:$Z$303,5,FALSE)</f>
        <v>3.5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25</v>
      </c>
      <c r="R74" s="1926">
        <f>R69</f>
        <v>3.5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25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25</v>
      </c>
      <c r="R148" s="1926">
        <f>R143</f>
        <v>3.5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25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25</v>
      </c>
      <c r="R222" s="1926">
        <f>R217</f>
        <v>3.5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25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25</v>
      </c>
      <c r="R296" s="1926">
        <f>R291</f>
        <v>3.5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1. Details of Chemicals Applied, Corn,Furrow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pt</v>
      </c>
      <c r="D5" s="96">
        <f>Seed_Chemical!D13</f>
        <v>2.5</v>
      </c>
      <c r="E5" s="96">
        <f>Seed_Chemical!E13</f>
        <v>2</v>
      </c>
      <c r="F5" s="96">
        <f>Seed_Chemical!F13</f>
        <v>5</v>
      </c>
      <c r="G5" s="106" t="e">
        <f>Seed_Chemical!#REF!</f>
        <v>#REF!</v>
      </c>
    </row>
    <row r="6" spans="1:7" ht="13.9" x14ac:dyDescent="0.4">
      <c r="A6" s="96" t="str">
        <f>Seed_Chemical!A14</f>
        <v>Zidua SC</v>
      </c>
      <c r="B6" s="104" t="e">
        <f>Seed_Chemical!#REF!</f>
        <v>#REF!</v>
      </c>
      <c r="C6" s="104" t="str">
        <f>Seed_Chemical!C14</f>
        <v>oz</v>
      </c>
      <c r="D6" s="96">
        <f>Seed_Chemical!D14</f>
        <v>5.7421875</v>
      </c>
      <c r="E6" s="96">
        <f>Seed_Chemical!E14</f>
        <v>3.5</v>
      </c>
      <c r="F6" s="96">
        <f>Seed_Chemical!F14</f>
        <v>20.09765625</v>
      </c>
      <c r="G6" s="106" t="e">
        <f>Seed_Chemical!#REF!</f>
        <v>#REF!</v>
      </c>
    </row>
    <row r="7" spans="1:7" ht="13.9" x14ac:dyDescent="0.4">
      <c r="A7" s="96" t="str">
        <f>Seed_Chemical!A15</f>
        <v>Halex GT</v>
      </c>
      <c r="B7" s="104" t="e">
        <f>Seed_Chemical!#REF!</f>
        <v>#REF!</v>
      </c>
      <c r="C7" s="104" t="str">
        <f>Seed_Chemical!C15</f>
        <v>pt</v>
      </c>
      <c r="D7" s="96">
        <f>Seed_Chemical!D15</f>
        <v>6.8937499999999998</v>
      </c>
      <c r="E7" s="96">
        <f>Seed_Chemical!E15</f>
        <v>3.6</v>
      </c>
      <c r="F7" s="96">
        <f>Seed_Chemical!F15</f>
        <v>24.817499999999999</v>
      </c>
      <c r="G7" s="106" t="e">
        <f>Seed_Chemical!#REF!</f>
        <v>#REF!</v>
      </c>
    </row>
    <row r="8" spans="1:7" ht="13.9" x14ac:dyDescent="0.4">
      <c r="A8" s="96" t="str">
        <f>Seed_Chemical!A16</f>
        <v>Atrazine</v>
      </c>
      <c r="B8" s="104" t="e">
        <f>Seed_Chemical!#REF!</f>
        <v>#REF!</v>
      </c>
      <c r="C8" s="104" t="str">
        <f>Seed_Chemical!C16</f>
        <v>qt</v>
      </c>
      <c r="D8" s="96">
        <f>Seed_Chemical!D16</f>
        <v>3.75</v>
      </c>
      <c r="E8" s="96">
        <f>Seed_Chemical!E16</f>
        <v>2</v>
      </c>
      <c r="F8" s="96">
        <f>Seed_Chemical!F16</f>
        <v>7.5</v>
      </c>
      <c r="G8" s="106" t="e">
        <f>Seed_Chemical!#REF!</f>
        <v>#REF!</v>
      </c>
    </row>
    <row r="9" spans="1:7" ht="13.9" x14ac:dyDescent="0.4">
      <c r="A9" s="96" t="str">
        <f>Seed_Chemical!A17</f>
        <v xml:space="preserve"> </v>
      </c>
      <c r="B9" s="104" t="e">
        <f>Seed_Chemical!#REF!</f>
        <v>#REF!</v>
      </c>
      <c r="C9" s="104" t="str">
        <f>Seed_Chemical!C17</f>
        <v xml:space="preserve"> </v>
      </c>
      <c r="D9" s="96">
        <f>Seed_Chemical!D17</f>
        <v>0</v>
      </c>
      <c r="E9" s="96">
        <f>Seed_Chemical!E17</f>
        <v>0</v>
      </c>
      <c r="F9" s="96">
        <f>Seed_Chemical!F17</f>
        <v>0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61.790156249999995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 xml:space="preserve"> </v>
      </c>
      <c r="B22" s="104" t="e">
        <f>Seed_Chemical!#REF!</f>
        <v>#REF!</v>
      </c>
      <c r="C22" s="104" t="str">
        <f>Seed_Chemical!C30</f>
        <v xml:space="preserve"> </v>
      </c>
      <c r="D22" s="96">
        <f>Seed_Chemical!D30</f>
        <v>0</v>
      </c>
      <c r="E22" s="96">
        <f>Seed_Chemical!E30</f>
        <v>0</v>
      </c>
      <c r="F22" s="96">
        <f>Seed_Chemical!F30</f>
        <v>0</v>
      </c>
      <c r="G22" s="106" t="e">
        <f>Seed_Chemical!#REF!</f>
        <v>#REF!</v>
      </c>
    </row>
    <row r="23" spans="1:7" ht="13.9" x14ac:dyDescent="0.4">
      <c r="A23" s="96" t="str">
        <f>Seed_Chemical!A31</f>
        <v xml:space="preserve"> </v>
      </c>
      <c r="B23" s="104" t="e">
        <f>Seed_Chemical!#REF!</f>
        <v>#REF!</v>
      </c>
      <c r="C23" s="104" t="str">
        <f>Seed_Chemical!C31</f>
        <v xml:space="preserve"> </v>
      </c>
      <c r="D23" s="96">
        <f>Seed_Chemical!D31</f>
        <v>0</v>
      </c>
      <c r="E23" s="96">
        <f>Seed_Chemical!E31</f>
        <v>0</v>
      </c>
      <c r="F23" s="96">
        <f>Seed_Chemical!F31</f>
        <v>0</v>
      </c>
      <c r="G23" s="106" t="e">
        <f>Seed_Chemical!#REF!</f>
        <v>#REF!</v>
      </c>
    </row>
    <row r="24" spans="1:7" ht="13.9" x14ac:dyDescent="0.4">
      <c r="A24" s="96" t="str">
        <f>Seed_Chemical!A32</f>
        <v xml:space="preserve"> </v>
      </c>
      <c r="B24" s="104" t="e">
        <f>Seed_Chemical!#REF!</f>
        <v>#REF!</v>
      </c>
      <c r="C24" s="104" t="str">
        <f>Seed_Chemical!C32</f>
        <v xml:space="preserve"> </v>
      </c>
      <c r="D24" s="96">
        <f>Seed_Chemical!D32</f>
        <v>0</v>
      </c>
      <c r="E24" s="96">
        <f>Seed_Chemical!E32</f>
        <v>0</v>
      </c>
      <c r="F24" s="96">
        <f>Seed_Chemical!F32</f>
        <v>0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0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Fungicide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 xml:space="preserve"> </v>
      </c>
      <c r="B36" s="104" t="e">
        <f>Seed_Chemical!#REF!</f>
        <v>#REF!</v>
      </c>
      <c r="C36" s="104" t="str">
        <f>Seed_Chemical!C44</f>
        <v xml:space="preserve"> </v>
      </c>
      <c r="D36" s="96">
        <f>Seed_Chemical!D44</f>
        <v>0</v>
      </c>
      <c r="E36" s="96">
        <f>Seed_Chemical!E44</f>
        <v>0</v>
      </c>
      <c r="F36" s="96">
        <f>Seed_Chemical!F44</f>
        <v>0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0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Other Chemical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1. Details of Chemicals Applied, Corn,Furrow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pt</v>
      </c>
      <c r="D5" s="96">
        <f>Seed_Chemical!D13</f>
        <v>2.5</v>
      </c>
      <c r="E5" s="96">
        <f>Seed_Chemical!E13</f>
        <v>2</v>
      </c>
      <c r="F5" s="96">
        <f>Seed_Chemical!F13</f>
        <v>5</v>
      </c>
      <c r="G5" s="106" t="e">
        <f>Seed_Chemical!#REF!</f>
        <v>#REF!</v>
      </c>
    </row>
    <row r="6" spans="1:7" ht="13.9" x14ac:dyDescent="0.4">
      <c r="A6" s="96" t="str">
        <f>Seed_Chemical!A14</f>
        <v>Zidua SC</v>
      </c>
      <c r="B6" s="104" t="e">
        <f>Seed_Chemical!#REF!</f>
        <v>#REF!</v>
      </c>
      <c r="C6" s="104" t="str">
        <f>Seed_Chemical!C14</f>
        <v>oz</v>
      </c>
      <c r="D6" s="96">
        <f>Seed_Chemical!D14</f>
        <v>5.7421875</v>
      </c>
      <c r="E6" s="96">
        <f>Seed_Chemical!E14</f>
        <v>3.5</v>
      </c>
      <c r="F6" s="96">
        <f>Seed_Chemical!F14</f>
        <v>20.09765625</v>
      </c>
      <c r="G6" s="106" t="e">
        <f>Seed_Chemical!#REF!</f>
        <v>#REF!</v>
      </c>
    </row>
    <row r="7" spans="1:7" ht="13.9" x14ac:dyDescent="0.4">
      <c r="A7" s="96" t="str">
        <f>Seed_Chemical!A15</f>
        <v>Halex GT</v>
      </c>
      <c r="B7" s="104" t="e">
        <f>Seed_Chemical!#REF!</f>
        <v>#REF!</v>
      </c>
      <c r="C7" s="104" t="str">
        <f>Seed_Chemical!C15</f>
        <v>pt</v>
      </c>
      <c r="D7" s="96">
        <f>Seed_Chemical!D15</f>
        <v>6.8937499999999998</v>
      </c>
      <c r="E7" s="96">
        <f>Seed_Chemical!E15</f>
        <v>3.6</v>
      </c>
      <c r="F7" s="96">
        <f>Seed_Chemical!F15</f>
        <v>24.817499999999999</v>
      </c>
      <c r="G7" s="106" t="e">
        <f>Seed_Chemical!#REF!</f>
        <v>#REF!</v>
      </c>
    </row>
    <row r="8" spans="1:7" ht="13.9" x14ac:dyDescent="0.4">
      <c r="A8" s="96" t="str">
        <f>Seed_Chemical!A16</f>
        <v>Atrazine</v>
      </c>
      <c r="B8" s="104" t="e">
        <f>Seed_Chemical!#REF!</f>
        <v>#REF!</v>
      </c>
      <c r="C8" s="104" t="str">
        <f>Seed_Chemical!C16</f>
        <v>qt</v>
      </c>
      <c r="D8" s="96">
        <f>Seed_Chemical!D16</f>
        <v>3.75</v>
      </c>
      <c r="E8" s="96">
        <f>Seed_Chemical!E16</f>
        <v>2</v>
      </c>
      <c r="F8" s="96">
        <f>Seed_Chemical!F16</f>
        <v>7.5</v>
      </c>
      <c r="G8" s="106" t="e">
        <f>Seed_Chemical!#REF!</f>
        <v>#REF!</v>
      </c>
    </row>
    <row r="9" spans="1:7" ht="13.9" x14ac:dyDescent="0.4">
      <c r="A9" s="96" t="str">
        <f>Seed_Chemical!A17</f>
        <v xml:space="preserve"> </v>
      </c>
      <c r="B9" s="104" t="e">
        <f>Seed_Chemical!#REF!</f>
        <v>#REF!</v>
      </c>
      <c r="C9" s="104" t="str">
        <f>Seed_Chemical!C17</f>
        <v xml:space="preserve"> </v>
      </c>
      <c r="D9" s="96">
        <f>Seed_Chemical!D17</f>
        <v>0</v>
      </c>
      <c r="E9" s="96">
        <f>Seed_Chemical!E17</f>
        <v>0</v>
      </c>
      <c r="F9" s="96">
        <f>Seed_Chemical!F17</f>
        <v>0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61.790156249999995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 xml:space="preserve"> </v>
      </c>
      <c r="B18" s="104" t="e">
        <f>Seed_Chemical!#REF!</f>
        <v>#REF!</v>
      </c>
      <c r="C18" s="104" t="str">
        <f>Seed_Chemical!C30</f>
        <v xml:space="preserve"> </v>
      </c>
      <c r="D18" s="96">
        <f>Seed_Chemical!D30</f>
        <v>0</v>
      </c>
      <c r="E18" s="96">
        <f>Seed_Chemical!E30</f>
        <v>0</v>
      </c>
      <c r="F18" s="96">
        <f>Seed_Chemical!F30</f>
        <v>0</v>
      </c>
      <c r="G18" s="106" t="e">
        <f>Seed_Chemical!#REF!</f>
        <v>#REF!</v>
      </c>
    </row>
    <row r="19" spans="1:7" ht="13.9" x14ac:dyDescent="0.4">
      <c r="A19" s="96" t="str">
        <f>Seed_Chemical!A31</f>
        <v xml:space="preserve"> </v>
      </c>
      <c r="B19" s="104" t="e">
        <f>Seed_Chemical!#REF!</f>
        <v>#REF!</v>
      </c>
      <c r="C19" s="104" t="str">
        <f>Seed_Chemical!C31</f>
        <v xml:space="preserve"> </v>
      </c>
      <c r="D19" s="96">
        <f>Seed_Chemical!D31</f>
        <v>0</v>
      </c>
      <c r="E19" s="96">
        <f>Seed_Chemical!E31</f>
        <v>0</v>
      </c>
      <c r="F19" s="96">
        <f>Seed_Chemical!F31</f>
        <v>0</v>
      </c>
      <c r="G19" s="106" t="e">
        <f>Seed_Chemical!#REF!</f>
        <v>#REF!</v>
      </c>
    </row>
    <row r="20" spans="1:7" ht="13.9" x14ac:dyDescent="0.4">
      <c r="A20" s="96" t="str">
        <f>Seed_Chemical!A32</f>
        <v xml:space="preserve"> </v>
      </c>
      <c r="B20" s="104" t="e">
        <f>Seed_Chemical!#REF!</f>
        <v>#REF!</v>
      </c>
      <c r="C20" s="104" t="str">
        <f>Seed_Chemical!C32</f>
        <v xml:space="preserve"> </v>
      </c>
      <c r="D20" s="96">
        <f>Seed_Chemical!D32</f>
        <v>0</v>
      </c>
      <c r="E20" s="96">
        <f>Seed_Chemical!E32</f>
        <v>0</v>
      </c>
      <c r="F20" s="96">
        <f>Seed_Chemical!F32</f>
        <v>0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0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Fungicide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0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Other Chemical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1. Machinery Capital Recovery and Operating Costs, Corn, Furrow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>
        <f>IF(Trips!G9&gt;0,Trips!G9," ")</f>
        <v>8.2729323632800273</v>
      </c>
      <c r="C10" s="96">
        <f>IF(Trips!H9&gt;0,Trips!H9," ")</f>
        <v>1.16379090688534</v>
      </c>
      <c r="D10" s="96">
        <f>IF(Trips!I9&gt;0,Trips!I9," ")</f>
        <v>1.5626470588235291</v>
      </c>
      <c r="E10" s="96">
        <f>IF(Trips!J9&gt;0,Trips!J9," ")</f>
        <v>0.83333823529411755</v>
      </c>
      <c r="F10" s="96">
        <f>IF(Trips!K9&gt;0,Trips!K9," ")</f>
        <v>11.832708564283015</v>
      </c>
      <c r="G10" s="528">
        <f>IF(Machine!B19&gt;0,Machine!B19," ")</f>
        <v>1</v>
      </c>
      <c r="H10" s="97">
        <f>IF(Machine!B19&gt;0,Machine!D19," ")</f>
        <v>32</v>
      </c>
    </row>
    <row r="11" spans="1:8" ht="13.9" x14ac:dyDescent="0.4">
      <c r="A11" s="91" t="str">
        <f>Machine!A20</f>
        <v>Bedder, Hipper</v>
      </c>
      <c r="B11" s="96">
        <f>IF(Trips!G10&gt;0,Trips!G10," ")</f>
        <v>7.8838877630223569</v>
      </c>
      <c r="C11" s="96">
        <f>IF(Trips!H10&gt;0,Trips!H10," ")</f>
        <v>1.0494634514671393</v>
      </c>
      <c r="D11" s="96">
        <f>IF(Trips!I10&gt;0,Trips!I10," ")</f>
        <v>1.708859649122807</v>
      </c>
      <c r="E11" s="96">
        <f>IF(Trips!J10&gt;0,Trips!J10," ")</f>
        <v>0.91131140350877193</v>
      </c>
      <c r="F11" s="96">
        <f>IF(Trips!K10&gt;0,Trips!K10," ")</f>
        <v>11.553522267121076</v>
      </c>
      <c r="G11" s="528">
        <f>IF(Machine!B20&gt;0,Machine!B20," ")</f>
        <v>1</v>
      </c>
      <c r="H11" s="97">
        <f>IF(Machine!B20&gt;0,Machine!D20," ")</f>
        <v>38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 t="str">
        <f>IF(Trips!G13&gt;0,Trips!G13," ")</f>
        <v xml:space="preserve"> </v>
      </c>
      <c r="C14" s="96" t="str">
        <f>IF(Trips!H13&gt;0,Trips!H13," ")</f>
        <v xml:space="preserve"> </v>
      </c>
      <c r="D14" s="96" t="str">
        <f>IF(Trips!I13&gt;0,Trips!I13," ")</f>
        <v xml:space="preserve"> </v>
      </c>
      <c r="E14" s="96" t="str">
        <f>IF(Trips!J13&gt;0,Trips!J13," ")</f>
        <v xml:space="preserve"> </v>
      </c>
      <c r="F14" s="96" t="str">
        <f>IF(Trips!K13&gt;0,Trips!K13," ")</f>
        <v xml:space="preserve"> </v>
      </c>
      <c r="G14" s="528" t="str">
        <f>IF(Machine!B23&gt;0,Machine!B23," ")</f>
        <v xml:space="preserve"> </v>
      </c>
      <c r="H14" s="97" t="str">
        <f>IF(Machine!B23&gt;0,Machine!D23," ")</f>
        <v xml:space="preserve"> 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 t="str">
        <f>IF(Trips!G15&gt;0,Trips!G15," ")</f>
        <v xml:space="preserve"> </v>
      </c>
      <c r="C16" s="96" t="str">
        <f>IF(Trips!H15&gt;0,Trips!H15," ")</f>
        <v xml:space="preserve"> </v>
      </c>
      <c r="D16" s="96" t="str">
        <f>IF(Trips!I15&gt;0,Trips!I15," ")</f>
        <v xml:space="preserve"> </v>
      </c>
      <c r="E16" s="96" t="str">
        <f>IF(Trips!J15&gt;0,Trips!J15," ")</f>
        <v xml:space="preserve"> </v>
      </c>
      <c r="F16" s="96" t="str">
        <f>IF(Trips!K15&gt;0,Trips!K15," ")</f>
        <v xml:space="preserve"> </v>
      </c>
      <c r="G16" s="528" t="str">
        <f>IF(Machine!B25&gt;0,Machine!B25," ")</f>
        <v xml:space="preserve"> 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>
        <f>IF(Trips!G18&gt;0,Trips!G18," ")</f>
        <v>4.6543890672290615</v>
      </c>
      <c r="C19" s="96">
        <f>IF(Trips!H18&gt;0,Trips!H18," ")</f>
        <v>0.80766507546005373</v>
      </c>
      <c r="D19" s="96">
        <f>IF(Trips!I18&gt;0,Trips!I18," ")</f>
        <v>0.93546218487394939</v>
      </c>
      <c r="E19" s="96">
        <f>IF(Trips!J18&gt;0,Trips!J18," ")</f>
        <v>0.49886914765906354</v>
      </c>
      <c r="F19" s="96">
        <f>IF(Trips!K18&gt;0,Trips!K18," ")</f>
        <v>6.8963854752221279</v>
      </c>
      <c r="G19" s="528">
        <f>IF(Machine!B28&gt;0,Machine!B28," ")</f>
        <v>1</v>
      </c>
      <c r="H19" s="97">
        <f>IF(Machine!B28&gt;0,Machine!D28," ")</f>
        <v>42</v>
      </c>
    </row>
    <row r="20" spans="1:8" ht="13.9" x14ac:dyDescent="0.4">
      <c r="A20" s="91" t="str">
        <f>Machine!A29</f>
        <v>Row Crop Cultivator, Row Middles</v>
      </c>
      <c r="B20" s="96">
        <f>IF(Trips!G19&gt;0,Trips!G19," ")</f>
        <v>4.4832918715221215</v>
      </c>
      <c r="C20" s="96">
        <f>IF(Trips!H19&gt;0,Trips!H19," ")</f>
        <v>0.42653403490585207</v>
      </c>
      <c r="D20" s="96">
        <f>IF(Trips!I19&gt;0,Trips!I19," ")</f>
        <v>1.0985526315789471</v>
      </c>
      <c r="E20" s="96">
        <f>IF(Trips!J19&gt;0,Trips!J19," ")</f>
        <v>0.58584304511278185</v>
      </c>
      <c r="F20" s="96">
        <f>IF(Trips!K19&gt;0,Trips!K19," ")</f>
        <v>6.594221583119702</v>
      </c>
      <c r="G20" s="528">
        <f>IF(Machine!B29&gt;0,Machine!B29," ")</f>
        <v>1</v>
      </c>
      <c r="H20" s="97">
        <f>IF(Machine!B29&gt;0,Machine!D29," ")</f>
        <v>38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 t="str">
        <f>IF(Trips!G22&gt;0,Trips!G22," ")</f>
        <v xml:space="preserve"> </v>
      </c>
      <c r="C23" s="96" t="str">
        <f>IF(Trips!H22&gt;0,Trips!H22," ")</f>
        <v xml:space="preserve"> </v>
      </c>
      <c r="D23" s="96" t="str">
        <f>IF(Trips!I22&gt;0,Trips!I22," ")</f>
        <v xml:space="preserve"> </v>
      </c>
      <c r="E23" s="96" t="str">
        <f>IF(Trips!J22&gt;0,Trips!J22," ")</f>
        <v xml:space="preserve"> </v>
      </c>
      <c r="F23" s="96" t="str">
        <f>IF(Trips!K22&gt;0,Trips!K22," ")</f>
        <v xml:space="preserve"> </v>
      </c>
      <c r="G23" s="528" t="str">
        <f>IF(Machine!B32&gt;0,Machine!B32," ")</f>
        <v xml:space="preserve"> </v>
      </c>
      <c r="H23" s="97" t="str">
        <f>IF(Machine!B32&gt;0,Machine!D32," ")</f>
        <v xml:space="preserve"> 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>
        <f>IF(Trips!G25&gt;0,Trips!G25," ")</f>
        <v>8.3809010451777848</v>
      </c>
      <c r="C26" s="96">
        <f>IF(Trips!H25&gt;0,Trips!H25," ")</f>
        <v>2.2480540085864007</v>
      </c>
      <c r="D26" s="96">
        <f>IF(Trips!I25&gt;0,Trips!I25," ")</f>
        <v>1.3373684210526315</v>
      </c>
      <c r="E26" s="96">
        <f>IF(Trips!J25&gt;0,Trips!J25," ")</f>
        <v>0.93827327935222649</v>
      </c>
      <c r="F26" s="96">
        <f>IF(Trips!K25&gt;0,Trips!K25," ")</f>
        <v>12.904596754169045</v>
      </c>
      <c r="G26" s="528">
        <f>IF(Machine!B35&gt;0,Machine!B35," ")</f>
        <v>1</v>
      </c>
      <c r="H26" s="97">
        <f>IF(Machine!B35&gt;0,Machine!D35," ")</f>
        <v>38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 t="str">
        <f>IF(Trips!G27&gt;0,Trips!G27," ")</f>
        <v xml:space="preserve"> </v>
      </c>
      <c r="C28" s="96" t="str">
        <f>IF(Trips!H27&gt;0,Trips!H27," ")</f>
        <v xml:space="preserve"> </v>
      </c>
      <c r="D28" s="96" t="str">
        <f>IF(Trips!I27&gt;0,Trips!I27," ")</f>
        <v xml:space="preserve"> </v>
      </c>
      <c r="E28" s="96" t="str">
        <f>IF(Trips!J27&gt;0,Trips!J27," ")</f>
        <v xml:space="preserve"> </v>
      </c>
      <c r="F28" s="96" t="str">
        <f>IF(Trips!K27&gt;0,Trips!K27," ")</f>
        <v xml:space="preserve"> </v>
      </c>
      <c r="G28" s="528" t="str">
        <f>IF(Machine!B37&gt;0,Machine!B37," ")</f>
        <v xml:space="preserve"> </v>
      </c>
      <c r="H28" s="97" t="str">
        <f>IF(Machine!B37&gt;0,Machine!D37," ")</f>
        <v xml:space="preserve"> 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>
        <f>IF(Trips!G31&gt;0,Trips!G31," ")</f>
        <v>5.2511779462830113</v>
      </c>
      <c r="C32" s="96">
        <f>IF(Trips!H31&gt;0,Trips!H31," ")</f>
        <v>0.26549530653977427</v>
      </c>
      <c r="D32" s="96">
        <f>IF(Trips!I31&gt;0,Trips!I31," ")</f>
        <v>1.0765058897878457</v>
      </c>
      <c r="E32" s="96">
        <f>IF(Trips!J31&gt;0,Trips!J31," ")</f>
        <v>2.2635383768685662</v>
      </c>
      <c r="F32" s="96">
        <f>IF(Trips!K31&gt;0,Trips!K31," ")</f>
        <v>8.8567175194791972</v>
      </c>
      <c r="G32" s="528">
        <f>IF(Machine!B41&gt;0,Machine!B41," ")</f>
        <v>1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 t="str">
        <f>IF(Trips!G33&gt;0,Trips!G33," ")</f>
        <v xml:space="preserve"> </v>
      </c>
      <c r="C34" s="96" t="str">
        <f>IF(Trips!H33&gt;0,Trips!H33," ")</f>
        <v xml:space="preserve"> </v>
      </c>
      <c r="D34" s="96" t="str">
        <f>IF(Trips!I33&gt;0,Trips!I33," ")</f>
        <v xml:space="preserve"> </v>
      </c>
      <c r="E34" s="96" t="str">
        <f>IF(Trips!J33&gt;0,Trips!J33," ")</f>
        <v xml:space="preserve"> </v>
      </c>
      <c r="F34" s="96" t="str">
        <f>IF(Trips!K33&gt;0,Trips!K33," ")</f>
        <v xml:space="preserve"> </v>
      </c>
      <c r="G34" s="528" t="str">
        <f>IF(Machine!B43&gt;0,Machine!B43," ")</f>
        <v xml:space="preserve"> 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0</v>
      </c>
      <c r="C37" s="96">
        <f>IF(Trips!H36&gt;0,Trips!C36," ")</f>
        <v>0</v>
      </c>
      <c r="D37" s="96">
        <f>IF(Trips!I36&gt;0,Trips!D36," ")</f>
        <v>0</v>
      </c>
      <c r="E37" s="96">
        <f>IF(Trips!J36&gt;0,Trips!E36," ")</f>
        <v>0</v>
      </c>
      <c r="F37" s="96">
        <f>IF(Trips!K36&gt;0,Trips!F36," ")</f>
        <v>0</v>
      </c>
      <c r="G37" s="121" t="str">
        <f>IF(Machine!B46&gt;0,"All"," ")</f>
        <v xml:space="preserve"> 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0</v>
      </c>
      <c r="C38" s="96">
        <f>IF(Trips!H37&gt;0,Trips!C37," ")</f>
        <v>0</v>
      </c>
      <c r="D38" s="96">
        <f>IF(Trips!I37&gt;0,Trips!D37," ")</f>
        <v>0</v>
      </c>
      <c r="E38" s="96">
        <f>IF(Trips!J37&gt;0,Trips!E37," ")</f>
        <v>0</v>
      </c>
      <c r="F38" s="96">
        <f>IF(Trips!K37&gt;0,Trips!F37," ")</f>
        <v>0</v>
      </c>
      <c r="G38" s="121" t="str">
        <f>IF(Machine!B47&gt;0,"All"," ")</f>
        <v xml:space="preserve"> 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34.0787421412223</v>
      </c>
      <c r="C60" s="96">
        <f>IF(Trips!H59&gt;0,Trips!H59," ")</f>
        <v>6.3781429796093763</v>
      </c>
      <c r="D60" s="96">
        <f>IF(Trips!I59&gt;0,Trips!I59," ")</f>
        <v>5.3931428571428572</v>
      </c>
      <c r="E60" s="96">
        <f>IF(Trips!J59&gt;0,Trips!J59," ")</f>
        <v>2.1723832653061232</v>
      </c>
      <c r="F60" s="96">
        <f>IF(Trips!K59&gt;0,Trips!K59," ")</f>
        <v>48.022411243280658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>
        <f>IF(Trips!G60&gt;0,Trips!G60," ")</f>
        <v>5.5932960874764195</v>
      </c>
      <c r="C61" s="96">
        <f>IF(Trips!H60&gt;0,Trips!H60," ")</f>
        <v>3.4251018477670359</v>
      </c>
      <c r="D61" s="118" t="str">
        <f>IF(Machine!B70&gt;0,"NA"," ")</f>
        <v>NA</v>
      </c>
      <c r="E61" s="118" t="str">
        <f>IF(Machine!B70&gt;0,"NA"," ")</f>
        <v>NA</v>
      </c>
      <c r="F61" s="96">
        <f>IF(Trips!K60&gt;0,Trips!K60," ")</f>
        <v>9.0183979352434562</v>
      </c>
      <c r="G61" s="528">
        <f>IF(Machine!B70&gt;0,Machine!B70," ")</f>
        <v>1</v>
      </c>
      <c r="H61" s="97">
        <f>IF(Machine!B70&gt;0,Machine!D70," ")</f>
        <v>25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 t="str">
        <f>IF(Trips!G62&gt;0,Trips!G62," ")</f>
        <v xml:space="preserve"> </v>
      </c>
      <c r="C63" s="96" t="str">
        <f>IF(Trips!H62&gt;0,Trips!H62," ")</f>
        <v xml:space="preserve"> </v>
      </c>
      <c r="D63" s="118" t="str">
        <f>IF(Machine!B72&gt;0,"NA"," ")</f>
        <v xml:space="preserve"> </v>
      </c>
      <c r="E63" s="118" t="str">
        <f>IF(Machine!B72&gt;0,"NA"," ")</f>
        <v xml:space="preserve"> </v>
      </c>
      <c r="F63" s="96" t="str">
        <f>IF(Trips!K62&gt;0,Trips!K62," ")</f>
        <v xml:space="preserve"> </v>
      </c>
      <c r="G63" s="528" t="str">
        <f>IF(Machine!B72&gt;0,Machine!B72," ")</f>
        <v xml:space="preserve"> </v>
      </c>
      <c r="H63" s="97" t="str">
        <f>IF(Machine!B72&gt;0,Machine!D72," ")</f>
        <v xml:space="preserve"> </v>
      </c>
    </row>
    <row r="64" spans="1:8" ht="13.9" x14ac:dyDescent="0.4">
      <c r="A64" s="91" t="str">
        <f>Machine!A73</f>
        <v>Wheat/Sorghum Head</v>
      </c>
      <c r="B64" s="96" t="str">
        <f>IF(Trips!G63&gt;0,Trips!G63," ")</f>
        <v xml:space="preserve"> </v>
      </c>
      <c r="C64" s="96" t="str">
        <f>IF(Trips!H63&gt;0,Trips!H63," ")</f>
        <v xml:space="preserve"> </v>
      </c>
      <c r="D64" s="118" t="str">
        <f>IF(Machine!B73&gt;0,"NA"," ")</f>
        <v xml:space="preserve"> </v>
      </c>
      <c r="E64" s="118" t="str">
        <f>IF(Machine!B73&gt;0,"NA"," ")</f>
        <v xml:space="preserve"> </v>
      </c>
      <c r="F64" s="96" t="str">
        <f>IF(Trips!K63&gt;0,Trips!K63," ")</f>
        <v xml:space="preserve"> </v>
      </c>
      <c r="G64" s="528" t="str">
        <f>IF(Machine!B73&gt;0,Machine!B73," ")</f>
        <v xml:space="preserve"> </v>
      </c>
      <c r="H64" s="97" t="str">
        <f>IF(Machine!B73&gt;0,Machine!D73," ")</f>
        <v xml:space="preserve"> 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12.796711720729991</v>
      </c>
      <c r="C65" s="96">
        <f>IF(Trips!H64&gt;0,Trips!H64," ")</f>
        <v>2.6666137513132151</v>
      </c>
      <c r="D65" s="96">
        <f>IF(Trips!I64&gt;0,Trips!I64," ")</f>
        <v>3.2358857142857151</v>
      </c>
      <c r="E65" s="96">
        <f>IF(Trips!J64&gt;0,Trips!J64," ")</f>
        <v>2.1723832653061232</v>
      </c>
      <c r="F65" s="96">
        <f>IF(Trips!K64&gt;0,Trips!K64," ")</f>
        <v>20.871594451635044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1. Machinery Capital Recovery and Operating Costs, Corn, Furrow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>
        <f>IF(Trips!G10&gt;0,Trips!G10," ")</f>
        <v>7.8838877630223569</v>
      </c>
      <c r="C6" s="96">
        <f>IF(Trips!H10&gt;0,Trips!H10," ")</f>
        <v>1.0494634514671393</v>
      </c>
      <c r="D6" s="96">
        <f>IF(Trips!I10&gt;0,Trips!I10," ")</f>
        <v>1.708859649122807</v>
      </c>
      <c r="E6" s="96">
        <f>IF(Trips!J10&gt;0,Trips!J10," ")</f>
        <v>0.91131140350877193</v>
      </c>
      <c r="F6" s="96">
        <f>IF(Trips!K10&gt;0,Trips!K10," ")</f>
        <v>11.553522267121076</v>
      </c>
      <c r="G6" s="528">
        <f>IF(Machine!B20&gt;0,Machine!B20," ")</f>
        <v>1</v>
      </c>
      <c r="H6" s="97">
        <f>IF(Machine!B20&gt;0,Machine!D20," ")</f>
        <v>38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>
        <f>IF(Trips!G25&gt;0,Trips!G25," ")</f>
        <v>8.3809010451777848</v>
      </c>
      <c r="C9" s="96">
        <f>IF(Trips!H25&gt;0,Trips!H25," ")</f>
        <v>2.2480540085864007</v>
      </c>
      <c r="D9" s="96">
        <f>IF(Trips!I25&gt;0,Trips!I25," ")</f>
        <v>1.3373684210526315</v>
      </c>
      <c r="E9" s="96">
        <f>IF(Trips!J25&gt;0,Trips!J25," ")</f>
        <v>0.93827327935222649</v>
      </c>
      <c r="F9" s="96">
        <f>IF(Trips!K25&gt;0,Trips!K25," ")</f>
        <v>12.904596754169045</v>
      </c>
      <c r="G9" s="528">
        <f>IF(Machine!B35&gt;0,Machine!B35," ")</f>
        <v>1</v>
      </c>
      <c r="H9" s="97">
        <f>IF(Machine!B35&gt;0,Machine!D35," ")</f>
        <v>38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>
        <f>IF(Trips!G31&gt;0,Trips!G31," ")</f>
        <v>5.2511779462830113</v>
      </c>
      <c r="C12" s="96">
        <f>IF(Trips!H31&gt;0,Trips!H31," ")</f>
        <v>0.26549530653977427</v>
      </c>
      <c r="D12" s="96">
        <f>IF(Trips!I31&gt;0,Trips!I31," ")</f>
        <v>1.0765058897878457</v>
      </c>
      <c r="E12" s="96">
        <f>IF(Trips!J31&gt;0,Trips!J31," ")</f>
        <v>2.2635383768685662</v>
      </c>
      <c r="F12" s="96">
        <f>IF(Trips!K31&gt;0,Trips!K31," ")</f>
        <v>8.8567175194791972</v>
      </c>
      <c r="G12" s="528">
        <f>IF(Machine!B41&gt;0,Machine!B41," ")</f>
        <v>1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B1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1</v>
      </c>
      <c r="T19" s="89">
        <f t="shared" ref="T19:T51" si="14">J19*O19*S19</f>
        <v>3.713745153309957</v>
      </c>
      <c r="U19" s="89">
        <f t="shared" si="6"/>
        <v>64.465190782457285</v>
      </c>
      <c r="V19" s="89">
        <f t="shared" ref="V19:V51" si="15">U19*O19*S19</f>
        <v>3.5550656681502177</v>
      </c>
      <c r="W19" s="1144">
        <f t="shared" si="7"/>
        <v>0.3438772403492647</v>
      </c>
      <c r="X19" s="1144">
        <f t="shared" si="2"/>
        <v>0.3438772403492647</v>
      </c>
      <c r="Y19" s="1144">
        <f t="shared" si="2"/>
        <v>0.31636706112132351</v>
      </c>
      <c r="Z19" s="1136">
        <f t="shared" si="8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0.81058502453239889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0.35320588235294115</v>
      </c>
      <c r="AG19" s="229">
        <f t="shared" ref="AG19:AG51" si="18">0.044*R19</f>
        <v>10.119999999999999</v>
      </c>
      <c r="AH19" s="89">
        <f t="shared" ref="AH19:AH51" si="19">AG19*O19*$AI$11*S19</f>
        <v>1.5626470588235291</v>
      </c>
      <c r="AI19" s="89">
        <f t="shared" ref="AI19:AI51" si="20">AH19*0.1</f>
        <v>0.15626470588235292</v>
      </c>
      <c r="AJ19" s="89">
        <f t="shared" si="10"/>
        <v>1.5626470588235291</v>
      </c>
      <c r="AK19" s="227">
        <f>EquipmentSpecs!L19</f>
        <v>1.04</v>
      </c>
      <c r="AL19" s="226">
        <f t="shared" ref="AL19:AL51" si="21">O19*S19*AK19</f>
        <v>5.7352941176470586E-2</v>
      </c>
      <c r="AM19" s="230">
        <f t="shared" ref="AM19:AM51" si="22">AL19*$AL$11</f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1</v>
      </c>
      <c r="T20" s="89">
        <f t="shared" si="14"/>
        <v>3.0385331311307446</v>
      </c>
      <c r="U20" s="89">
        <f t="shared" si="6"/>
        <v>64.465190782457285</v>
      </c>
      <c r="V20" s="89">
        <f t="shared" si="15"/>
        <v>3.8877033914859109</v>
      </c>
      <c r="W20" s="1144">
        <f t="shared" si="7"/>
        <v>0.3279627535635965</v>
      </c>
      <c r="X20" s="1144">
        <f t="shared" si="2"/>
        <v>0.3279627535635965</v>
      </c>
      <c r="Y20" s="1144">
        <f t="shared" si="2"/>
        <v>0.30172573327850877</v>
      </c>
      <c r="Z20" s="1136">
        <f t="shared" si="8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16"/>
        <v>0.66320906550222702</v>
      </c>
      <c r="AD20" s="84">
        <f t="shared" si="17"/>
        <v>3.0000000000000001E-3</v>
      </c>
      <c r="AE20" s="229">
        <v>2</v>
      </c>
      <c r="AF20" s="89">
        <f t="shared" si="9"/>
        <v>0.38625438596491224</v>
      </c>
      <c r="AG20" s="229">
        <f t="shared" si="18"/>
        <v>10.119999999999999</v>
      </c>
      <c r="AH20" s="89">
        <f t="shared" si="19"/>
        <v>1.708859649122807</v>
      </c>
      <c r="AI20" s="89">
        <f t="shared" si="20"/>
        <v>0.1708859649122807</v>
      </c>
      <c r="AJ20" s="89">
        <f t="shared" si="10"/>
        <v>1.708859649122807</v>
      </c>
      <c r="AK20" s="227">
        <f>EquipmentSpecs!L20</f>
        <v>1.04</v>
      </c>
      <c r="AL20" s="226">
        <f t="shared" si="21"/>
        <v>6.2719298245614036E-2</v>
      </c>
      <c r="AM20" s="230">
        <f t="shared" si="22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0</v>
      </c>
      <c r="T23" s="89">
        <f t="shared" si="14"/>
        <v>0</v>
      </c>
      <c r="U23" s="89">
        <f t="shared" si="6"/>
        <v>64.465190782457285</v>
      </c>
      <c r="V23" s="89">
        <f t="shared" si="15"/>
        <v>0</v>
      </c>
      <c r="W23" s="1144">
        <f t="shared" si="7"/>
        <v>0</v>
      </c>
      <c r="X23" s="1144">
        <f t="shared" si="2"/>
        <v>0</v>
      </c>
      <c r="Y23" s="1144">
        <f t="shared" si="2"/>
        <v>0</v>
      </c>
      <c r="Z23" s="1136">
        <f t="shared" si="8"/>
        <v>0</v>
      </c>
      <c r="AA23" s="227">
        <f>EquipmentSpecs!J23</f>
        <v>0.16</v>
      </c>
      <c r="AB23" s="228">
        <f>EquipmentSpecs!K23</f>
        <v>1.3</v>
      </c>
      <c r="AC23" s="89">
        <f t="shared" si="16"/>
        <v>0</v>
      </c>
      <c r="AD23" s="84">
        <f t="shared" si="17"/>
        <v>3.0000000000000001E-3</v>
      </c>
      <c r="AE23" s="229">
        <v>2</v>
      </c>
      <c r="AF23" s="89">
        <f t="shared" si="9"/>
        <v>0</v>
      </c>
      <c r="AG23" s="229">
        <f t="shared" si="18"/>
        <v>10.119999999999999</v>
      </c>
      <c r="AH23" s="89">
        <f t="shared" si="19"/>
        <v>0</v>
      </c>
      <c r="AI23" s="89">
        <f t="shared" si="20"/>
        <v>0</v>
      </c>
      <c r="AJ23" s="89">
        <f t="shared" si="10"/>
        <v>0</v>
      </c>
      <c r="AK23" s="227">
        <f>EquipmentSpecs!L23</f>
        <v>1.04</v>
      </c>
      <c r="AL23" s="226">
        <f t="shared" si="21"/>
        <v>0</v>
      </c>
      <c r="AM23" s="230">
        <f t="shared" si="22"/>
        <v>0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0</v>
      </c>
      <c r="T25" s="89">
        <f t="shared" si="14"/>
        <v>0</v>
      </c>
      <c r="U25" s="89">
        <f t="shared" si="6"/>
        <v>42.630206807754014</v>
      </c>
      <c r="V25" s="89">
        <f t="shared" si="15"/>
        <v>0</v>
      </c>
      <c r="W25" s="1144">
        <f t="shared" si="7"/>
        <v>0</v>
      </c>
      <c r="X25" s="1144">
        <f t="shared" si="2"/>
        <v>0</v>
      </c>
      <c r="Y25" s="1144">
        <f t="shared" si="2"/>
        <v>0</v>
      </c>
      <c r="Z25" s="1136">
        <f t="shared" si="8"/>
        <v>0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0</v>
      </c>
      <c r="AD25" s="84">
        <f t="shared" si="17"/>
        <v>3.0000000000000001E-3</v>
      </c>
      <c r="AE25" s="229">
        <v>2</v>
      </c>
      <c r="AF25" s="89">
        <f t="shared" si="9"/>
        <v>0</v>
      </c>
      <c r="AG25" s="229">
        <f t="shared" si="18"/>
        <v>7.6999999999999993</v>
      </c>
      <c r="AH25" s="89">
        <f t="shared" si="19"/>
        <v>0</v>
      </c>
      <c r="AI25" s="89">
        <f t="shared" si="20"/>
        <v>0</v>
      </c>
      <c r="AJ25" s="89">
        <f t="shared" si="10"/>
        <v>0</v>
      </c>
      <c r="AK25" s="227">
        <f>EquipmentSpecs!L25</f>
        <v>1.04</v>
      </c>
      <c r="AL25" s="226">
        <f t="shared" si="21"/>
        <v>0</v>
      </c>
      <c r="AM25" s="230">
        <f t="shared" si="22"/>
        <v>0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1</v>
      </c>
      <c r="T28" s="89">
        <f t="shared" si="14"/>
        <v>1.961071022940255</v>
      </c>
      <c r="U28" s="89">
        <f t="shared" si="6"/>
        <v>64.465190782457285</v>
      </c>
      <c r="V28" s="89">
        <f t="shared" si="15"/>
        <v>2.1282025768518311</v>
      </c>
      <c r="W28" s="1144">
        <f t="shared" si="7"/>
        <v>0.1935326943277311</v>
      </c>
      <c r="X28" s="1144">
        <f t="shared" si="2"/>
        <v>0.1935326943277311</v>
      </c>
      <c r="Y28" s="1144">
        <f t="shared" si="2"/>
        <v>0.17805007878151261</v>
      </c>
      <c r="Z28" s="1136">
        <f t="shared" si="8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16"/>
        <v>0.59622209826917738</v>
      </c>
      <c r="AD28" s="84">
        <f t="shared" si="17"/>
        <v>3.0000000000000001E-3</v>
      </c>
      <c r="AE28" s="229">
        <v>2</v>
      </c>
      <c r="AF28" s="89">
        <f t="shared" si="9"/>
        <v>0.21144297719087632</v>
      </c>
      <c r="AG28" s="229">
        <f t="shared" si="18"/>
        <v>10.119999999999999</v>
      </c>
      <c r="AH28" s="89">
        <f t="shared" si="19"/>
        <v>0.93546218487394939</v>
      </c>
      <c r="AI28" s="89">
        <f t="shared" si="20"/>
        <v>9.3546218487394944E-2</v>
      </c>
      <c r="AJ28" s="89">
        <f t="shared" si="10"/>
        <v>0.93546218487394939</v>
      </c>
      <c r="AK28" s="227">
        <f>EquipmentSpecs!L28</f>
        <v>1.04</v>
      </c>
      <c r="AL28" s="226">
        <f t="shared" si="21"/>
        <v>3.4333733493397356E-2</v>
      </c>
      <c r="AM28" s="230">
        <f t="shared" si="22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1</v>
      </c>
      <c r="T29" s="89">
        <f>J29*O29*S29</f>
        <v>1.4390384812247883</v>
      </c>
      <c r="U29" s="89">
        <f t="shared" si="6"/>
        <v>64.465190782457285</v>
      </c>
      <c r="V29" s="89">
        <f>U29*O29*S29</f>
        <v>2.4992378945266567</v>
      </c>
      <c r="W29" s="1144">
        <f t="shared" si="7"/>
        <v>0.18664914238721803</v>
      </c>
      <c r="X29" s="1144">
        <f t="shared" si="2"/>
        <v>0.18664914238721803</v>
      </c>
      <c r="Y29" s="1144">
        <f t="shared" si="2"/>
        <v>0.17171721099624057</v>
      </c>
      <c r="Z29" s="1136">
        <f t="shared" si="8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0.17822764392840851</v>
      </c>
      <c r="AD29" s="84">
        <f>IF(Q29=4,0.003,0.007)</f>
        <v>3.0000000000000001E-3</v>
      </c>
      <c r="AE29" s="229">
        <v>2</v>
      </c>
      <c r="AF29" s="89">
        <f t="shared" si="9"/>
        <v>0.24830639097744356</v>
      </c>
      <c r="AG29" s="229">
        <f>0.044*R29</f>
        <v>10.119999999999999</v>
      </c>
      <c r="AH29" s="89">
        <f>AG29*O29*$AI$11*S29</f>
        <v>1.0985526315789471</v>
      </c>
      <c r="AI29" s="89">
        <f>AH29*0.1</f>
        <v>0.10985526315789472</v>
      </c>
      <c r="AJ29" s="89">
        <f t="shared" si="10"/>
        <v>1.0985526315789471</v>
      </c>
      <c r="AK29" s="227">
        <f>EquipmentSpecs!L29</f>
        <v>1.04</v>
      </c>
      <c r="AL29" s="226">
        <f>O29*S29*AK29</f>
        <v>4.0319548872180443E-2</v>
      </c>
      <c r="AM29" s="230">
        <f>AL29*$AL$11</f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0</v>
      </c>
      <c r="T32" s="89">
        <f t="shared" si="14"/>
        <v>0</v>
      </c>
      <c r="U32" s="89">
        <f t="shared" si="6"/>
        <v>53.547698795105653</v>
      </c>
      <c r="V32" s="89">
        <f t="shared" si="15"/>
        <v>0</v>
      </c>
      <c r="W32" s="1144">
        <f t="shared" si="7"/>
        <v>0</v>
      </c>
      <c r="X32" s="1144">
        <f t="shared" si="7"/>
        <v>0</v>
      </c>
      <c r="Y32" s="1144">
        <f t="shared" si="7"/>
        <v>0</v>
      </c>
      <c r="Z32" s="1136">
        <f t="shared" si="8"/>
        <v>0</v>
      </c>
      <c r="AA32" s="227">
        <f>EquipmentSpecs!J32</f>
        <v>0.16</v>
      </c>
      <c r="AB32" s="228">
        <f>EquipmentSpecs!K32</f>
        <v>1.3</v>
      </c>
      <c r="AC32" s="89">
        <f t="shared" si="16"/>
        <v>0</v>
      </c>
      <c r="AD32" s="84">
        <f t="shared" si="17"/>
        <v>3.0000000000000001E-3</v>
      </c>
      <c r="AE32" s="229">
        <v>2</v>
      </c>
      <c r="AF32" s="89">
        <f t="shared" si="9"/>
        <v>0</v>
      </c>
      <c r="AG32" s="229">
        <f t="shared" si="18"/>
        <v>8.58</v>
      </c>
      <c r="AH32" s="89">
        <f t="shared" si="19"/>
        <v>0</v>
      </c>
      <c r="AI32" s="89">
        <f t="shared" si="20"/>
        <v>0</v>
      </c>
      <c r="AJ32" s="89">
        <f t="shared" si="10"/>
        <v>0</v>
      </c>
      <c r="AK32" s="227">
        <f>EquipmentSpecs!L32</f>
        <v>1.04</v>
      </c>
      <c r="AL32" s="226">
        <f t="shared" si="21"/>
        <v>0</v>
      </c>
      <c r="AM32" s="230">
        <f t="shared" si="22"/>
        <v>0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1</v>
      </c>
      <c r="T35" s="89">
        <f t="shared" si="14"/>
        <v>4.3226163766749401</v>
      </c>
      <c r="U35" s="89">
        <f t="shared" si="6"/>
        <v>53.547698795105653</v>
      </c>
      <c r="V35" s="89">
        <f t="shared" si="15"/>
        <v>2.9808941636951527</v>
      </c>
      <c r="W35" s="1144">
        <f t="shared" si="7"/>
        <v>0.36896935096153849</v>
      </c>
      <c r="X35" s="1144">
        <f t="shared" si="7"/>
        <v>0.36896935096153849</v>
      </c>
      <c r="Y35" s="1144">
        <f t="shared" si="7"/>
        <v>0.33945180288461541</v>
      </c>
      <c r="Z35" s="1136">
        <f t="shared" si="8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16"/>
        <v>1.9491835632422709</v>
      </c>
      <c r="AD35" s="84">
        <f t="shared" si="17"/>
        <v>3.0000000000000001E-3</v>
      </c>
      <c r="AE35" s="229">
        <v>2</v>
      </c>
      <c r="AF35" s="89">
        <f t="shared" si="9"/>
        <v>0.29887044534412954</v>
      </c>
      <c r="AG35" s="229">
        <f t="shared" si="18"/>
        <v>8.58</v>
      </c>
      <c r="AH35" s="89">
        <f t="shared" si="19"/>
        <v>1.3373684210526315</v>
      </c>
      <c r="AI35" s="89">
        <f t="shared" si="20"/>
        <v>0.13373684210526315</v>
      </c>
      <c r="AJ35" s="89">
        <f t="shared" si="10"/>
        <v>1.3373684210526315</v>
      </c>
      <c r="AK35" s="227">
        <f>EquipmentSpecs!L35</f>
        <v>1.1599999999999999</v>
      </c>
      <c r="AL35" s="226">
        <f t="shared" si="21"/>
        <v>6.4574898785425092E-2</v>
      </c>
      <c r="AM35" s="230">
        <f t="shared" si="22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0</v>
      </c>
      <c r="T37" s="89">
        <f t="shared" si="14"/>
        <v>0</v>
      </c>
      <c r="U37" s="89">
        <f t="shared" si="6"/>
        <v>64.465190782457285</v>
      </c>
      <c r="V37" s="89">
        <f t="shared" si="15"/>
        <v>0</v>
      </c>
      <c r="W37" s="1144">
        <f t="shared" si="7"/>
        <v>0</v>
      </c>
      <c r="X37" s="1144">
        <f t="shared" si="7"/>
        <v>0</v>
      </c>
      <c r="Y37" s="1144">
        <f t="shared" si="7"/>
        <v>0</v>
      </c>
      <c r="Z37" s="1136">
        <f t="shared" si="8"/>
        <v>0</v>
      </c>
      <c r="AA37" s="227">
        <f>EquipmentSpecs!J37</f>
        <v>0.32</v>
      </c>
      <c r="AB37" s="228">
        <f>EquipmentSpecs!K37</f>
        <v>2.1</v>
      </c>
      <c r="AC37" s="89">
        <f t="shared" si="16"/>
        <v>0</v>
      </c>
      <c r="AD37" s="84">
        <f t="shared" si="17"/>
        <v>3.0000000000000001E-3</v>
      </c>
      <c r="AE37" s="229">
        <v>2</v>
      </c>
      <c r="AF37" s="89">
        <f t="shared" si="9"/>
        <v>0</v>
      </c>
      <c r="AG37" s="229">
        <f t="shared" si="18"/>
        <v>10.119999999999999</v>
      </c>
      <c r="AH37" s="89">
        <f t="shared" si="19"/>
        <v>0</v>
      </c>
      <c r="AI37" s="89">
        <f t="shared" si="20"/>
        <v>0</v>
      </c>
      <c r="AJ37" s="89">
        <f t="shared" si="10"/>
        <v>0</v>
      </c>
      <c r="AK37" s="227">
        <f>EquipmentSpecs!L37</f>
        <v>1.1100000000000001</v>
      </c>
      <c r="AL37" s="226">
        <f t="shared" si="21"/>
        <v>0</v>
      </c>
      <c r="AM37" s="230">
        <f t="shared" si="22"/>
        <v>0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1</v>
      </c>
      <c r="T41" s="89">
        <f t="shared" si="14"/>
        <v>2.4665324869493652</v>
      </c>
      <c r="U41" s="89">
        <f t="shared" si="6"/>
        <v>42.630206807754014</v>
      </c>
      <c r="V41" s="89">
        <f t="shared" si="15"/>
        <v>2.12855606268187</v>
      </c>
      <c r="W41" s="1144">
        <f t="shared" si="7"/>
        <v>0.22468814953827954</v>
      </c>
      <c r="X41" s="1144">
        <f t="shared" si="7"/>
        <v>0.22468814953827954</v>
      </c>
      <c r="Y41" s="1144">
        <f t="shared" si="7"/>
        <v>0.20671309757521716</v>
      </c>
      <c r="Z41" s="1136">
        <f t="shared" si="8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16"/>
        <v>3.9928376683300543E-2</v>
      </c>
      <c r="AD41" s="84">
        <f t="shared" si="17"/>
        <v>3.0000000000000001E-3</v>
      </c>
      <c r="AE41" s="229">
        <v>2</v>
      </c>
      <c r="AF41" s="89">
        <f t="shared" si="9"/>
        <v>0.2255669298564737</v>
      </c>
      <c r="AG41" s="229">
        <f t="shared" si="18"/>
        <v>7.6999999999999993</v>
      </c>
      <c r="AH41" s="89">
        <f t="shared" si="19"/>
        <v>1.0765058897878457</v>
      </c>
      <c r="AI41" s="89">
        <f t="shared" si="20"/>
        <v>0.10765058897878457</v>
      </c>
      <c r="AJ41" s="89">
        <f t="shared" si="10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22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0</v>
      </c>
      <c r="T43" s="89">
        <f t="shared" si="14"/>
        <v>0</v>
      </c>
      <c r="U43" s="89">
        <f t="shared" ref="U43:U51" si="24">(((P43-(AQ43*P43))*AS43)+(AR43*(AQ43*P43)))/AO43</f>
        <v>42.630206807754014</v>
      </c>
      <c r="V43" s="89">
        <f t="shared" si="15"/>
        <v>0</v>
      </c>
      <c r="W43" s="1144">
        <f t="shared" si="7"/>
        <v>0</v>
      </c>
      <c r="X43" s="1144">
        <f t="shared" si="7"/>
        <v>0</v>
      </c>
      <c r="Y43" s="1144">
        <f t="shared" si="7"/>
        <v>0</v>
      </c>
      <c r="Z43" s="1136">
        <f t="shared" si="8"/>
        <v>0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0</v>
      </c>
      <c r="AD43" s="84">
        <f t="shared" si="17"/>
        <v>3.0000000000000001E-3</v>
      </c>
      <c r="AE43" s="229">
        <v>2</v>
      </c>
      <c r="AF43" s="89">
        <f t="shared" si="9"/>
        <v>0</v>
      </c>
      <c r="AG43" s="229">
        <f t="shared" si="18"/>
        <v>7.6999999999999993</v>
      </c>
      <c r="AH43" s="89">
        <f t="shared" si="19"/>
        <v>0</v>
      </c>
      <c r="AI43" s="89">
        <f t="shared" si="20"/>
        <v>0</v>
      </c>
      <c r="AJ43" s="89">
        <f t="shared" si="10"/>
        <v>0</v>
      </c>
      <c r="AK43" s="227">
        <f>EquipmentSpecs!L43</f>
        <v>1.04</v>
      </c>
      <c r="AL43" s="226">
        <f t="shared" si="21"/>
        <v>0</v>
      </c>
      <c r="AM43" s="230">
        <f t="shared" si="22"/>
        <v>0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0</v>
      </c>
      <c r="T46" s="89">
        <f t="shared" si="14"/>
        <v>0</v>
      </c>
      <c r="U46" s="89">
        <f t="shared" si="24"/>
        <v>42.630206807754014</v>
      </c>
      <c r="V46" s="89">
        <f t="shared" si="15"/>
        <v>0</v>
      </c>
      <c r="W46" s="1144">
        <f t="shared" si="7"/>
        <v>0</v>
      </c>
      <c r="X46" s="1144">
        <f t="shared" si="7"/>
        <v>0</v>
      </c>
      <c r="Y46" s="1144">
        <f t="shared" si="7"/>
        <v>0</v>
      </c>
      <c r="Z46" s="1136">
        <f t="shared" si="8"/>
        <v>0</v>
      </c>
      <c r="AA46" s="227">
        <f>EquipmentSpecs!J46</f>
        <v>0.18</v>
      </c>
      <c r="AB46" s="228">
        <f>EquipmentSpecs!K46</f>
        <v>1.7</v>
      </c>
      <c r="AC46" s="89">
        <f t="shared" si="16"/>
        <v>0</v>
      </c>
      <c r="AD46" s="84">
        <f t="shared" si="17"/>
        <v>3.0000000000000001E-3</v>
      </c>
      <c r="AE46" s="229">
        <v>2</v>
      </c>
      <c r="AF46" s="89">
        <f t="shared" si="9"/>
        <v>0</v>
      </c>
      <c r="AG46" s="229">
        <f t="shared" si="18"/>
        <v>7.6999999999999993</v>
      </c>
      <c r="AH46" s="89">
        <f t="shared" si="19"/>
        <v>0</v>
      </c>
      <c r="AI46" s="89">
        <f t="shared" si="20"/>
        <v>0</v>
      </c>
      <c r="AJ46" s="89">
        <f t="shared" si="10"/>
        <v>0</v>
      </c>
      <c r="AK46" s="227">
        <f>EquipmentSpecs!L46</f>
        <v>3.12</v>
      </c>
      <c r="AL46" s="226">
        <f>O46*S46*AK46</f>
        <v>0</v>
      </c>
      <c r="AM46" s="230">
        <f t="shared" si="22"/>
        <v>0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0</v>
      </c>
      <c r="T47" s="89">
        <f t="shared" si="14"/>
        <v>0</v>
      </c>
      <c r="U47" s="89">
        <f t="shared" si="24"/>
        <v>42.630206807754014</v>
      </c>
      <c r="V47" s="89">
        <f t="shared" si="15"/>
        <v>0</v>
      </c>
      <c r="W47" s="1144">
        <f t="shared" si="7"/>
        <v>0</v>
      </c>
      <c r="X47" s="1144">
        <f t="shared" si="7"/>
        <v>0</v>
      </c>
      <c r="Y47" s="1144">
        <f t="shared" si="7"/>
        <v>0</v>
      </c>
      <c r="Z47" s="1136">
        <f t="shared" si="8"/>
        <v>0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0</v>
      </c>
      <c r="AD47" s="84">
        <f t="shared" si="17"/>
        <v>3.0000000000000001E-3</v>
      </c>
      <c r="AE47" s="229">
        <v>2</v>
      </c>
      <c r="AF47" s="89">
        <f t="shared" si="9"/>
        <v>0</v>
      </c>
      <c r="AG47" s="229">
        <f t="shared" si="18"/>
        <v>7.6999999999999993</v>
      </c>
      <c r="AH47" s="89">
        <f t="shared" si="19"/>
        <v>0</v>
      </c>
      <c r="AI47" s="89">
        <f t="shared" si="20"/>
        <v>0</v>
      </c>
      <c r="AJ47" s="89">
        <f t="shared" si="10"/>
        <v>0</v>
      </c>
      <c r="AK47" s="227">
        <f>EquipmentSpecs!L47</f>
        <v>1.04</v>
      </c>
      <c r="AL47" s="226">
        <f t="shared" si="21"/>
        <v>0</v>
      </c>
      <c r="AM47" s="230">
        <f t="shared" si="22"/>
        <v>0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16.941536652230049</v>
      </c>
      <c r="U56" s="17"/>
      <c r="V56" s="257">
        <f>SUM(V14:V54)</f>
        <v>17.17965975739164</v>
      </c>
      <c r="W56" s="1147"/>
      <c r="X56" s="1147">
        <f>Z56-(T56+V56)</f>
        <v>4.8053836468926789</v>
      </c>
      <c r="Y56" s="1148">
        <f>(Z56-(T56+V56))/(T56+V56)</f>
        <v>0.1408328005033736</v>
      </c>
      <c r="Z56" s="257">
        <f>SUM(Z14:Z54)</f>
        <v>38.926580056514368</v>
      </c>
      <c r="AA56" s="17"/>
      <c r="AB56" s="17"/>
      <c r="AC56" s="257">
        <f>SUM(AC14:AC54)</f>
        <v>4.237355772157783</v>
      </c>
      <c r="AD56" s="258"/>
      <c r="AE56" s="17"/>
      <c r="AF56" s="257">
        <f>SUM(AF14:AF54)</f>
        <v>1.7236470116867766</v>
      </c>
      <c r="AG56" s="17"/>
      <c r="AH56" s="257">
        <f>SUM(AH14:AH54)</f>
        <v>7.719395835239709</v>
      </c>
      <c r="AI56" s="257">
        <f>SUM(AI14:AI54)</f>
        <v>0.77193958352397096</v>
      </c>
      <c r="AJ56" s="257"/>
      <c r="AK56" s="17"/>
      <c r="AL56" s="259">
        <f>SUM(AL14:AL54)</f>
        <v>0.41508420425296133</v>
      </c>
      <c r="AM56" s="260">
        <f>SUM(AM14:AM54)</f>
        <v>6.0311734877955274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25</v>
      </c>
      <c r="L69" s="336">
        <f>Machine!E69</f>
        <v>3.5</v>
      </c>
      <c r="M69" s="224">
        <f>EquipmentSpecs!C69</f>
        <v>0.7</v>
      </c>
      <c r="N69" s="89">
        <f t="shared" si="31"/>
        <v>7.424242424242423</v>
      </c>
      <c r="O69" s="226">
        <f t="shared" si="32"/>
        <v>0.13469387755102044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30.268598912650873</v>
      </c>
      <c r="U69" s="269"/>
      <c r="V69" s="269"/>
      <c r="W69" s="1144">
        <f t="shared" si="34"/>
        <v>1.3048435714285715</v>
      </c>
      <c r="X69" s="1144">
        <f t="shared" si="34"/>
        <v>1.3048435714285715</v>
      </c>
      <c r="Y69" s="1144">
        <f t="shared" si="34"/>
        <v>1.2004560857142861</v>
      </c>
      <c r="Z69" s="1136">
        <f t="shared" si="35"/>
        <v>34.0787421412223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6.3781429796093763</v>
      </c>
      <c r="AD69" s="271"/>
      <c r="AE69" s="272"/>
      <c r="AF69" s="269"/>
      <c r="AG69" s="229">
        <f t="shared" si="36"/>
        <v>14.299999999999999</v>
      </c>
      <c r="AH69" s="89">
        <f t="shared" si="37"/>
        <v>5.3931428571428572</v>
      </c>
      <c r="AI69" s="89">
        <f t="shared" si="38"/>
        <v>0.53931428571428575</v>
      </c>
      <c r="AJ69" s="89">
        <f t="shared" si="39"/>
        <v>5.3931428571428572</v>
      </c>
      <c r="AK69" s="227">
        <f>EquipmentSpecs!L69</f>
        <v>1.1100000000000001</v>
      </c>
      <c r="AL69" s="226">
        <f t="shared" si="40"/>
        <v>0.14951020408163271</v>
      </c>
      <c r="AM69" s="230">
        <f t="shared" si="41"/>
        <v>2.1723832653061232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1</v>
      </c>
      <c r="T70" s="89">
        <f t="shared" si="33"/>
        <v>4.9679426303335621</v>
      </c>
      <c r="U70" s="269"/>
      <c r="V70" s="269"/>
      <c r="W70" s="1144">
        <f t="shared" si="34"/>
        <v>0.21416214285714291</v>
      </c>
      <c r="X70" s="1144">
        <f t="shared" si="34"/>
        <v>0.21416214285714291</v>
      </c>
      <c r="Y70" s="1144">
        <f t="shared" si="34"/>
        <v>0.19702917142857146</v>
      </c>
      <c r="Z70" s="1136">
        <f t="shared" si="35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0</v>
      </c>
      <c r="T72" s="89">
        <f t="shared" si="33"/>
        <v>0</v>
      </c>
      <c r="U72" s="269"/>
      <c r="V72" s="269"/>
      <c r="W72" s="1144">
        <f t="shared" si="34"/>
        <v>0</v>
      </c>
      <c r="X72" s="1144">
        <f t="shared" si="34"/>
        <v>0</v>
      </c>
      <c r="Y72" s="1144">
        <f t="shared" si="34"/>
        <v>0</v>
      </c>
      <c r="Z72" s="1136">
        <f t="shared" si="35"/>
        <v>0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0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0</v>
      </c>
      <c r="T73" s="89">
        <f t="shared" si="33"/>
        <v>0</v>
      </c>
      <c r="U73" s="269"/>
      <c r="V73" s="269"/>
      <c r="W73" s="1144">
        <f t="shared" si="34"/>
        <v>0</v>
      </c>
      <c r="X73" s="1144">
        <f t="shared" si="34"/>
        <v>0</v>
      </c>
      <c r="Y73" s="1144">
        <f t="shared" si="34"/>
        <v>0</v>
      </c>
      <c r="Z73" s="1136">
        <f t="shared" si="35"/>
        <v>0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0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25</v>
      </c>
      <c r="L74" s="337">
        <f>Machine!E74</f>
        <v>3.5</v>
      </c>
      <c r="M74" s="233">
        <f>EquipmentSpecs!C74</f>
        <v>0.7</v>
      </c>
      <c r="N74" s="235">
        <f t="shared" si="31"/>
        <v>7.424242424242423</v>
      </c>
      <c r="O74" s="236">
        <f t="shared" si="32"/>
        <v>0.13469387755102044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3.9977315156749418</v>
      </c>
      <c r="U74" s="235">
        <f>(((P74-(AQ74*P74))*AS74)+(AR74*(AQ74*P74)))/AO74</f>
        <v>53.547698795105653</v>
      </c>
      <c r="V74" s="235">
        <f>U74*O74*S74</f>
        <v>7.212547184646886</v>
      </c>
      <c r="W74" s="1146">
        <f t="shared" si="34"/>
        <v>0.54329897959183682</v>
      </c>
      <c r="X74" s="1146">
        <f t="shared" si="34"/>
        <v>0.54329897959183682</v>
      </c>
      <c r="Y74" s="1146">
        <f t="shared" si="34"/>
        <v>0.49983506122448995</v>
      </c>
      <c r="Z74" s="1139">
        <f t="shared" si="35"/>
        <v>12.796711720729991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1.9434692615172968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0.7231444897959185</v>
      </c>
      <c r="AG74" s="240">
        <f>0.044*R74</f>
        <v>8.58</v>
      </c>
      <c r="AH74" s="235">
        <f t="shared" ref="AH74:AH81" si="42">AG74*O74*$AJ$11*S74</f>
        <v>3.2358857142857151</v>
      </c>
      <c r="AI74" s="235">
        <f>AH74*0.1</f>
        <v>0.32358857142857156</v>
      </c>
      <c r="AJ74" s="235">
        <f>AH74</f>
        <v>3.2358857142857151</v>
      </c>
      <c r="AK74" s="459">
        <f>EquipmentSpecs!L74</f>
        <v>1.1100000000000001</v>
      </c>
      <c r="AL74" s="236">
        <f t="shared" si="40"/>
        <v>0.14951020408163271</v>
      </c>
      <c r="AM74" s="241">
        <f t="shared" si="41"/>
        <v>2.1723832653061232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39.234273058659376</v>
      </c>
      <c r="U83" s="17"/>
      <c r="V83" s="257">
        <f>SUM(V64:V81)</f>
        <v>7.212547184646886</v>
      </c>
      <c r="W83" s="1147"/>
      <c r="X83" s="1147">
        <f>Z83-(T83+V83)</f>
        <v>6.0219297061224495</v>
      </c>
      <c r="Y83" s="1148">
        <f>(Z83-(T83+V83))/(T83+V83)</f>
        <v>0.12965214140768455</v>
      </c>
      <c r="Z83" s="257">
        <f>SUM(Z64:Z81)</f>
        <v>52.468749949428712</v>
      </c>
      <c r="AA83" s="17"/>
      <c r="AB83" s="17"/>
      <c r="AC83" s="257">
        <f>SUM(AC64:AC81)</f>
        <v>11.746714088893709</v>
      </c>
      <c r="AD83" s="258"/>
      <c r="AE83" s="17"/>
      <c r="AF83" s="257">
        <f>SUM(AF64:AF81)</f>
        <v>0.7231444897959185</v>
      </c>
      <c r="AG83" s="17"/>
      <c r="AH83" s="257">
        <f>SUM(AH64:AH81)</f>
        <v>8.6290285714285719</v>
      </c>
      <c r="AI83" s="257">
        <f>SUM(AI64:AI81)</f>
        <v>0.8629028571428573</v>
      </c>
      <c r="AJ83" s="257"/>
      <c r="AK83" s="17"/>
      <c r="AL83" s="259">
        <f>SUM(AL64:AL81)</f>
        <v>0.29902040816326542</v>
      </c>
      <c r="AM83" s="257">
        <f>SUM(AM64:AM81)</f>
        <v>4.3447665306122465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zoomScaleNormal="100" workbookViewId="0">
      <selection activeCell="F10" sqref="F10:G10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1215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Zinc Sulfate 33%</v>
      </c>
      <c r="D10" s="553" t="s">
        <v>5</v>
      </c>
      <c r="E10" s="1314">
        <f>IF(OR(A2_Budget_Look_Up!B8=1,A2_Budget_Look_Up!B10=1),G10,F10)</f>
        <v>1.726</v>
      </c>
      <c r="F10" s="1901">
        <f>36/50</f>
        <v>0.72</v>
      </c>
      <c r="G10" s="1901">
        <f>86.3/50</f>
        <v>1.726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Other Nutrients, Including Poultry Litter</v>
      </c>
      <c r="D11" s="1898" t="str">
        <f>IF(A2_Budget_Look_Up!B10&gt;0,"Qts","Lbs")</f>
        <v>Lbs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1231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215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808.7984854201361</v>
      </c>
      <c r="C4" s="121">
        <f>SummaryReport_Verification!B32</f>
        <v>3.7618534205587726</v>
      </c>
      <c r="D4" s="121">
        <f>SummaryReport_Verification!B28</f>
        <v>147.9515145798639</v>
      </c>
      <c r="E4" s="121">
        <f>SummaryReport_Verification!B29</f>
        <v>127.57671923742087</v>
      </c>
      <c r="F4" s="121">
        <f>SummaryReport_Verification!B30</f>
        <v>936.37520465755699</v>
      </c>
      <c r="G4" s="121">
        <f>SummaryReport_Verification!B31</f>
        <v>20.374795342443008</v>
      </c>
      <c r="H4" s="121">
        <f>SummaryReport_Verification!B33</f>
        <v>4.3552335100351485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808.7984854201361</v>
      </c>
      <c r="C9" s="122">
        <f t="shared" si="0"/>
        <v>3.7618534205587726</v>
      </c>
      <c r="D9" s="122">
        <f t="shared" si="0"/>
        <v>147.9515145798639</v>
      </c>
      <c r="E9" s="122">
        <f t="shared" si="0"/>
        <v>127.57671923742087</v>
      </c>
      <c r="F9" s="122">
        <f t="shared" si="0"/>
        <v>936.37520465755699</v>
      </c>
      <c r="G9" s="122">
        <f t="shared" si="0"/>
        <v>20.374795342443008</v>
      </c>
      <c r="H9" s="122">
        <f t="shared" si="0"/>
        <v>4.3552335100351485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215</v>
      </c>
      <c r="C4" s="113"/>
      <c r="D4" s="113"/>
      <c r="E4" s="113"/>
      <c r="F4" s="113"/>
      <c r="G4" s="163">
        <f>AVERAGE(B4:F4)</f>
        <v>215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4.45</v>
      </c>
      <c r="C5" s="96"/>
      <c r="D5" s="96"/>
      <c r="E5" s="96"/>
      <c r="F5" s="96"/>
      <c r="G5" s="96">
        <f>AVERAGE(B5:F5)</f>
        <v>4.45</v>
      </c>
    </row>
    <row r="6" spans="1:8" ht="13.5" x14ac:dyDescent="0.35">
      <c r="A6" s="107" t="s">
        <v>231</v>
      </c>
      <c r="B6" s="114">
        <f>Budget!F3</f>
        <v>956.75</v>
      </c>
      <c r="C6" s="114"/>
      <c r="D6" s="114"/>
      <c r="E6" s="114"/>
      <c r="F6" s="114"/>
      <c r="G6" s="114">
        <f>AVERAGE(B6:F6)</f>
        <v>956.75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134.08000000000001</v>
      </c>
      <c r="C9" s="96"/>
      <c r="D9" s="96"/>
      <c r="E9" s="96"/>
      <c r="F9" s="96"/>
      <c r="G9" s="96">
        <f t="shared" ref="G9:G28" si="0">AVERAGE(B9:F9)</f>
        <v>134.08000000000001</v>
      </c>
      <c r="H9" s="1899">
        <f>G9/G$23</f>
        <v>0.19677536413454708</v>
      </c>
    </row>
    <row r="10" spans="1:8" ht="13.9" x14ac:dyDescent="0.4">
      <c r="A10" s="91" t="s">
        <v>224</v>
      </c>
      <c r="B10" s="96">
        <f>SUM(Budget!F7:F13)</f>
        <v>280.94150000000002</v>
      </c>
      <c r="C10" s="96"/>
      <c r="D10" s="96"/>
      <c r="E10" s="96"/>
      <c r="F10" s="96"/>
      <c r="G10" s="96">
        <f t="shared" si="0"/>
        <v>280.94150000000002</v>
      </c>
      <c r="H10" s="1899">
        <f>G10/G$23</f>
        <v>0.41230881535654723</v>
      </c>
    </row>
    <row r="11" spans="1:8" ht="13.9" x14ac:dyDescent="0.4">
      <c r="A11" s="91" t="str">
        <f>Budget!A14</f>
        <v>Herbicide</v>
      </c>
      <c r="B11" s="96">
        <f>Budget!F14</f>
        <v>61.790156249999995</v>
      </c>
      <c r="C11" s="96"/>
      <c r="D11" s="96"/>
      <c r="E11" s="96"/>
      <c r="F11" s="96"/>
      <c r="G11" s="96">
        <f t="shared" si="0"/>
        <v>61.790156249999995</v>
      </c>
      <c r="H11" s="1899">
        <f>SUM(G11:G14)/$G$23</f>
        <v>9.0683028759131173E-2</v>
      </c>
    </row>
    <row r="12" spans="1:8" ht="15" customHeight="1" x14ac:dyDescent="0.4">
      <c r="A12" s="91" t="str">
        <f>Budget!A15</f>
        <v>Insecticide</v>
      </c>
      <c r="B12" s="96">
        <f>Budget!F15</f>
        <v>0</v>
      </c>
      <c r="C12" s="96"/>
      <c r="D12" s="96"/>
      <c r="E12" s="96"/>
      <c r="F12" s="96"/>
      <c r="G12" s="96">
        <f t="shared" si="0"/>
        <v>0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0</v>
      </c>
      <c r="C13" s="96"/>
      <c r="D13" s="96"/>
      <c r="E13" s="96"/>
      <c r="F13" s="96"/>
      <c r="G13" s="96">
        <f t="shared" si="0"/>
        <v>0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52.5</v>
      </c>
      <c r="C15" s="96"/>
      <c r="D15" s="96"/>
      <c r="E15" s="96"/>
      <c r="F15" s="96"/>
      <c r="G15" s="96">
        <f t="shared" si="0"/>
        <v>52.5</v>
      </c>
    </row>
    <row r="16" spans="1:8" ht="13.9" x14ac:dyDescent="0.4">
      <c r="A16" s="91" t="s">
        <v>422</v>
      </c>
      <c r="B16" s="96">
        <f>Budget!F31+Budget!F32</f>
        <v>16.25</v>
      </c>
      <c r="C16" s="96"/>
      <c r="D16" s="96"/>
      <c r="E16" s="96"/>
      <c r="F16" s="96"/>
      <c r="G16" s="96">
        <f>AVERAGE(B16:F16)</f>
        <v>16.25</v>
      </c>
    </row>
    <row r="17" spans="1:7" ht="13.9" x14ac:dyDescent="0.4">
      <c r="A17" s="91" t="s">
        <v>463</v>
      </c>
      <c r="B17" s="96">
        <f>Budget!F25+Budget!F27</f>
        <v>16.348424406668279</v>
      </c>
      <c r="C17" s="96"/>
      <c r="D17" s="96"/>
      <c r="E17" s="96"/>
      <c r="F17" s="96"/>
      <c r="G17" s="96">
        <f t="shared" si="0"/>
        <v>16.348424406668279</v>
      </c>
    </row>
    <row r="18" spans="1:7" ht="13.9" x14ac:dyDescent="0.4">
      <c r="A18" s="91" t="s">
        <v>227</v>
      </c>
      <c r="B18" s="96">
        <f>Budget!F29</f>
        <v>46.300338245614029</v>
      </c>
      <c r="C18" s="96"/>
      <c r="D18" s="96"/>
      <c r="E18" s="96"/>
      <c r="F18" s="96"/>
      <c r="G18" s="96">
        <f>AVERAGE(B18:F18)</f>
        <v>46.300338245614029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608.2104189022823</v>
      </c>
      <c r="C19" s="108"/>
      <c r="D19" s="108"/>
      <c r="E19" s="108"/>
      <c r="F19" s="108"/>
      <c r="G19" s="108">
        <f>AVERAGE(B19:F19)</f>
        <v>608.2104189022823</v>
      </c>
    </row>
    <row r="20" spans="1:7" ht="13.9" x14ac:dyDescent="0.4">
      <c r="A20" s="91" t="s">
        <v>780</v>
      </c>
      <c r="B20" s="96">
        <f>SUM(Budget!F34:F36)</f>
        <v>40</v>
      </c>
      <c r="C20" s="108"/>
      <c r="D20" s="108"/>
      <c r="E20" s="108"/>
      <c r="F20" s="108"/>
      <c r="G20" s="96">
        <f t="shared" si="0"/>
        <v>40</v>
      </c>
    </row>
    <row r="21" spans="1:7" ht="15.4" x14ac:dyDescent="0.4">
      <c r="A21" s="91" t="s">
        <v>756</v>
      </c>
      <c r="B21" s="96">
        <f>Budget!F26+Budget!F28+Budget!F30</f>
        <v>22.128465529200856</v>
      </c>
      <c r="C21" s="96"/>
      <c r="D21" s="96"/>
      <c r="E21" s="96"/>
      <c r="F21" s="96"/>
      <c r="G21" s="96">
        <f t="shared" si="0"/>
        <v>22.128465529200856</v>
      </c>
    </row>
    <row r="22" spans="1:7" ht="13.9" x14ac:dyDescent="0.4">
      <c r="A22" s="91" t="s">
        <v>214</v>
      </c>
      <c r="B22" s="96">
        <f>Budget!F33</f>
        <v>11.047226018407773</v>
      </c>
      <c r="C22" s="96"/>
      <c r="D22" s="96"/>
      <c r="E22" s="96"/>
      <c r="F22" s="96"/>
      <c r="G22" s="96">
        <f t="shared" si="0"/>
        <v>11.047226018407773</v>
      </c>
    </row>
    <row r="23" spans="1:7" ht="13.9" x14ac:dyDescent="0.4">
      <c r="A23" s="107" t="s">
        <v>641</v>
      </c>
      <c r="B23" s="108">
        <f>SUM(Budget!F6:F18)+SUM(Budget!F20:F23)+SUM(Budget!F25:F36)</f>
        <v>681.38611044989102</v>
      </c>
      <c r="C23" s="96"/>
      <c r="D23" s="96"/>
      <c r="E23" s="96"/>
      <c r="F23" s="96"/>
      <c r="G23" s="108">
        <f t="shared" si="0"/>
        <v>681.38611044989102</v>
      </c>
    </row>
    <row r="24" spans="1:7" ht="13.9" x14ac:dyDescent="0.4">
      <c r="A24" s="91" t="s">
        <v>28</v>
      </c>
      <c r="B24" s="96">
        <f>Budget!F37</f>
        <v>30.662374970245089</v>
      </c>
      <c r="C24" s="96"/>
      <c r="D24" s="96"/>
      <c r="E24" s="96"/>
      <c r="F24" s="96"/>
      <c r="G24" s="96">
        <f t="shared" si="0"/>
        <v>30.662374970245089</v>
      </c>
    </row>
    <row r="25" spans="1:7" ht="15" customHeight="1" x14ac:dyDescent="0.4">
      <c r="A25" s="91" t="s">
        <v>228</v>
      </c>
      <c r="B25" s="96">
        <f>SUM(Budget!F39:F43)</f>
        <v>96.75</v>
      </c>
      <c r="C25" s="96"/>
      <c r="D25" s="96"/>
      <c r="E25" s="96"/>
      <c r="F25" s="96"/>
      <c r="G25" s="96">
        <f t="shared" si="0"/>
        <v>96.75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808.7984854201361</v>
      </c>
      <c r="C27" s="108"/>
      <c r="D27" s="108"/>
      <c r="E27" s="108"/>
      <c r="F27" s="108"/>
      <c r="G27" s="108">
        <f t="shared" si="0"/>
        <v>808.7984854201361</v>
      </c>
    </row>
    <row r="28" spans="1:7" ht="13.5" x14ac:dyDescent="0.35">
      <c r="A28" s="107" t="s">
        <v>233</v>
      </c>
      <c r="B28" s="114">
        <f>B6-B27</f>
        <v>147.9515145798639</v>
      </c>
      <c r="C28" s="114"/>
      <c r="D28" s="114"/>
      <c r="E28" s="114"/>
      <c r="F28" s="114"/>
      <c r="G28" s="114">
        <f t="shared" si="0"/>
        <v>147.9515145798639</v>
      </c>
    </row>
    <row r="29" spans="1:7" ht="13.9" x14ac:dyDescent="0.4">
      <c r="A29" s="91" t="s">
        <v>230</v>
      </c>
      <c r="B29" s="96">
        <f>Budget!F51</f>
        <v>127.57671923742087</v>
      </c>
      <c r="C29" s="96"/>
      <c r="D29" s="96"/>
      <c r="E29" s="96"/>
      <c r="F29" s="96"/>
      <c r="G29" s="96">
        <f>AVERAGE(B29:F29)</f>
        <v>127.57671923742087</v>
      </c>
    </row>
    <row r="30" spans="1:7" ht="15.4" x14ac:dyDescent="0.35">
      <c r="A30" s="107" t="s">
        <v>755</v>
      </c>
      <c r="B30" s="108">
        <f>B27+B29</f>
        <v>936.37520465755699</v>
      </c>
      <c r="C30" s="108"/>
      <c r="D30" s="108"/>
      <c r="E30" s="108"/>
      <c r="F30" s="108"/>
      <c r="G30" s="108">
        <f>AVERAGE(B30:F30)</f>
        <v>936.37520465755699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20.374795342443008</v>
      </c>
      <c r="C31" s="114"/>
      <c r="D31" s="114"/>
      <c r="E31" s="114"/>
      <c r="F31" s="114"/>
      <c r="G31" s="114">
        <f>AVERAGE(B31:F31)</f>
        <v>20.374795342443008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3.7618534205587726</v>
      </c>
      <c r="C32" s="96"/>
      <c r="D32" s="96"/>
      <c r="E32" s="96"/>
      <c r="F32" s="96"/>
      <c r="G32" s="96">
        <f>AVERAGE(B32:F32)</f>
        <v>3.7618534205587726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4.3552335100351485</v>
      </c>
      <c r="C33" s="98"/>
      <c r="D33" s="98"/>
      <c r="E33" s="98"/>
      <c r="F33" s="98"/>
      <c r="G33" s="98">
        <f>AVERAGE(B33:F33)</f>
        <v>4.3552335100351485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1. 2025 Corn Enterprise Budget, Stacked Gene, Furrow Irrigation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215</v>
      </c>
      <c r="E3" s="307">
        <f>Budget!E3</f>
        <v>4.45</v>
      </c>
      <c r="F3" s="307">
        <f>Budget!F3</f>
        <v>956.75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Thous</v>
      </c>
      <c r="D6" s="406">
        <f>Budget!D6</f>
        <v>32</v>
      </c>
      <c r="E6" s="307">
        <f>Budget!E6</f>
        <v>4.1900000000000004</v>
      </c>
      <c r="F6" s="307">
        <f>Budget!F6</f>
        <v>134.08000000000001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435</v>
      </c>
      <c r="E7" s="307">
        <f>Budget!E7</f>
        <v>0.25750000000000001</v>
      </c>
      <c r="F7" s="307">
        <f>Budget!F7</f>
        <v>112.0125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175</v>
      </c>
      <c r="E8" s="307">
        <f>Budget!E8</f>
        <v>0.34499999999999997</v>
      </c>
      <c r="F8" s="307">
        <f>Budget!F8</f>
        <v>60.374999999999993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130</v>
      </c>
      <c r="E9" s="307">
        <f>Budget!E9</f>
        <v>0.25</v>
      </c>
      <c r="F9" s="307">
        <f>Budget!F9</f>
        <v>32.5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100</v>
      </c>
      <c r="E10" s="307">
        <f>Budget!E10</f>
        <v>0.26</v>
      </c>
      <c r="F10" s="307">
        <f>Budget!F10</f>
        <v>26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Zinc Sulfate 33%</v>
      </c>
      <c r="B11" s="403">
        <f>Budget!B11</f>
        <v>1</v>
      </c>
      <c r="C11" s="307" t="str">
        <f>Budget!C11</f>
        <v>Lbs</v>
      </c>
      <c r="D11" s="307">
        <f>Budget!D11</f>
        <v>29</v>
      </c>
      <c r="E11" s="307">
        <f>Budget!E11</f>
        <v>1.726</v>
      </c>
      <c r="F11" s="307">
        <f>Budget!F11</f>
        <v>50.054000000000002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61.790156249999995</v>
      </c>
      <c r="F13" s="307">
        <f>Budget!F14</f>
        <v>61.790156249999995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0</v>
      </c>
      <c r="F14" s="307">
        <f>Budget!F15</f>
        <v>0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0</v>
      </c>
      <c r="F15" s="307">
        <f>Budget!F16</f>
        <v>0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5</v>
      </c>
      <c r="E19" s="307">
        <f>Budget!E20</f>
        <v>8.5</v>
      </c>
      <c r="F19" s="307">
        <f>Budget!F20</f>
        <v>42.5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0</v>
      </c>
      <c r="E20" s="307">
        <f>Budget!E21</f>
        <v>10</v>
      </c>
      <c r="F20" s="307">
        <f>Budget!F21</f>
        <v>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100</v>
      </c>
      <c r="E21" s="407">
        <f>Budget!E22</f>
        <v>0.1</v>
      </c>
      <c r="F21" s="307">
        <f>Budget!F22</f>
        <v>10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2.756927084014182</v>
      </c>
      <c r="E24" s="307">
        <f>Budget!E25</f>
        <v>2.8</v>
      </c>
      <c r="F24" s="307">
        <f>Budget!F25</f>
        <v>7.719395835239709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5.9610027838445596</v>
      </c>
      <c r="F25" s="307">
        <f>Budget!F26</f>
        <v>5.9610027838445596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3.0817959183673471</v>
      </c>
      <c r="E26" s="307">
        <f>Budget!E27</f>
        <v>2.8</v>
      </c>
      <c r="F26" s="307">
        <f>Budget!F27</f>
        <v>8.6290285714285719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12.469858578689628</v>
      </c>
      <c r="F27" s="307">
        <f>Budget!F28</f>
        <v>12.469858578689628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14</v>
      </c>
      <c r="E28" s="307">
        <f>Budget!E29</f>
        <v>3.3071670175438594</v>
      </c>
      <c r="F28" s="307">
        <f>Budget!F29</f>
        <v>46.300338245614029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14</v>
      </c>
      <c r="E29" s="307">
        <f>Budget!E30</f>
        <v>0.26411458333333337</v>
      </c>
      <c r="F29" s="307">
        <f>Budget!F30</f>
        <v>3.6976041666666672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16.25</v>
      </c>
      <c r="F30" s="307">
        <f>Budget!F31</f>
        <v>16.25</v>
      </c>
    </row>
    <row r="31" spans="1:6" ht="14.1" customHeight="1" x14ac:dyDescent="0.4">
      <c r="A31" s="4" t="str">
        <f>Budget!A32</f>
        <v>Other Inputs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</v>
      </c>
      <c r="F31" s="307">
        <f>Budget!F32</f>
        <v>0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0.76030461241622671</v>
      </c>
      <c r="E32" s="307">
        <f>Budget!E33</f>
        <v>14.53</v>
      </c>
      <c r="F32" s="307">
        <f>Budget!F33</f>
        <v>11.047226018407773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6</v>
      </c>
      <c r="F33" s="307">
        <f>Budget!F34</f>
        <v>6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0</v>
      </c>
      <c r="F34" s="307">
        <f>Budget!F35</f>
        <v>0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34</v>
      </c>
      <c r="F35" s="307">
        <f>Budget!F36</f>
        <v>34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681.38611044989091</v>
      </c>
      <c r="F36" s="307">
        <f>Budget!F37</f>
        <v>30.662374970245089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215</v>
      </c>
      <c r="E39" s="307">
        <f>Budget!E40</f>
        <v>0.19</v>
      </c>
      <c r="F39" s="307">
        <f>Budget!F40</f>
        <v>40.85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215</v>
      </c>
      <c r="E40" s="307">
        <f>Budget!E41</f>
        <v>0.25</v>
      </c>
      <c r="F40" s="307">
        <f>Budget!F41</f>
        <v>53.75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215</v>
      </c>
      <c r="E41" s="307">
        <f>Budget!E42</f>
        <v>0.01</v>
      </c>
      <c r="F41" s="307">
        <f>Budget!F42</f>
        <v>2.15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808.79848542013599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147.95151457986401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91.39533000594308</v>
      </c>
      <c r="F47" s="311">
        <f>Budget!F48</f>
        <v>91.39533000594308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31.611622731180638</v>
      </c>
      <c r="F48" s="311">
        <f>Budget!F49</f>
        <v>31.611622731180638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4.5697665002971544</v>
      </c>
      <c r="F49" s="311">
        <f>Budget!F50</f>
        <v>4.5697665002971544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127.57671923742087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936.37520465755688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20.374795342443122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Corn, Furrow</v>
      </c>
      <c r="H1" s="1246"/>
      <c r="I1" s="1442"/>
    </row>
    <row r="2" spans="1:9" ht="15" customHeight="1" x14ac:dyDescent="0.4">
      <c r="A2" s="1807" t="str">
        <f>Print_Summary!G1</f>
        <v>Corn, Furrow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1000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681386.11044989107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1000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215</v>
      </c>
      <c r="C6" s="1821"/>
      <c r="D6" s="1822">
        <f>B6*Print_Summary!$I$2</f>
        <v>215000</v>
      </c>
      <c r="E6" s="1097" t="s">
        <v>799</v>
      </c>
      <c r="F6" s="1541">
        <f>B6*0.9</f>
        <v>193.5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4.45</v>
      </c>
      <c r="C7" s="1097"/>
      <c r="D7" s="1824">
        <f>B7</f>
        <v>4.45</v>
      </c>
      <c r="E7" s="1097" t="s">
        <v>793</v>
      </c>
      <c r="F7" s="1542">
        <f>B7</f>
        <v>4.45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956.75</v>
      </c>
      <c r="C9" s="1827"/>
      <c r="D9" s="1828">
        <f>B9*Print_Summary!$I$2</f>
        <v>956750</v>
      </c>
      <c r="E9" s="667" t="s">
        <v>13</v>
      </c>
      <c r="F9" s="1829">
        <f>F6*F7</f>
        <v>861.07500000000005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134.08000000000001</v>
      </c>
      <c r="C13" s="1836">
        <f>B13/$B$6</f>
        <v>0.6236279069767442</v>
      </c>
      <c r="D13" s="1822">
        <f>B13*Print_Summary!$I$2</f>
        <v>134080</v>
      </c>
      <c r="E13" s="4"/>
      <c r="F13" s="1825">
        <f>B13/$F$9</f>
        <v>0.15571233632378131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280.94150000000002</v>
      </c>
      <c r="C14" s="1836">
        <f t="shared" ref="C14:C34" si="0">B14/$B$6</f>
        <v>1.3067046511627909</v>
      </c>
      <c r="D14" s="1822">
        <f>B14*Print_Summary!$I$2</f>
        <v>280941.5</v>
      </c>
      <c r="E14" s="4"/>
      <c r="F14" s="1825">
        <f t="shared" ref="F14:F19" si="1">B14/$F$9</f>
        <v>0.32626832738147082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61.790156249999995</v>
      </c>
      <c r="C15" s="1836">
        <f t="shared" si="0"/>
        <v>0.28739607558139535</v>
      </c>
      <c r="D15" s="1822">
        <f>B15*Print_Summary!$I$2</f>
        <v>61790.156249999993</v>
      </c>
      <c r="E15" s="4"/>
      <c r="F15" s="1825">
        <f t="shared" si="1"/>
        <v>7.1759319745666739E-2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52.5</v>
      </c>
      <c r="C16" s="1836">
        <f t="shared" si="0"/>
        <v>0.2441860465116279</v>
      </c>
      <c r="D16" s="1822">
        <f>B16*Print_Summary!$I$2</f>
        <v>52500</v>
      </c>
      <c r="E16" s="4"/>
      <c r="F16" s="1825">
        <f t="shared" si="1"/>
        <v>6.0970298754463893E-2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16.348424406668279</v>
      </c>
      <c r="C17" s="1836">
        <f t="shared" si="0"/>
        <v>7.6039183286829209E-2</v>
      </c>
      <c r="D17" s="1822">
        <f>B17*Print_Summary!$I$2</f>
        <v>16348.424406668279</v>
      </c>
      <c r="E17" s="4"/>
      <c r="F17" s="1825">
        <f t="shared" si="1"/>
        <v>1.8986063242653981E-2</v>
      </c>
    </row>
    <row r="18" spans="1:6" ht="13.9" x14ac:dyDescent="0.4">
      <c r="A18" s="1835" t="s">
        <v>227</v>
      </c>
      <c r="B18" s="1836">
        <f>Budget!F29</f>
        <v>46.300338245614029</v>
      </c>
      <c r="C18" s="1836">
        <f t="shared" si="0"/>
        <v>0.21535041044471642</v>
      </c>
      <c r="D18" s="1822">
        <f>B18*Print_Summary!$I$2</f>
        <v>46300.338245614032</v>
      </c>
      <c r="E18" s="4"/>
      <c r="F18" s="1825">
        <f t="shared" si="1"/>
        <v>5.3770389624148915E-2</v>
      </c>
    </row>
    <row r="19" spans="1:6" ht="13.9" x14ac:dyDescent="0.4">
      <c r="A19" s="1835" t="s">
        <v>422</v>
      </c>
      <c r="B19" s="1836">
        <f>Budget!F31+Budget!F32</f>
        <v>16.25</v>
      </c>
      <c r="C19" s="1836">
        <f t="shared" si="0"/>
        <v>7.5581395348837205E-2</v>
      </c>
      <c r="D19" s="1822">
        <f>B19*Print_Summary!$I$2</f>
        <v>16250</v>
      </c>
      <c r="E19" s="4"/>
      <c r="F19" s="1825">
        <f t="shared" si="1"/>
        <v>1.8871759138286443E-2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608.2104189022823</v>
      </c>
      <c r="C20" s="1837">
        <f t="shared" si="0"/>
        <v>2.8288856693129407</v>
      </c>
      <c r="D20" s="1828">
        <f>B20*Print_Summary!$I$2</f>
        <v>608210.41890228225</v>
      </c>
      <c r="E20" s="308"/>
      <c r="F20" s="1838">
        <f t="shared" ref="F20:F28" si="2">B20/$F$9</f>
        <v>0.70633849421047212</v>
      </c>
    </row>
    <row r="21" spans="1:6" ht="13.9" x14ac:dyDescent="0.4">
      <c r="A21" s="1835" t="s">
        <v>780</v>
      </c>
      <c r="B21" s="1836">
        <f>Budget!F34+Budget!F35</f>
        <v>6</v>
      </c>
      <c r="C21" s="1836">
        <f t="shared" si="0"/>
        <v>2.7906976744186046E-2</v>
      </c>
      <c r="D21" s="1822">
        <f>B21*Print_Summary!$I$2</f>
        <v>6000</v>
      </c>
      <c r="E21" s="4"/>
      <c r="F21" s="1825">
        <f t="shared" si="2"/>
        <v>6.9680341433673021E-3</v>
      </c>
    </row>
    <row r="22" spans="1:6" ht="13.9" x14ac:dyDescent="0.4">
      <c r="A22" s="1835" t="s">
        <v>1</v>
      </c>
      <c r="B22" s="1836">
        <f>Budget!F36</f>
        <v>34</v>
      </c>
      <c r="C22" s="1836">
        <f t="shared" si="0"/>
        <v>0.15813953488372093</v>
      </c>
      <c r="D22" s="1822">
        <f>B22*Print_Summary!$I$2</f>
        <v>34000</v>
      </c>
      <c r="E22" s="4"/>
      <c r="F22" s="1825">
        <f t="shared" si="2"/>
        <v>3.9485526812414712E-2</v>
      </c>
    </row>
    <row r="23" spans="1:6" ht="13.9" x14ac:dyDescent="0.4">
      <c r="A23" s="1835" t="s">
        <v>751</v>
      </c>
      <c r="B23" s="1836">
        <f>Budget!F26+Budget!F28+Budget!F30</f>
        <v>22.128465529200856</v>
      </c>
      <c r="C23" s="1836">
        <f t="shared" si="0"/>
        <v>0.10292309548465514</v>
      </c>
      <c r="D23" s="1822">
        <f>B23*Print_Summary!$I$2</f>
        <v>22128.465529200857</v>
      </c>
      <c r="E23" s="4"/>
      <c r="F23" s="1825">
        <f t="shared" si="2"/>
        <v>2.5698650557966326E-2</v>
      </c>
    </row>
    <row r="24" spans="1:6" ht="13.9" x14ac:dyDescent="0.4">
      <c r="A24" s="1835" t="s">
        <v>214</v>
      </c>
      <c r="B24" s="1836">
        <f>Budget!F33</f>
        <v>11.047226018407773</v>
      </c>
      <c r="C24" s="1836">
        <f t="shared" si="0"/>
        <v>5.138244659724546E-2</v>
      </c>
      <c r="D24" s="1822">
        <f>B24*Print_Summary!$I$2</f>
        <v>11047.226018407773</v>
      </c>
      <c r="E24" s="4"/>
      <c r="F24" s="1825">
        <f t="shared" si="2"/>
        <v>1.2829574680960163E-2</v>
      </c>
    </row>
    <row r="25" spans="1:6" ht="13.5" x14ac:dyDescent="0.35">
      <c r="A25" s="1826" t="s">
        <v>641</v>
      </c>
      <c r="B25" s="1837">
        <f>SUM(Budget!F6:F18)+SUM(Budget!F20:F23)+SUM(Budget!F25:F36)</f>
        <v>681.38611044989102</v>
      </c>
      <c r="C25" s="1837">
        <f t="shared" si="0"/>
        <v>3.1692377230227491</v>
      </c>
      <c r="D25" s="1828">
        <f>B25*Print_Summary!$I$2</f>
        <v>681386.11044989107</v>
      </c>
      <c r="E25" s="308"/>
      <c r="F25" s="1838">
        <f t="shared" si="2"/>
        <v>0.79132028040518076</v>
      </c>
    </row>
    <row r="26" spans="1:6" ht="13.9" x14ac:dyDescent="0.4">
      <c r="A26" s="1835" t="s">
        <v>28</v>
      </c>
      <c r="B26" s="1836">
        <f>Budget!F37</f>
        <v>30.662374970245089</v>
      </c>
      <c r="C26" s="1836">
        <f t="shared" si="0"/>
        <v>0.14261569753602368</v>
      </c>
      <c r="D26" s="1822">
        <f>B26*Print_Summary!$I$2</f>
        <v>30662.374970245088</v>
      </c>
      <c r="E26" s="4"/>
      <c r="F26" s="1825">
        <f t="shared" si="2"/>
        <v>3.5609412618233124E-2</v>
      </c>
    </row>
    <row r="27" spans="1:6" ht="13.9" x14ac:dyDescent="0.4">
      <c r="A27" s="1835" t="s">
        <v>228</v>
      </c>
      <c r="B27" s="1836">
        <f>SUM(Budget!F39:F43)</f>
        <v>96.75</v>
      </c>
      <c r="C27" s="1836">
        <f t="shared" si="0"/>
        <v>0.45</v>
      </c>
      <c r="D27" s="1822">
        <f>B27*Print_Summary!$I$2</f>
        <v>96750</v>
      </c>
      <c r="E27" s="4"/>
      <c r="F27" s="1825">
        <f t="shared" si="2"/>
        <v>0.11235955056179775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808.7984854201361</v>
      </c>
      <c r="C29" s="1837">
        <f t="shared" si="0"/>
        <v>3.7618534205587726</v>
      </c>
      <c r="D29" s="1828">
        <f>B29*Print_Summary!$I$2</f>
        <v>808798.48542013613</v>
      </c>
      <c r="E29" s="308"/>
      <c r="F29" s="1825"/>
    </row>
    <row r="30" spans="1:6" ht="13.5" x14ac:dyDescent="0.35">
      <c r="A30" s="1826" t="s">
        <v>233</v>
      </c>
      <c r="B30" s="1827">
        <f>B9-B29-B31</f>
        <v>147.9515145798639</v>
      </c>
      <c r="C30" s="1827">
        <f t="shared" si="0"/>
        <v>0.68814657944122748</v>
      </c>
      <c r="D30" s="1828">
        <f>B30*Print_Summary!$I$2</f>
        <v>147951.5145798639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127.57671923742087</v>
      </c>
      <c r="C32" s="1836">
        <f t="shared" si="0"/>
        <v>0.59338008947637622</v>
      </c>
      <c r="D32" s="1822">
        <f>B32*Print_Summary!$I$2</f>
        <v>127576.71923742087</v>
      </c>
      <c r="E32" s="4"/>
      <c r="F32" s="1825">
        <f>B32/$F$9</f>
        <v>0.14815982259085547</v>
      </c>
    </row>
    <row r="33" spans="1:6" ht="13.5" x14ac:dyDescent="0.35">
      <c r="A33" s="1826" t="s">
        <v>651</v>
      </c>
      <c r="B33" s="1837">
        <f>B29+B32</f>
        <v>936.37520465755699</v>
      </c>
      <c r="C33" s="1837">
        <f t="shared" si="0"/>
        <v>4.3552335100351485</v>
      </c>
      <c r="D33" s="1828">
        <f>B33*Print_Summary!$I$2</f>
        <v>936375.20465755695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20.374795342443008</v>
      </c>
      <c r="C34" s="1827">
        <f t="shared" si="0"/>
        <v>9.4766489964851194E-2</v>
      </c>
      <c r="D34" s="1828">
        <f>B34*Print_Summary!$I$2</f>
        <v>20374.795342443009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3.7618534205587726</v>
      </c>
      <c r="C36" s="1097"/>
      <c r="D36" s="1824">
        <f>D29/D6</f>
        <v>3.7618534205587726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4.3552335100351485</v>
      </c>
      <c r="C37" s="1097"/>
      <c r="D37" s="1824">
        <f>D33/D6</f>
        <v>4.3552335100351485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0.16125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215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215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215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215</v>
      </c>
      <c r="J30" s="900"/>
    </row>
    <row r="31" spans="2:10" ht="12.75" customHeight="1" x14ac:dyDescent="0.4">
      <c r="B31" s="901">
        <f>IF(A2_Budget_Look_Up!B13&gt;0,Budget!D3*Budget!B41,I31)</f>
        <v>215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215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1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10835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6.9248797198730827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13200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12.654351025409573</v>
      </c>
      <c r="I6" s="284"/>
      <c r="J6" s="301"/>
      <c r="K6" s="820">
        <f>((B6*M6)/G6)*Irrigation!L6</f>
        <v>0.13750000000000001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12155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11.652548235897981</v>
      </c>
      <c r="I7" s="284"/>
      <c r="J7" s="301"/>
      <c r="K7" s="820">
        <f>((B7*M7)/G7)*Irrigation!L7</f>
        <v>0.12661458333333334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31.231778981180639</v>
      </c>
      <c r="I10" s="292"/>
      <c r="J10" s="842"/>
      <c r="K10" s="829">
        <f>SUM(K4:K9)</f>
        <v>0.26411458333333337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12155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124.62</v>
      </c>
      <c r="C21" s="694">
        <f t="shared" si="1"/>
        <v>124.62</v>
      </c>
      <c r="D21" s="694">
        <f t="shared" si="1"/>
        <v>124.62</v>
      </c>
      <c r="E21" s="694">
        <f t="shared" si="1"/>
        <v>124.62</v>
      </c>
      <c r="F21" s="694">
        <f t="shared" si="1"/>
        <v>124.62</v>
      </c>
      <c r="G21" s="694">
        <f t="shared" si="1"/>
        <v>124.62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3.3071670175438594</v>
      </c>
      <c r="C26" s="696">
        <f>C22*((0.11345/(C23*C24*C25))*C21)</f>
        <v>2.3709922546583853</v>
      </c>
      <c r="D26" s="696">
        <f>D22*((0.11345/(D23*D24))*D21)</f>
        <v>2.5968010408163269</v>
      </c>
      <c r="E26" s="696">
        <f>E22*((0.11345/(E23*E24*E25))*E21)</f>
        <v>1.5732665954887219</v>
      </c>
      <c r="F26" s="696">
        <f>F22*((0.11345/(F23*F24*F25))*F21)</f>
        <v>4.0587958851674646</v>
      </c>
      <c r="G26" s="696">
        <f>G22*((0.11345/(G23*G24*G25))*G21)</f>
        <v>4.6064112030075197</v>
      </c>
      <c r="H26" s="697" t="s">
        <v>110</v>
      </c>
      <c r="I26" s="387">
        <f>SUM(B34:G34)</f>
        <v>3.3071670175438594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60.774999999999999</v>
      </c>
      <c r="L26" s="957">
        <f>K26/IF(Irrigation!B2=2,Irrigation!I15,Irrigation!I14)</f>
        <v>0.37984374999999998</v>
      </c>
      <c r="M26" s="301"/>
    </row>
    <row r="27" spans="1:13" x14ac:dyDescent="0.35">
      <c r="A27" s="706" t="s">
        <v>109</v>
      </c>
      <c r="B27" s="695">
        <f>B26*Budget!D29</f>
        <v>46.300338245614029</v>
      </c>
      <c r="C27" s="696">
        <f>C26*Budget!D29</f>
        <v>33.193891565217392</v>
      </c>
      <c r="D27" s="696">
        <f>D26*Budget!D29</f>
        <v>36.355214571428576</v>
      </c>
      <c r="E27" s="696">
        <f>E26*Budget!D29</f>
        <v>22.025732336842108</v>
      </c>
      <c r="F27" s="696">
        <f>F26*Budget!D29</f>
        <v>56.823142392344508</v>
      </c>
      <c r="G27" s="696">
        <f>G26*Budget!D29</f>
        <v>64.48975684210528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0.26411458333333337</v>
      </c>
      <c r="C29" s="288">
        <f t="shared" si="2"/>
        <v>0.26411458333333337</v>
      </c>
      <c r="D29" s="288">
        <f t="shared" si="2"/>
        <v>0.26411458333333337</v>
      </c>
      <c r="E29" s="288">
        <f t="shared" si="2"/>
        <v>0.26411458333333337</v>
      </c>
      <c r="F29" s="288">
        <f t="shared" si="2"/>
        <v>0.26411458333333337</v>
      </c>
      <c r="G29" s="709">
        <f t="shared" si="2"/>
        <v>0.26411458333333337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3.6378837192982458</v>
      </c>
      <c r="C30" s="698">
        <f>(1+C28)*C26</f>
        <v>2.442122022298137</v>
      </c>
      <c r="D30" s="698">
        <f>(1+D28)*D26</f>
        <v>2.77857711367347</v>
      </c>
      <c r="E30" s="698">
        <f>(1+E28)*E26</f>
        <v>1.7620585869473688</v>
      </c>
      <c r="F30" s="698">
        <f>(1+F28)*F26</f>
        <v>4.5458513913875604</v>
      </c>
      <c r="G30" s="698">
        <f>(1+G28)*G26</f>
        <v>5.2973728834586469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43.654604631578948</v>
      </c>
      <c r="C31" s="699">
        <f t="shared" si="3"/>
        <v>29.305464267577644</v>
      </c>
      <c r="D31" s="699">
        <f t="shared" si="3"/>
        <v>33.342925364081637</v>
      </c>
      <c r="E31" s="699">
        <f t="shared" si="3"/>
        <v>21.144703043368427</v>
      </c>
      <c r="F31" s="699">
        <f t="shared" si="3"/>
        <v>54.550216696650722</v>
      </c>
      <c r="G31" s="712">
        <f t="shared" si="3"/>
        <v>63.568474601503766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3.6976041666666672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3.6976041666666672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3.3071670175438594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3.3E-3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124.62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0</v>
      </c>
    </row>
    <row r="39" spans="1:13" x14ac:dyDescent="0.35">
      <c r="A39" s="304"/>
      <c r="B39" s="719">
        <f>IF(Irrigation!B2=1,2,0)</f>
        <v>2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3.3E-3</v>
      </c>
    </row>
    <row r="41" spans="1:13" ht="13.5" thickBot="1" x14ac:dyDescent="0.45">
      <c r="A41" s="304"/>
      <c r="B41" s="305">
        <f>SUM(B39:B40)</f>
        <v>2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4.6199999999999998E-2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12155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124.62</v>
      </c>
      <c r="C64" s="694">
        <f t="shared" si="5"/>
        <v>124.62</v>
      </c>
      <c r="D64" s="694">
        <f t="shared" si="5"/>
        <v>124.62</v>
      </c>
      <c r="E64" s="694">
        <f t="shared" si="5"/>
        <v>124.62</v>
      </c>
      <c r="F64" s="694">
        <f t="shared" si="5"/>
        <v>124.62</v>
      </c>
      <c r="G64" s="694">
        <f t="shared" si="5"/>
        <v>124.62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3.3071670175438594</v>
      </c>
      <c r="C69" s="696">
        <f>C65*((0.11345/(C66*C67*C68))*C64)</f>
        <v>2.3709922546583853</v>
      </c>
      <c r="D69" s="696">
        <f>D65*((0.11345/(D66*D67))*D64)</f>
        <v>2.5968010408163269</v>
      </c>
      <c r="E69" s="696">
        <f>E65*((0.11345/(E66*E67*E68))*E64)</f>
        <v>1.5732665954887219</v>
      </c>
      <c r="F69" s="696">
        <f>F65*((0.11345/(F66*F67*F68))*F64)</f>
        <v>4.0587958851674646</v>
      </c>
      <c r="G69" s="696">
        <f>G65*((0.11345/(G66*G67*G68))*G64)</f>
        <v>4.6064112030075197</v>
      </c>
      <c r="H69" s="697" t="s">
        <v>110</v>
      </c>
      <c r="I69" s="387">
        <f>SUM(B77:G77)</f>
        <v>3.3071670175438594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46.300338245614029</v>
      </c>
      <c r="C70" s="696">
        <f>C69*Budget!D29</f>
        <v>33.193891565217392</v>
      </c>
      <c r="D70" s="696">
        <f>D69*Budget!D29</f>
        <v>36.355214571428576</v>
      </c>
      <c r="E70" s="696">
        <f>E69*Budget!D29</f>
        <v>22.025732336842108</v>
      </c>
      <c r="F70" s="696">
        <f>F69*Budget!D29</f>
        <v>56.823142392344508</v>
      </c>
      <c r="G70" s="696">
        <f>G69*Budget!D29</f>
        <v>64.48975684210528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3.6378837192982458</v>
      </c>
      <c r="C73" s="698">
        <f>(1+C71)*C69</f>
        <v>2.442122022298137</v>
      </c>
      <c r="D73" s="698">
        <f>(1+D71)*D69</f>
        <v>2.77857711367347</v>
      </c>
      <c r="E73" s="698">
        <f>(1+E71)*E69</f>
        <v>1.7620585869473688</v>
      </c>
      <c r="F73" s="698">
        <f>(1+F71)*F69</f>
        <v>4.5458513913875604</v>
      </c>
      <c r="G73" s="698">
        <f>(1+G71)*G69</f>
        <v>5.2973728834586469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43.654604631578948</v>
      </c>
      <c r="C74" s="699">
        <f t="shared" si="7"/>
        <v>29.305464267577644</v>
      </c>
      <c r="D74" s="699">
        <f t="shared" si="7"/>
        <v>33.342925364081637</v>
      </c>
      <c r="E74" s="699">
        <f t="shared" si="7"/>
        <v>21.144703043368427</v>
      </c>
      <c r="F74" s="699">
        <f t="shared" si="7"/>
        <v>54.550216696650722</v>
      </c>
      <c r="G74" s="712">
        <f t="shared" si="7"/>
        <v>63.568474601503766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3.3071670175438594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3.3E-3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124.62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0</v>
      </c>
    </row>
    <row r="82" spans="1:13" x14ac:dyDescent="0.35">
      <c r="A82" s="304"/>
      <c r="B82" s="719">
        <f>IF(Irrigation!B2=1,2,0)</f>
        <v>2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3.3E-3</v>
      </c>
    </row>
    <row r="84" spans="1:13" ht="13.5" thickBot="1" x14ac:dyDescent="0.45">
      <c r="A84" s="304"/>
      <c r="B84" s="305">
        <f>SUM(B82:B83)</f>
        <v>2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4.6199999999999998E-2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Corn, Furrow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1000</v>
      </c>
      <c r="D5" s="1844"/>
      <c r="E5" s="468">
        <f t="shared" ref="E5:F7" si="0">B5</f>
        <v>1</v>
      </c>
      <c r="F5" s="1845">
        <f t="shared" si="0"/>
        <v>1000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215</v>
      </c>
      <c r="C6" s="1823">
        <f>B6*Print_Summary!$I$2</f>
        <v>215000</v>
      </c>
      <c r="D6" s="1846"/>
      <c r="E6" s="1096">
        <f t="shared" si="0"/>
        <v>215</v>
      </c>
      <c r="F6" s="1822">
        <f t="shared" si="0"/>
        <v>215000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4.45</v>
      </c>
      <c r="C7" s="1097">
        <f>B7</f>
        <v>4.45</v>
      </c>
      <c r="D7" s="1847"/>
      <c r="E7" s="1097">
        <f t="shared" si="0"/>
        <v>4.45</v>
      </c>
      <c r="F7" s="1848">
        <f t="shared" si="0"/>
        <v>4.45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956.75</v>
      </c>
      <c r="C9" s="1830">
        <f>B9*Print_Summary!$I$2</f>
        <v>956750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134.08000000000001</v>
      </c>
      <c r="C13" s="1823">
        <f>B13*Print_Summary!$I$2</f>
        <v>134080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13.905000000000001</v>
      </c>
    </row>
    <row r="14" spans="1:9" ht="13.9" x14ac:dyDescent="0.4">
      <c r="A14" s="1835" t="s">
        <v>224</v>
      </c>
      <c r="B14" s="1836">
        <f>SUM(Budget!F7:F13)</f>
        <v>280.94150000000002</v>
      </c>
      <c r="C14" s="1823">
        <f>B14*Print_Summary!$I$2</f>
        <v>280941.5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190.15270000000004</v>
      </c>
    </row>
    <row r="15" spans="1:9" ht="13.9" x14ac:dyDescent="0.4">
      <c r="A15" s="1835" t="s">
        <v>495</v>
      </c>
      <c r="B15" s="1836">
        <f>SUM(Budget!F14:F18)</f>
        <v>61.790156249999995</v>
      </c>
      <c r="C15" s="1823">
        <f>B15*Print_Summary!$I$2</f>
        <v>61790.156249999993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-147.26234374999999</v>
      </c>
    </row>
    <row r="16" spans="1:9" ht="13.9" x14ac:dyDescent="0.4">
      <c r="A16" s="1835" t="s">
        <v>225</v>
      </c>
      <c r="B16" s="1836">
        <f>SUM(Budget!F20:F23)</f>
        <v>52.5</v>
      </c>
      <c r="C16" s="1823">
        <f>B16*Print_Summary!$I$2</f>
        <v>52500</v>
      </c>
      <c r="D16" s="1846"/>
      <c r="E16" s="1097">
        <f>(Budget!D20*Budget!E20)+(Budget!D21*Budget!E21)+(Budget!D22*Budget!E22)+(Budget!D23*Budget!E23)-B16</f>
        <v>0</v>
      </c>
      <c r="F16" s="1822">
        <f>E16*Print_Summary!$I$2</f>
        <v>0</v>
      </c>
      <c r="G16" s="4"/>
      <c r="H16" s="1097">
        <v>14</v>
      </c>
      <c r="I16" s="1097">
        <f>B16+E16-H16</f>
        <v>38.5</v>
      </c>
    </row>
    <row r="17" spans="1:9" ht="13.9" x14ac:dyDescent="0.4">
      <c r="A17" s="1835" t="s">
        <v>463</v>
      </c>
      <c r="B17" s="1836">
        <f>Budget!F25+Budget!F27</f>
        <v>16.348424406668279</v>
      </c>
      <c r="C17" s="1823">
        <f>B17*Print_Summary!$I$2</f>
        <v>16348.424406668279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-11.718439342228741</v>
      </c>
    </row>
    <row r="18" spans="1:9" ht="13.9" x14ac:dyDescent="0.4">
      <c r="A18" s="1835" t="s">
        <v>227</v>
      </c>
      <c r="B18" s="1836">
        <f>Budget!F29</f>
        <v>46.300338245614029</v>
      </c>
      <c r="C18" s="1823">
        <f>B18*Print_Summary!$I$2</f>
        <v>46300.338245614032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11.149877373433576</v>
      </c>
    </row>
    <row r="19" spans="1:9" ht="13.9" x14ac:dyDescent="0.4">
      <c r="A19" s="1835" t="s">
        <v>782</v>
      </c>
      <c r="B19" s="1836">
        <f>Budget!F31+Budget!F32</f>
        <v>16.25</v>
      </c>
      <c r="C19" s="1823">
        <f>B19*Print_Summary!$I$2</f>
        <v>16250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12.8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608.2104189022823</v>
      </c>
      <c r="C20" s="1828">
        <f>B20*Print_Summary!$I$2</f>
        <v>608210.41890228225</v>
      </c>
      <c r="D20" s="1846"/>
      <c r="E20" s="1099">
        <f>SUM(E13:E19)</f>
        <v>0</v>
      </c>
      <c r="F20" s="1828">
        <f>E20*Print_Summary!$I$2</f>
        <v>0</v>
      </c>
      <c r="G20" s="4"/>
      <c r="H20" s="1099">
        <v>500.68362462107746</v>
      </c>
      <c r="I20" s="1099">
        <f t="shared" si="1"/>
        <v>107.52679428120484</v>
      </c>
    </row>
    <row r="21" spans="1:9" ht="13.9" x14ac:dyDescent="0.4">
      <c r="A21" s="1835" t="s">
        <v>780</v>
      </c>
      <c r="B21" s="1836">
        <f>Budget!F34+Budget!F35</f>
        <v>6</v>
      </c>
      <c r="C21" s="1823">
        <f>B21*Print_Summary!$I$2</f>
        <v>6000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-18</v>
      </c>
    </row>
    <row r="22" spans="1:9" ht="13.9" x14ac:dyDescent="0.4">
      <c r="A22" s="1835" t="s">
        <v>1</v>
      </c>
      <c r="B22" s="1836">
        <f>Budget!F36</f>
        <v>34</v>
      </c>
      <c r="C22" s="1823">
        <f>B22*Print_Summary!$I$2</f>
        <v>34000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34</v>
      </c>
    </row>
    <row r="23" spans="1:9" ht="15.4" x14ac:dyDescent="0.4">
      <c r="A23" s="1835" t="s">
        <v>752</v>
      </c>
      <c r="B23" s="1836">
        <f>Budget!F26+Budget!F28+Budget!F30</f>
        <v>22.128465529200856</v>
      </c>
      <c r="C23" s="1823">
        <f>B23*Print_Summary!$I$2</f>
        <v>22128.465529200857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-10.895778274852621</v>
      </c>
    </row>
    <row r="24" spans="1:9" ht="15" customHeight="1" x14ac:dyDescent="0.4">
      <c r="A24" s="1835" t="s">
        <v>214</v>
      </c>
      <c r="B24" s="1836">
        <f>Budget!F33</f>
        <v>11.047226018407773</v>
      </c>
      <c r="C24" s="1823">
        <f>B24*Print_Summary!$I$2</f>
        <v>11047.226018407773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-12.280619806071215</v>
      </c>
    </row>
    <row r="25" spans="1:9" ht="15" customHeight="1" x14ac:dyDescent="0.4">
      <c r="A25" s="1826" t="s">
        <v>641</v>
      </c>
      <c r="B25" s="1837">
        <f>SUM(Budget!F6:F18)+SUM(Budget!F20:F23)+SUM(Budget!F25:F36)</f>
        <v>681.38611044989102</v>
      </c>
      <c r="C25" s="1830">
        <f>B25*Print_Summary!$I$2</f>
        <v>681386.11044989107</v>
      </c>
      <c r="D25" s="1850"/>
      <c r="E25" s="1099">
        <f>SUM(E13:E19)+SUM(E23:E24)</f>
        <v>0</v>
      </c>
      <c r="F25" s="1828">
        <f>E25*Print_Summary!$I$2</f>
        <v>0</v>
      </c>
      <c r="G25" s="4"/>
      <c r="H25" s="1099">
        <v>581.0357142496099</v>
      </c>
      <c r="I25" s="1099">
        <f t="shared" si="1"/>
        <v>100.35039620028112</v>
      </c>
    </row>
    <row r="26" spans="1:9" ht="13.9" x14ac:dyDescent="0.4">
      <c r="A26" s="1835" t="s">
        <v>28</v>
      </c>
      <c r="B26" s="1836">
        <f>Budget!F37</f>
        <v>30.662374970245089</v>
      </c>
      <c r="C26" s="1823">
        <f>B26*Print_Summary!$I$2</f>
        <v>30662.374970245088</v>
      </c>
      <c r="D26" s="1846"/>
      <c r="E26" s="1097">
        <f>((Budget!D37/100)*Program_Variables!D34)*(E20+E25)</f>
        <v>0</v>
      </c>
      <c r="F26" s="1822">
        <f>E26*Print_Summary!$I$2</f>
        <v>0</v>
      </c>
      <c r="G26" s="4"/>
      <c r="H26" s="1097">
        <v>13.799598213428238</v>
      </c>
      <c r="I26" s="1097">
        <f t="shared" si="1"/>
        <v>16.862776756816849</v>
      </c>
    </row>
    <row r="27" spans="1:9" ht="13.9" x14ac:dyDescent="0.4">
      <c r="A27" s="1835" t="s">
        <v>228</v>
      </c>
      <c r="B27" s="1836">
        <f>SUM(Budget!F39:F43)</f>
        <v>96.75</v>
      </c>
      <c r="C27" s="1823">
        <f>B27*Print_Summary!$I$2</f>
        <v>96750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-48.03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808.7984854201361</v>
      </c>
      <c r="C29" s="1830">
        <f>B29*Print_Summary!$I$2</f>
        <v>808798.48542013613</v>
      </c>
      <c r="D29" s="1850"/>
      <c r="E29" s="1099">
        <f>SUM(E13:E19)+SUM(E21:E24)+SUM(E26:E28)-IF(A2_Budget_Look_Up!B7=1,E10,0)</f>
        <v>0</v>
      </c>
      <c r="F29" s="1828">
        <f>E29*Print_Summary!$I$2</f>
        <v>0</v>
      </c>
      <c r="G29" s="4"/>
      <c r="H29" s="1099">
        <v>594.83531246303824</v>
      </c>
      <c r="I29" s="1099">
        <f t="shared" si="1"/>
        <v>213.96317295709787</v>
      </c>
    </row>
    <row r="30" spans="1:9" ht="13.9" x14ac:dyDescent="0.4">
      <c r="A30" s="1826" t="s">
        <v>233</v>
      </c>
      <c r="B30" s="1827">
        <f>B9-B29-B31</f>
        <v>147.9515145798639</v>
      </c>
      <c r="C30" s="1830">
        <f>B30*Print_Summary!$I$2</f>
        <v>147951.5145798639</v>
      </c>
      <c r="D30" s="1850"/>
      <c r="E30" s="173">
        <f>E9+E31-E29</f>
        <v>0</v>
      </c>
      <c r="F30" s="1828">
        <f>E30*Print_Summary!$I$2</f>
        <v>0</v>
      </c>
      <c r="G30" s="4"/>
      <c r="H30" s="173">
        <v>185.16468753696176</v>
      </c>
      <c r="I30" s="173">
        <f t="shared" si="1"/>
        <v>-37.213172957097868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127.57671923742087</v>
      </c>
      <c r="C32" s="1823">
        <f>B32*Print_Summary!$I$2</f>
        <v>127576.71923742087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-51.018270700703155</v>
      </c>
    </row>
    <row r="33" spans="1:9" ht="13.9" x14ac:dyDescent="0.4">
      <c r="A33" s="1826" t="s">
        <v>651</v>
      </c>
      <c r="B33" s="1837">
        <f>B29+B32</f>
        <v>936.37520465755699</v>
      </c>
      <c r="C33" s="1830">
        <f>B33*Print_Summary!$I$2</f>
        <v>936375.20465755695</v>
      </c>
      <c r="D33" s="1850"/>
      <c r="E33" s="1099">
        <f>E29+E32</f>
        <v>0</v>
      </c>
      <c r="F33" s="1828">
        <f>E33*Print_Summary!$I$2</f>
        <v>0</v>
      </c>
      <c r="G33" s="4"/>
      <c r="H33" s="1099">
        <v>773.43030240116229</v>
      </c>
      <c r="I33" s="1099">
        <f t="shared" si="1"/>
        <v>162.9449022563947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20.374795342443008</v>
      </c>
      <c r="C34" s="1830">
        <f>B34*Print_Summary!$I$2</f>
        <v>20374.795342443009</v>
      </c>
      <c r="D34" s="1850"/>
      <c r="E34" s="173">
        <f>E9+E31-E33</f>
        <v>0</v>
      </c>
      <c r="F34" s="1828">
        <f>E34*Print_Summary!$I$2</f>
        <v>0</v>
      </c>
      <c r="G34" s="4"/>
      <c r="H34" s="173">
        <v>6.5696975988377062</v>
      </c>
      <c r="I34" s="173">
        <f t="shared" si="1"/>
        <v>13.805097743605302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3.7618534205587726</v>
      </c>
      <c r="C36" s="1097">
        <f>C29/C6</f>
        <v>3.7618534205587726</v>
      </c>
      <c r="D36" s="1847"/>
      <c r="E36" s="1097">
        <f>MAX(E29,0)/E6</f>
        <v>0</v>
      </c>
      <c r="F36" s="1824">
        <f>MAX(F29,0)/F6</f>
        <v>0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4.3552335100351485</v>
      </c>
      <c r="C37" s="1840">
        <f>C33/C6</f>
        <v>4.3552335100351485</v>
      </c>
      <c r="D37" s="1847"/>
      <c r="E37" s="1840">
        <f>MAX(E33,0)/E6</f>
        <v>0</v>
      </c>
      <c r="F37" s="1841">
        <f>MAX(F33,0)/F6</f>
        <v>0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4.5277322983206681E-3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1. 2025 Corn Enterprise Budget, Stacked Gene, Furrow Irrigation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215</v>
      </c>
      <c r="E3" s="1258">
        <f>A3_Production_Look_Up!B5</f>
        <v>4.45</v>
      </c>
      <c r="F3" s="9">
        <f>IF('C1_Messages_Indicators'!B3=1,(D3*E3*B3),"Error")</f>
        <v>956.75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Thous</v>
      </c>
      <c r="D6" s="552">
        <f>Seed_Chemical!E4</f>
        <v>32</v>
      </c>
      <c r="E6" s="10">
        <f>Seed_Chemical!D4</f>
        <v>4.1900000000000004</v>
      </c>
      <c r="F6" s="9">
        <f t="shared" ref="F6:F11" si="0">D6*E6*B6</f>
        <v>134.08000000000001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435</v>
      </c>
      <c r="E7" s="10">
        <f>Fertilizer!E3</f>
        <v>0.25750000000000001</v>
      </c>
      <c r="F7" s="9">
        <f t="shared" si="0"/>
        <v>112.0125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175</v>
      </c>
      <c r="E8" s="10">
        <f>Fertilizer!E4</f>
        <v>0.34499999999999997</v>
      </c>
      <c r="F8" s="9">
        <f t="shared" si="0"/>
        <v>60.374999999999993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130</v>
      </c>
      <c r="E9" s="10">
        <f>Fertilizer!E5</f>
        <v>0.25</v>
      </c>
      <c r="F9" s="9">
        <f t="shared" si="0"/>
        <v>32.5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100</v>
      </c>
      <c r="E10" s="10">
        <f>Fertilizer!E6</f>
        <v>0.26</v>
      </c>
      <c r="F10" s="9">
        <f t="shared" si="0"/>
        <v>26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Zinc Sulfate 33%</v>
      </c>
      <c r="B11" s="33">
        <v>1</v>
      </c>
      <c r="C11" s="8" t="str">
        <f>Fertilizer!C7</f>
        <v>Lbs</v>
      </c>
      <c r="D11" s="10">
        <f>Fertilizer!D7</f>
        <v>29</v>
      </c>
      <c r="E11" s="10">
        <f>Fertilizer!E7</f>
        <v>1.726</v>
      </c>
      <c r="F11" s="9">
        <f t="shared" si="0"/>
        <v>50.054000000000002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Other Nutrients, Including Poultry Litter</v>
      </c>
      <c r="B12" s="33">
        <v>1</v>
      </c>
      <c r="C12" s="8" t="str">
        <f>Fertilizer!C8</f>
        <v>Lbs</v>
      </c>
      <c r="D12" s="10">
        <f>Fertilizer!D8</f>
        <v>0</v>
      </c>
      <c r="E12" s="10">
        <f>Fertilizer!E8</f>
        <v>18.21</v>
      </c>
      <c r="F12" s="9">
        <f>D12*E12*B12</f>
        <v>0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61.790156249999995</v>
      </c>
      <c r="F14" s="9">
        <f t="shared" si="1"/>
        <v>61.790156249999995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0</v>
      </c>
      <c r="F15" s="9">
        <f t="shared" si="1"/>
        <v>0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0</v>
      </c>
      <c r="F16" s="9">
        <f t="shared" si="1"/>
        <v>0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5</v>
      </c>
      <c r="E20" s="2">
        <v>8.5</v>
      </c>
      <c r="F20" s="9">
        <f>D20*E20*B20</f>
        <v>42.5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0</v>
      </c>
      <c r="E21" s="2">
        <v>10</v>
      </c>
      <c r="F21" s="9">
        <f>D21*E21*B21</f>
        <v>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100</v>
      </c>
      <c r="E22" s="2">
        <v>0.1</v>
      </c>
      <c r="F22" s="9">
        <f>FLOOR((D22*E22*B22), 10)</f>
        <v>10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2.756927084014182</v>
      </c>
      <c r="E25" s="18">
        <f>Irrigation!B14</f>
        <v>2.8</v>
      </c>
      <c r="F25" s="9">
        <f t="shared" ref="F25:F36" si="2">D25*E25*B25</f>
        <v>7.719395835239709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5.9610027838445596</v>
      </c>
      <c r="F26" s="9">
        <f t="shared" si="2"/>
        <v>5.9610027838445596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3.0817959183673471</v>
      </c>
      <c r="E27" s="18">
        <f>Irrigation!B14</f>
        <v>2.8</v>
      </c>
      <c r="F27" s="9">
        <f t="shared" si="2"/>
        <v>8.6290285714285719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12.469858578689628</v>
      </c>
      <c r="F28" s="9">
        <f t="shared" si="2"/>
        <v>12.469858578689628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14</v>
      </c>
      <c r="E29" s="10">
        <f>'C2_Irrigation_Calculations'!I26*'C1_Messages_Indicators'!B34</f>
        <v>3.3071670175438594</v>
      </c>
      <c r="F29" s="9">
        <f t="shared" si="2"/>
        <v>46.300338245614029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14</v>
      </c>
      <c r="E30" s="10">
        <f>IF(D29&gt;0,('C2_Irrigation_Calculations'!I33/D29),0)</f>
        <v>0.26411458333333337</v>
      </c>
      <c r="F30" s="9">
        <f>D30*E30</f>
        <v>3.6976041666666672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16.25</v>
      </c>
      <c r="F31" s="9">
        <f t="shared" si="2"/>
        <v>16.25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Other Inputs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</v>
      </c>
      <c r="F32" s="9">
        <f t="shared" si="2"/>
        <v>0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1229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</f>
        <v>0.76030461241622671</v>
      </c>
      <c r="E33" s="316">
        <v>14.53</v>
      </c>
      <c r="F33" s="9">
        <f t="shared" si="2"/>
        <v>11.047226018407773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6</v>
      </c>
      <c r="F34" s="9">
        <f t="shared" si="2"/>
        <v>6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0</v>
      </c>
      <c r="F35" s="9">
        <f t="shared" si="2"/>
        <v>0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34</v>
      </c>
      <c r="F36" s="9">
        <f t="shared" si="2"/>
        <v>34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681.38611044989091</v>
      </c>
      <c r="F37" s="9">
        <f>((D37/100)*Program_Variables!D34)*SUM(F6:F36)*B37</f>
        <v>30.662374970245089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215</v>
      </c>
      <c r="E40" s="2">
        <f>A3_Production_Look_Up!B37</f>
        <v>0.19</v>
      </c>
      <c r="F40" s="9">
        <f>D40*E40*B40</f>
        <v>40.85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215</v>
      </c>
      <c r="E41" s="2">
        <f>A3_Production_Look_Up!B38</f>
        <v>0.25</v>
      </c>
      <c r="F41" s="9">
        <f>D41*E41*B41</f>
        <v>53.75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215</v>
      </c>
      <c r="E42" s="1964">
        <f>A3_Production_Look_Up!B39</f>
        <v>0.01</v>
      </c>
      <c r="F42" s="9">
        <f>D42*E42*B42</f>
        <v>2.15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808.79848542013599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147.95151457986401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91.39533000594308</v>
      </c>
      <c r="F48" s="9">
        <f>D48*E48</f>
        <v>91.39533000594308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31.611622731180638</v>
      </c>
      <c r="F49" s="9">
        <f>D49*E49</f>
        <v>31.611622731180638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4.5697665002971544</v>
      </c>
      <c r="F50" s="9">
        <f>D50*E50</f>
        <v>4.5697665002971544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127.57671923742087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936.37520465755688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20.374795342443122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435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175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435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130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100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Zinc Sulfate 33%</v>
      </c>
      <c r="C7" s="1508" t="str">
        <f>Program_Variables!D10</f>
        <v>Lbs</v>
      </c>
      <c r="D7" s="1443">
        <f>A3_Production_Look_Up!B17</f>
        <v>29</v>
      </c>
      <c r="E7" s="1891">
        <f>Program_Variables!E10</f>
        <v>1.726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Other Nutrients, Including Poultry Litter</v>
      </c>
      <c r="C8" s="1508" t="str">
        <f>Program_Variables!D11</f>
        <v>Lbs</v>
      </c>
      <c r="D8" s="1443">
        <f>A3_Production_Look_Up!B19</f>
        <v>0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0.55978260869565222</v>
      </c>
      <c r="J8" s="1892">
        <f>(J4*H4)+J5+(J6*H6)+(J7*H7)</f>
        <v>200.10000000000002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workbookViewId="0">
      <selection sqref="A1:B1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Thous</v>
      </c>
      <c r="D4" s="1585">
        <f>A3_Production_Look_Up!B43</f>
        <v>4.1900000000000004</v>
      </c>
      <c r="E4" s="1586">
        <f>A3_Production_Look_Up!B45</f>
        <v>32</v>
      </c>
      <c r="F4" s="1587">
        <f>D4*E4</f>
        <v>134.08000000000001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Thous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134.08000000000001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 t="str">
        <f>IF(A5_Chem_Look_Up!$F6&gt;0,A5_Chem_Look_Up!B6," ")</f>
        <v/>
      </c>
      <c r="C12" s="1603" t="str">
        <f>IF(A5_Chem_Look_Up!$F6&gt;0,A5_Chem_Look_Up!C6," ")</f>
        <v>pt</v>
      </c>
      <c r="D12" s="1601">
        <f>IF(A5_Chem_Look_Up!$F6&gt;0,A5_Chem_Look_Up!D6,0)</f>
        <v>2.1875</v>
      </c>
      <c r="E12" s="1586">
        <f>IF(A5_Chem_Look_Up!$F6&gt;0,A5_Chem_Look_Up!E6,0)</f>
        <v>2</v>
      </c>
      <c r="F12" s="1587">
        <f>D12*E12</f>
        <v>4.375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2,4-D</v>
      </c>
      <c r="B13" s="1602" t="str">
        <f>IF(A5_Chem_Look_Up!$F7&gt;0,A5_Chem_Look_Up!B7," ")</f>
        <v/>
      </c>
      <c r="C13" s="1605" t="str">
        <f>IF(A5_Chem_Look_Up!$F7&gt;0,A5_Chem_Look_Up!C7," ")</f>
        <v>pt</v>
      </c>
      <c r="D13" s="1601">
        <f>IF(A5_Chem_Look_Up!$F7&gt;0,A5_Chem_Look_Up!D7,0)</f>
        <v>2.5</v>
      </c>
      <c r="E13" s="1586">
        <f>IF(A5_Chem_Look_Up!$F7&gt;0,A5_Chem_Look_Up!E7,0)</f>
        <v>2</v>
      </c>
      <c r="F13" s="1587">
        <f t="shared" ref="F13:F25" si="0">D13*E13</f>
        <v>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Zidua SC</v>
      </c>
      <c r="B14" s="1602" t="str">
        <f>IF(A5_Chem_Look_Up!$F8&gt;0,A5_Chem_Look_Up!B8," ")</f>
        <v/>
      </c>
      <c r="C14" s="1603" t="str">
        <f>IF(A5_Chem_Look_Up!$F8&gt;0,A5_Chem_Look_Up!C8," ")</f>
        <v>oz</v>
      </c>
      <c r="D14" s="1601">
        <f>IF(A5_Chem_Look_Up!$F8&gt;0,A5_Chem_Look_Up!D8,0)</f>
        <v>5.7421875</v>
      </c>
      <c r="E14" s="1586">
        <f>IF(A5_Chem_Look_Up!$F8&gt;0,A5_Chem_Look_Up!E8,0)</f>
        <v>3.5</v>
      </c>
      <c r="F14" s="1587">
        <f t="shared" si="0"/>
        <v>20.09765625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Halex GT</v>
      </c>
      <c r="B15" s="1602" t="str">
        <f>IF(A5_Chem_Look_Up!$F9&gt;0,A5_Chem_Look_Up!B9," ")</f>
        <v/>
      </c>
      <c r="C15" s="1605" t="str">
        <f>IF(A5_Chem_Look_Up!$F9&gt;0,A5_Chem_Look_Up!C9," ")</f>
        <v>pt</v>
      </c>
      <c r="D15" s="1601">
        <f>IF(A5_Chem_Look_Up!$F9&gt;0,A5_Chem_Look_Up!D9,0)</f>
        <v>6.8937499999999998</v>
      </c>
      <c r="E15" s="1586">
        <f>IF(A5_Chem_Look_Up!$F9&gt;0,A5_Chem_Look_Up!E9,0)</f>
        <v>3.6</v>
      </c>
      <c r="F15" s="1587">
        <f t="shared" si="0"/>
        <v>24.817499999999999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Atrazine</v>
      </c>
      <c r="B16" s="1602" t="str">
        <f>IF(A5_Chem_Look_Up!$F10&gt;0,A5_Chem_Look_Up!B10," ")</f>
        <v/>
      </c>
      <c r="C16" s="1603" t="str">
        <f>IF(A5_Chem_Look_Up!$F10&gt;0,A5_Chem_Look_Up!C10," ")</f>
        <v>qt</v>
      </c>
      <c r="D16" s="1601">
        <f>IF(A5_Chem_Look_Up!$F10&gt;0,A5_Chem_Look_Up!D10,0)</f>
        <v>3.75</v>
      </c>
      <c r="E16" s="1586">
        <f>IF(A5_Chem_Look_Up!$F10&gt;0,A5_Chem_Look_Up!E10,0)</f>
        <v>2</v>
      </c>
      <c r="F16" s="1587">
        <f t="shared" si="0"/>
        <v>7.5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 xml:space="preserve"> </v>
      </c>
      <c r="B17" s="1602" t="str">
        <f>IF(A5_Chem_Look_Up!$F11&gt;0,A5_Chem_Look_Up!B11," ")</f>
        <v xml:space="preserve"> </v>
      </c>
      <c r="C17" s="1603" t="str">
        <f>IF(A5_Chem_Look_Up!$F11&gt;0,A5_Chem_Look_Up!C11," ")</f>
        <v xml:space="preserve"> </v>
      </c>
      <c r="D17" s="1601">
        <f>IF(A5_Chem_Look_Up!$F11&gt;0,A5_Chem_Look_Up!D11,0)</f>
        <v>0</v>
      </c>
      <c r="E17" s="1586">
        <f>IF(A5_Chem_Look_Up!$F11&gt;0,A5_Chem_Look_Up!E11,0)</f>
        <v>0</v>
      </c>
      <c r="F17" s="1587">
        <f t="shared" si="0"/>
        <v>0</v>
      </c>
      <c r="G17" s="20"/>
    </row>
    <row r="18" spans="1:7" ht="12.95" customHeight="1" x14ac:dyDescent="0.35">
      <c r="A18" s="1601" t="str">
        <f>IF(A5_Chem_Look_Up!$F12&gt;0,A5_Chem_Look_Up!A12," ")</f>
        <v xml:space="preserve"> </v>
      </c>
      <c r="B18" s="1602" t="str">
        <f>IF(A5_Chem_Look_Up!$F12&gt;0,A5_Chem_Look_Up!B12," ")</f>
        <v xml:space="preserve"> </v>
      </c>
      <c r="C18" s="1603" t="str">
        <f>IF(A5_Chem_Look_Up!$F12&gt;0,A5_Chem_Look_Up!C12," ")</f>
        <v xml:space="preserve"> </v>
      </c>
      <c r="D18" s="1601">
        <f>IF(A5_Chem_Look_Up!$F12&gt;0,A5_Chem_Look_Up!D12,0)</f>
        <v>0</v>
      </c>
      <c r="E18" s="1586">
        <f>IF(A5_Chem_Look_Up!$F12&gt;0,A5_Chem_Look_Up!E12,0)</f>
        <v>0</v>
      </c>
      <c r="F18" s="1587">
        <f t="shared" si="0"/>
        <v>0</v>
      </c>
      <c r="G18" s="20"/>
    </row>
    <row r="19" spans="1:7" ht="12.95" customHeight="1" x14ac:dyDescent="0.35">
      <c r="A19" s="1601" t="str">
        <f>IF(A5_Chem_Look_Up!$F13&gt;0,A5_Chem_Look_Up!A13," ")</f>
        <v xml:space="preserve"> </v>
      </c>
      <c r="B19" s="1602" t="str">
        <f>IF(A5_Chem_Look_Up!$F13&gt;0,A5_Chem_Look_Up!B13," ")</f>
        <v xml:space="preserve"> </v>
      </c>
      <c r="C19" s="1603" t="str">
        <f>IF(A5_Chem_Look_Up!$F13&gt;0,A5_Chem_Look_Up!C13," ")</f>
        <v xml:space="preserve"> </v>
      </c>
      <c r="D19" s="1601">
        <f>IF(A5_Chem_Look_Up!$F13&gt;0,A5_Chem_Look_Up!D13,0)</f>
        <v>0</v>
      </c>
      <c r="E19" s="1586">
        <f>IF(A5_Chem_Look_Up!$F13&gt;0,A5_Chem_Look_Up!E13,0)</f>
        <v>0</v>
      </c>
      <c r="F19" s="1587">
        <f t="shared" si="0"/>
        <v>0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61.790156249999995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 xml:space="preserve"> </v>
      </c>
      <c r="B30" s="1602" t="str">
        <f>IF(A5_Chem_Look_Up!$F24&gt;0,A5_Chem_Look_Up!B24," ")</f>
        <v xml:space="preserve"> </v>
      </c>
      <c r="C30" s="1603" t="str">
        <f>IF(A5_Chem_Look_Up!$F24&gt;0,A5_Chem_Look_Up!C24," ")</f>
        <v xml:space="preserve"> </v>
      </c>
      <c r="D30" s="1601">
        <f>IF(A5_Chem_Look_Up!$F24&gt;0,A5_Chem_Look_Up!D24,0)</f>
        <v>0</v>
      </c>
      <c r="E30" s="1586">
        <f>IF(A5_Chem_Look_Up!$F24&gt;0,A5_Chem_Look_Up!E24,0)</f>
        <v>0</v>
      </c>
      <c r="F30" s="1587">
        <f t="shared" ref="F30:F39" si="1">D30*E30</f>
        <v>0</v>
      </c>
      <c r="G30" s="20"/>
    </row>
    <row r="31" spans="1:7" ht="12.95" customHeight="1" x14ac:dyDescent="0.35">
      <c r="A31" s="1601" t="str">
        <f>IF(A5_Chem_Look_Up!$F25&gt;0,A5_Chem_Look_Up!A25," ")</f>
        <v xml:space="preserve"> </v>
      </c>
      <c r="B31" s="1602" t="str">
        <f>IF(A5_Chem_Look_Up!$F25&gt;0,A5_Chem_Look_Up!B25," ")</f>
        <v xml:space="preserve"> </v>
      </c>
      <c r="C31" s="1603" t="str">
        <f>IF(A5_Chem_Look_Up!$F25&gt;0,A5_Chem_Look_Up!C25," ")</f>
        <v xml:space="preserve"> </v>
      </c>
      <c r="D31" s="1601">
        <f>IF(A5_Chem_Look_Up!$F25&gt;0,A5_Chem_Look_Up!D25,0)</f>
        <v>0</v>
      </c>
      <c r="E31" s="1586">
        <f>IF(A5_Chem_Look_Up!$F25&gt;0,A5_Chem_Look_Up!E25,0)</f>
        <v>0</v>
      </c>
      <c r="F31" s="1587">
        <f t="shared" si="1"/>
        <v>0</v>
      </c>
      <c r="G31" s="20"/>
    </row>
    <row r="32" spans="1:7" ht="12.95" customHeight="1" x14ac:dyDescent="0.35">
      <c r="A32" s="1601" t="str">
        <f>IF(A5_Chem_Look_Up!$F26&gt;0,A5_Chem_Look_Up!A26," ")</f>
        <v xml:space="preserve"> </v>
      </c>
      <c r="B32" s="1602" t="str">
        <f>IF(A5_Chem_Look_Up!$F26&gt;0,A5_Chem_Look_Up!B26," ")</f>
        <v xml:space="preserve"> </v>
      </c>
      <c r="C32" s="1603" t="str">
        <f>IF(A5_Chem_Look_Up!$F26&gt;0,A5_Chem_Look_Up!C26," ")</f>
        <v xml:space="preserve"> </v>
      </c>
      <c r="D32" s="1601">
        <f>IF(A5_Chem_Look_Up!$F26&gt;0,A5_Chem_Look_Up!D26,0)</f>
        <v>0</v>
      </c>
      <c r="E32" s="1586">
        <f>IF(A5_Chem_Look_Up!$F26&gt;0,A5_Chem_Look_Up!E26,0)</f>
        <v>0</v>
      </c>
      <c r="F32" s="1587">
        <f t="shared" si="1"/>
        <v>0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0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 xml:space="preserve"> </v>
      </c>
      <c r="B44" s="1602" t="str">
        <f>IF(A5_Chem_Look_Up!$F38&gt;0,A5_Chem_Look_Up!B38," ")</f>
        <v xml:space="preserve"> </v>
      </c>
      <c r="C44" s="1605" t="str">
        <f>IF(A5_Chem_Look_Up!$F38&gt;0,A5_Chem_Look_Up!C38," ")</f>
        <v xml:space="preserve"> </v>
      </c>
      <c r="D44" s="1601">
        <f>IF(A5_Chem_Look_Up!$F38&gt;0,A5_Chem_Look_Up!D38,0)</f>
        <v>0</v>
      </c>
      <c r="E44" s="1586">
        <f>IF(A5_Chem_Look_Up!$F38&gt;0,A5_Chem_Look_Up!E38,0)</f>
        <v>0</v>
      </c>
      <c r="F44" s="1587">
        <f>D44*E44</f>
        <v>0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0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  <c r="G50" s="20"/>
    </row>
    <row r="51" spans="1:7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  <c r="G51" s="20"/>
    </row>
    <row r="52" spans="1:7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workbookViewId="0"/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1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6.9248797198730827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12.654351025409573</v>
      </c>
      <c r="L6" s="1517">
        <f>IF(AND(Budget!$B$3=1,Budget!$E$44=0),1,0)</f>
        <v>1</v>
      </c>
      <c r="M6" s="560">
        <v>1</v>
      </c>
      <c r="N6" s="869">
        <f>'C2_Irrigation_Calculations'!K6*Budget!D$30</f>
        <v>1.9250000000000003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11.652548235897981</v>
      </c>
      <c r="L7" s="1517">
        <v>1</v>
      </c>
      <c r="M7" s="560">
        <v>1</v>
      </c>
      <c r="N7" s="869">
        <f>'C2_Irrigation_Calculations'!K7*Budget!D$30</f>
        <v>1.7726041666666668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31.231778981180639</v>
      </c>
      <c r="L10" s="1384"/>
      <c r="M10" s="1329" t="s">
        <v>768</v>
      </c>
      <c r="N10" s="870">
        <f>SUM(N4:N9)</f>
        <v>3.6976041666666672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160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5057.8596369889019</v>
      </c>
      <c r="F38" s="926">
        <f>(SUM(Trips!B30:B31)+SUM(Trips!B33:B37))*IF(B2=2,I15,I14)</f>
        <v>840.1884714052818</v>
      </c>
      <c r="G38" s="927">
        <f t="shared" ref="G38:G43" si="0">SUM(E38:F38)</f>
        <v>5898.0481083941841</v>
      </c>
    </row>
    <row r="39" spans="4:7" ht="13.9" x14ac:dyDescent="0.4">
      <c r="D39" s="863" t="s">
        <v>243</v>
      </c>
      <c r="E39" s="926">
        <f>Trips!C76*IF(B2=2,I15,I14)</f>
        <v>591.61666666666679</v>
      </c>
      <c r="F39" s="926">
        <f>(SUM(Trips!C30:C31)+SUM(Trips!C33:C37))*IF(B2=2,I15,I14)</f>
        <v>42.479249046363883</v>
      </c>
      <c r="G39" s="927">
        <f t="shared" si="0"/>
        <v>634.09591571303065</v>
      </c>
    </row>
    <row r="40" spans="4:7" ht="13.9" x14ac:dyDescent="0.4">
      <c r="D40" s="863" t="s">
        <v>616</v>
      </c>
      <c r="E40" s="926">
        <f>Trips!D76*IF(B2=2,I15,I14)</f>
        <v>7408.0541192982446</v>
      </c>
      <c r="F40" s="926">
        <f>(SUM(Trips!D30:D31)+SUM(Trips!D33:D37))*IF(B2=2,I15,I14)</f>
        <v>172.24094236605532</v>
      </c>
      <c r="G40" s="927">
        <f t="shared" si="0"/>
        <v>7580.2950616643002</v>
      </c>
    </row>
    <row r="41" spans="4:7" ht="13.9" x14ac:dyDescent="0.4">
      <c r="D41" s="863" t="s">
        <v>55</v>
      </c>
      <c r="E41" s="926">
        <f>Trips!E76*IF(B2=2,I15,I14)</f>
        <v>107.40575999999999</v>
      </c>
      <c r="F41" s="926">
        <f>(SUM(Trips!E30:E31)+SUM(Trips!E33:E37))*IF(B2=2,I15,I14)</f>
        <v>362.16614029897062</v>
      </c>
      <c r="G41" s="927">
        <f t="shared" si="0"/>
        <v>469.5719002989706</v>
      </c>
    </row>
    <row r="42" spans="4:7" ht="13.9" x14ac:dyDescent="0.4">
      <c r="D42" s="863" t="s">
        <v>626</v>
      </c>
      <c r="E42" s="926">
        <f>Budget!F31*IF(Irrigation!B2=2,Irrigation!I15,Irrigation!I14)</f>
        <v>2600</v>
      </c>
      <c r="F42" s="926">
        <v>0</v>
      </c>
      <c r="G42" s="927">
        <f t="shared" si="0"/>
        <v>2600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42.00942357026409</v>
      </c>
      <c r="G43" s="927">
        <f t="shared" si="0"/>
        <v>42.00942357026409</v>
      </c>
    </row>
    <row r="44" spans="4:7" ht="13.9" thickBot="1" x14ac:dyDescent="0.4">
      <c r="D44" s="504" t="s">
        <v>22</v>
      </c>
      <c r="E44" s="928">
        <f>SUM(E38:E43)</f>
        <v>15764.936182953812</v>
      </c>
      <c r="F44" s="928">
        <f>SUM(F38:F43)</f>
        <v>1459.0842266869358</v>
      </c>
      <c r="G44" s="929">
        <f>SUM(G38:G43)</f>
        <v>17224.020409640747</v>
      </c>
    </row>
    <row r="45" spans="4:7" ht="13.9" x14ac:dyDescent="0.4">
      <c r="D45" s="922" t="s">
        <v>631</v>
      </c>
      <c r="E45" s="935">
        <f>IF(B2&lt;3,Budget!D29,0)</f>
        <v>14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>
        <f t="shared" ref="E48:G54" si="1">IF($E$34&gt;0,E38/$E$34," ")</f>
        <v>31.611622731180638</v>
      </c>
      <c r="F48" s="82">
        <f t="shared" si="1"/>
        <v>5.2511779462830113</v>
      </c>
      <c r="G48" s="934">
        <f t="shared" si="1"/>
        <v>36.862800677463653</v>
      </c>
    </row>
    <row r="49" spans="4:7" ht="13.9" x14ac:dyDescent="0.4">
      <c r="D49" s="863" t="s">
        <v>243</v>
      </c>
      <c r="E49" s="82">
        <f t="shared" si="1"/>
        <v>3.6976041666666672</v>
      </c>
      <c r="F49" s="82">
        <f t="shared" si="1"/>
        <v>0.26549530653977427</v>
      </c>
      <c r="G49" s="934">
        <f t="shared" si="1"/>
        <v>3.9630994732064417</v>
      </c>
    </row>
    <row r="50" spans="4:7" ht="13.9" x14ac:dyDescent="0.4">
      <c r="D50" s="863" t="s">
        <v>616</v>
      </c>
      <c r="E50" s="82">
        <f t="shared" si="1"/>
        <v>46.300338245614029</v>
      </c>
      <c r="F50" s="82">
        <f t="shared" si="1"/>
        <v>1.0765058897878457</v>
      </c>
      <c r="G50" s="934">
        <f t="shared" si="1"/>
        <v>47.376844135401875</v>
      </c>
    </row>
    <row r="51" spans="4:7" ht="13.9" x14ac:dyDescent="0.4">
      <c r="D51" s="863" t="s">
        <v>55</v>
      </c>
      <c r="E51" s="82">
        <f t="shared" si="1"/>
        <v>0.67128599999999994</v>
      </c>
      <c r="F51" s="82">
        <f t="shared" si="1"/>
        <v>2.2635383768685662</v>
      </c>
      <c r="G51" s="934">
        <f t="shared" si="1"/>
        <v>2.9348243768685665</v>
      </c>
    </row>
    <row r="52" spans="4:7" ht="13.9" x14ac:dyDescent="0.4">
      <c r="D52" s="863" t="s">
        <v>626</v>
      </c>
      <c r="E52" s="82">
        <f t="shared" si="1"/>
        <v>16.25</v>
      </c>
      <c r="F52" s="82">
        <f t="shared" si="1"/>
        <v>0</v>
      </c>
      <c r="G52" s="934">
        <f t="shared" si="1"/>
        <v>16.25</v>
      </c>
    </row>
    <row r="53" spans="4:7" ht="13.9" x14ac:dyDescent="0.4">
      <c r="D53" s="863" t="s">
        <v>492</v>
      </c>
      <c r="E53" s="82">
        <f t="shared" si="1"/>
        <v>0</v>
      </c>
      <c r="F53" s="82">
        <f t="shared" si="1"/>
        <v>0.26255889731415055</v>
      </c>
      <c r="G53" s="934">
        <f t="shared" si="1"/>
        <v>0.26255889731415055</v>
      </c>
    </row>
    <row r="54" spans="4:7" ht="13.9" thickBot="1" x14ac:dyDescent="0.4">
      <c r="D54" s="504" t="s">
        <v>22</v>
      </c>
      <c r="E54" s="864">
        <f t="shared" si="1"/>
        <v>98.530851143461319</v>
      </c>
      <c r="F54" s="864">
        <f t="shared" si="1"/>
        <v>9.1192764167933493</v>
      </c>
      <c r="G54" s="870">
        <f t="shared" si="1"/>
        <v>107.65012756025467</v>
      </c>
    </row>
    <row r="55" spans="4:7" ht="13.9" x14ac:dyDescent="0.4">
      <c r="D55" s="922" t="s">
        <v>632</v>
      </c>
      <c r="E55" s="935">
        <f>E34</f>
        <v>160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361.27568835635014</v>
      </c>
      <c r="F58" s="82">
        <f>IF(Budget!$D$29&gt;0,F38/Budget!$D$29,)</f>
        <v>60.013462243234414</v>
      </c>
      <c r="G58" s="934">
        <f>IF(Budget!$D$29&gt;0,G38/Budget!$D$29,)</f>
        <v>421.28915059958456</v>
      </c>
    </row>
    <row r="59" spans="4:7" ht="13.9" x14ac:dyDescent="0.4">
      <c r="D59" s="863" t="s">
        <v>243</v>
      </c>
      <c r="E59" s="82">
        <f>IF(Budget!$D$29&gt;0,E39/Budget!$D$29,)</f>
        <v>42.25833333333334</v>
      </c>
      <c r="F59" s="82">
        <f>IF(Budget!$D$29&gt;0,F39/Budget!$D$29,)</f>
        <v>3.0342320747402773</v>
      </c>
      <c r="G59" s="934">
        <f>IF(Budget!$D$29&gt;0,G39/Budget!$D$29,)</f>
        <v>45.292565408073621</v>
      </c>
    </row>
    <row r="60" spans="4:7" ht="13.9" x14ac:dyDescent="0.4">
      <c r="D60" s="863" t="s">
        <v>616</v>
      </c>
      <c r="E60" s="82">
        <f>IF(Budget!$D$29&gt;0,E40/Budget!$D$29,)</f>
        <v>529.14672280701745</v>
      </c>
      <c r="F60" s="82">
        <f>IF(Budget!$D$29&gt;0,F40/Budget!$D$29,)</f>
        <v>12.302924454718237</v>
      </c>
      <c r="G60" s="934">
        <f>IF(Budget!$D$29&gt;0,G40/Budget!$D$29,)</f>
        <v>541.44964726173578</v>
      </c>
    </row>
    <row r="61" spans="4:7" ht="13.9" x14ac:dyDescent="0.4">
      <c r="D61" s="863" t="s">
        <v>55</v>
      </c>
      <c r="E61" s="82">
        <f>IF(Budget!$D$29&gt;0,E41/Budget!$D$29,)</f>
        <v>7.6718399999999987</v>
      </c>
      <c r="F61" s="82">
        <f>IF(Budget!$D$29&gt;0,F41/Budget!$D$29,)</f>
        <v>25.869010021355045</v>
      </c>
      <c r="G61" s="934">
        <f>IF(Budget!$D$29&gt;0,G41/Budget!$D$29,)</f>
        <v>33.540850021355041</v>
      </c>
    </row>
    <row r="62" spans="4:7" ht="13.9" x14ac:dyDescent="0.4">
      <c r="D62" s="863" t="s">
        <v>626</v>
      </c>
      <c r="E62" s="82">
        <f>IF(Budget!$D$29&gt;0,E42/Budget!$D$29,)</f>
        <v>185.71428571428572</v>
      </c>
      <c r="F62" s="82">
        <f>IF(Budget!$D$29&gt;0,F42/Budget!$D$29,)</f>
        <v>0</v>
      </c>
      <c r="G62" s="934">
        <f>IF(Budget!$D$29&gt;0,G42/Budget!$D$29,)</f>
        <v>185.71428571428572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3.0006731121617207</v>
      </c>
      <c r="G63" s="934">
        <f>IF(Budget!$D$29&gt;0,G43/Budget!$D$29,)</f>
        <v>3.0006731121617207</v>
      </c>
    </row>
    <row r="64" spans="4:7" ht="13.9" thickBot="1" x14ac:dyDescent="0.4">
      <c r="D64" s="504" t="s">
        <v>22</v>
      </c>
      <c r="E64" s="864">
        <f>IF(Budget!$D$29&gt;0,E44/Budget!$D$29,)</f>
        <v>1126.0668702109865</v>
      </c>
      <c r="F64" s="864">
        <f>IF(Budget!$D$29&gt;0,F44/Budget!$D$29,)</f>
        <v>104.2203019062097</v>
      </c>
      <c r="G64" s="870">
        <f>IF(Budget!$D$29&gt;0,G44/Budget!$D$29,)</f>
        <v>1230.2871721171962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>
        <f>IF(A2_Budget_Look_Up!B10&lt;1,IF(B2&lt;3,((G67*G68*IF(B2=2,I15,I14))-G44),"NA"),"NA")</f>
        <v>21175.979590359253</v>
      </c>
    </row>
    <row r="70" spans="4:7" ht="14.25" thickBot="1" x14ac:dyDescent="0.45">
      <c r="D70" s="185" t="s">
        <v>622</v>
      </c>
      <c r="E70" s="186"/>
      <c r="F70" s="186"/>
      <c r="G70" s="1936">
        <f>IF(A2_Budget_Look_Up!B10&lt;1,IF(B2&lt;3,((G67*G68)-G54),"NA"),"NA")</f>
        <v>132.34987243974533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topLeftCell="A39"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1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1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0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0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1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1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0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1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0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1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0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0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0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25</v>
      </c>
      <c r="E69" s="1971">
        <f>A6_Machine_Look_Up!D69</f>
        <v>3.5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1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0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0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25</v>
      </c>
      <c r="E74" s="1971">
        <f>A6_Machine_Look_Up!D74</f>
        <v>3.5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workbookViewId="0"/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8.2729323632800273</v>
      </c>
      <c r="C9" s="48">
        <f>Z1_Equipment_Calculations!AC19+Z1_Equipment_Calculations!AF19</f>
        <v>1.16379090688534</v>
      </c>
      <c r="D9" s="48">
        <f>Z1_Equipment_Calculations!AJ19</f>
        <v>1.5626470588235291</v>
      </c>
      <c r="E9" s="48">
        <f>Z1_Equipment_Calculations!AM19</f>
        <v>0.83333823529411755</v>
      </c>
      <c r="F9" s="53">
        <f t="shared" ref="F9:F18" si="0">SUM(B9:E9)</f>
        <v>11.832708564283015</v>
      </c>
      <c r="G9" s="62">
        <f>IF(Machine!$B19&gt;0,B9/Machine!$B19," ")</f>
        <v>8.2729323632800273</v>
      </c>
      <c r="H9" s="48">
        <f>IF(Machine!$B19&gt;0,C9/Machine!$B19," ")</f>
        <v>1.16379090688534</v>
      </c>
      <c r="I9" s="48">
        <f>IF(Machine!$B19&gt;0,D9/Machine!$B19," ")</f>
        <v>1.5626470588235291</v>
      </c>
      <c r="J9" s="48">
        <f>IF(Machine!$B19&gt;0,E9/Machine!$B19," ")</f>
        <v>0.83333823529411755</v>
      </c>
      <c r="K9" s="53">
        <f>IF(Machine!$B19&gt;0,F9/Machine!$B19," ")</f>
        <v>11.832708564283015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7.8838877630223569</v>
      </c>
      <c r="C10" s="48">
        <f>Z1_Equipment_Calculations!AC20+Z1_Equipment_Calculations!AF20</f>
        <v>1.0494634514671393</v>
      </c>
      <c r="D10" s="48">
        <f>Z1_Equipment_Calculations!AJ20</f>
        <v>1.708859649122807</v>
      </c>
      <c r="E10" s="48">
        <f>Z1_Equipment_Calculations!AM20</f>
        <v>0.91131140350877193</v>
      </c>
      <c r="F10" s="53">
        <f t="shared" si="0"/>
        <v>11.553522267121076</v>
      </c>
      <c r="G10" s="62">
        <f>IF(Machine!$B20&gt;0,B10/Machine!$B20," ")</f>
        <v>7.8838877630223569</v>
      </c>
      <c r="H10" s="48">
        <f>IF(Machine!$B20&gt;0,C10/Machine!$B20," ")</f>
        <v>1.0494634514671393</v>
      </c>
      <c r="I10" s="48">
        <f>IF(Machine!$B20&gt;0,D10/Machine!$B20," ")</f>
        <v>1.708859649122807</v>
      </c>
      <c r="J10" s="48">
        <f>IF(Machine!$B20&gt;0,E10/Machine!$B20," ")</f>
        <v>0.91131140350877193</v>
      </c>
      <c r="K10" s="53">
        <f>IF(Machine!$B20&gt;0,F10/Machine!$B20," ")</f>
        <v>11.553522267121076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0</v>
      </c>
      <c r="C13" s="48">
        <f>Z1_Equipment_Calculations!AC23+Z1_Equipment_Calculations!AF23</f>
        <v>0</v>
      </c>
      <c r="D13" s="48">
        <f>Z1_Equipment_Calculations!AJ23</f>
        <v>0</v>
      </c>
      <c r="E13" s="48">
        <f>Z1_Equipment_Calculations!AM23</f>
        <v>0</v>
      </c>
      <c r="F13" s="53">
        <f t="shared" si="0"/>
        <v>0</v>
      </c>
      <c r="G13" s="62" t="str">
        <f>IF(Machine!$B23&gt;0,B13/Machine!$B23," ")</f>
        <v xml:space="preserve"> </v>
      </c>
      <c r="H13" s="48" t="str">
        <f>IF(Machine!$B23&gt;0,C13/Machine!$B23," ")</f>
        <v xml:space="preserve"> </v>
      </c>
      <c r="I13" s="48" t="str">
        <f>IF(Machine!$B23&gt;0,D13/Machine!$B23," ")</f>
        <v xml:space="preserve"> </v>
      </c>
      <c r="J13" s="48" t="str">
        <f>IF(Machine!$B23&gt;0,E13/Machine!$B23," ")</f>
        <v xml:space="preserve"> </v>
      </c>
      <c r="K13" s="53" t="str">
        <f>IF(Machine!$B23&gt;0,F13/Machine!$B23," ")</f>
        <v xml:space="preserve"> 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</v>
      </c>
      <c r="C15" s="48">
        <f>Z1_Equipment_Calculations!AC25+Z1_Equipment_Calculations!AF25</f>
        <v>0</v>
      </c>
      <c r="D15" s="48">
        <f>Z1_Equipment_Calculations!AJ25</f>
        <v>0</v>
      </c>
      <c r="E15" s="48">
        <f>Z1_Equipment_Calculations!AM25</f>
        <v>0</v>
      </c>
      <c r="F15" s="53">
        <f t="shared" si="0"/>
        <v>0</v>
      </c>
      <c r="G15" s="62" t="str">
        <f>IF(Machine!$B25&gt;0,B15/Machine!$B25," ")</f>
        <v xml:space="preserve"> </v>
      </c>
      <c r="H15" s="48" t="str">
        <f>IF(Machine!$B25&gt;0,C15/Machine!$B25," ")</f>
        <v xml:space="preserve"> </v>
      </c>
      <c r="I15" s="48" t="str">
        <f>IF(Machine!$B25&gt;0,D15/Machine!$B25," ")</f>
        <v xml:space="preserve"> </v>
      </c>
      <c r="J15" s="48" t="str">
        <f>IF(Machine!$B25&gt;0,E15/Machine!$B25," ")</f>
        <v xml:space="preserve"> </v>
      </c>
      <c r="K15" s="53" t="str">
        <f>IF(Machine!$B25&gt;0,F15/Machine!$B25," ")</f>
        <v xml:space="preserve"> 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4.6543890672290615</v>
      </c>
      <c r="C18" s="48">
        <f>Z1_Equipment_Calculations!AC28+Z1_Equipment_Calculations!AF28</f>
        <v>0.80766507546005373</v>
      </c>
      <c r="D18" s="48">
        <f>Z1_Equipment_Calculations!AJ28</f>
        <v>0.93546218487394939</v>
      </c>
      <c r="E18" s="48">
        <f>Z1_Equipment_Calculations!AM28</f>
        <v>0.49886914765906354</v>
      </c>
      <c r="F18" s="53">
        <f t="shared" si="0"/>
        <v>6.8963854752221279</v>
      </c>
      <c r="G18" s="62">
        <f>IF(Machine!$B28&gt;0,B18/Machine!$B28," ")</f>
        <v>4.6543890672290615</v>
      </c>
      <c r="H18" s="48">
        <f>IF(Machine!$B28&gt;0,C18/Machine!$B28," ")</f>
        <v>0.80766507546005373</v>
      </c>
      <c r="I18" s="48">
        <f>IF(Machine!$B28&gt;0,D18/Machine!$B28," ")</f>
        <v>0.93546218487394939</v>
      </c>
      <c r="J18" s="48">
        <f>IF(Machine!$B28&gt;0,E18/Machine!$B28," ")</f>
        <v>0.49886914765906354</v>
      </c>
      <c r="K18" s="53">
        <f>IF(Machine!$B28&gt;0,F18/Machine!$B28," ")</f>
        <v>6.8963854752221279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4.4832918715221215</v>
      </c>
      <c r="C19" s="48">
        <f>Z1_Equipment_Calculations!AC29+Z1_Equipment_Calculations!AF29</f>
        <v>0.42653403490585207</v>
      </c>
      <c r="D19" s="48">
        <f>Z1_Equipment_Calculations!AJ29</f>
        <v>1.0985526315789471</v>
      </c>
      <c r="E19" s="48">
        <f>Z1_Equipment_Calculations!AM29</f>
        <v>0.58584304511278185</v>
      </c>
      <c r="F19" s="53">
        <f>SUM(B19:E19)</f>
        <v>6.594221583119702</v>
      </c>
      <c r="G19" s="62">
        <f>IF(Machine!$B29&gt;0,B19/Machine!$B29," ")</f>
        <v>4.4832918715221215</v>
      </c>
      <c r="H19" s="48">
        <f>IF(Machine!$B29&gt;0,C19/Machine!$B29," ")</f>
        <v>0.42653403490585207</v>
      </c>
      <c r="I19" s="48">
        <f>IF(Machine!$B29&gt;0,D19/Machine!$B29," ")</f>
        <v>1.0985526315789471</v>
      </c>
      <c r="J19" s="48">
        <f>IF(Machine!$B29&gt;0,E19/Machine!$B29," ")</f>
        <v>0.58584304511278185</v>
      </c>
      <c r="K19" s="53">
        <f>IF(Machine!$B29&gt;0,F19/Machine!$B29," ")</f>
        <v>6.594221583119702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0</v>
      </c>
      <c r="C22" s="48">
        <f>Z1_Equipment_Calculations!AC32+Z1_Equipment_Calculations!AF32</f>
        <v>0</v>
      </c>
      <c r="D22" s="48">
        <f>Z1_Equipment_Calculations!AJ32</f>
        <v>0</v>
      </c>
      <c r="E22" s="48">
        <f>Z1_Equipment_Calculations!AM32</f>
        <v>0</v>
      </c>
      <c r="F22" s="53">
        <f t="shared" si="1"/>
        <v>0</v>
      </c>
      <c r="G22" s="62" t="str">
        <f>IF(Machine!$B32&gt;0,B22/Machine!$B32," ")</f>
        <v xml:space="preserve"> </v>
      </c>
      <c r="H22" s="48" t="str">
        <f>IF(Machine!$B32&gt;0,C22/Machine!$B32," ")</f>
        <v xml:space="preserve"> </v>
      </c>
      <c r="I22" s="48" t="str">
        <f>IF(Machine!$B32&gt;0,D22/Machine!$B32," ")</f>
        <v xml:space="preserve"> </v>
      </c>
      <c r="J22" s="48" t="str">
        <f>IF(Machine!$B32&gt;0,E22/Machine!$B32," ")</f>
        <v xml:space="preserve"> </v>
      </c>
      <c r="K22" s="53" t="str">
        <f>IF(Machine!$B32&gt;0,F22/Machine!$B32," ")</f>
        <v xml:space="preserve"> 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8.3809010451777848</v>
      </c>
      <c r="C25" s="48">
        <f>Z1_Equipment_Calculations!AC35+Z1_Equipment_Calculations!AF35</f>
        <v>2.2480540085864007</v>
      </c>
      <c r="D25" s="48">
        <f>Z1_Equipment_Calculations!AJ35</f>
        <v>1.3373684210526315</v>
      </c>
      <c r="E25" s="48">
        <f>Z1_Equipment_Calculations!AM35</f>
        <v>0.93827327935222649</v>
      </c>
      <c r="F25" s="53">
        <f t="shared" si="1"/>
        <v>12.904596754169045</v>
      </c>
      <c r="G25" s="62">
        <f>IF(Machine!$B35&gt;0,B25/Machine!$B35," ")</f>
        <v>8.3809010451777848</v>
      </c>
      <c r="H25" s="48">
        <f>IF(Machine!$B35&gt;0,C25/Machine!$B35," ")</f>
        <v>2.2480540085864007</v>
      </c>
      <c r="I25" s="48">
        <f>IF(Machine!$B35&gt;0,D25/Machine!$B35," ")</f>
        <v>1.3373684210526315</v>
      </c>
      <c r="J25" s="48">
        <f>IF(Machine!$B35&gt;0,E25/Machine!$B35," ")</f>
        <v>0.93827327935222649</v>
      </c>
      <c r="K25" s="53">
        <f>IF(Machine!$B35&gt;0,F25/Machine!$B35," ")</f>
        <v>12.904596754169045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0</v>
      </c>
      <c r="C27" s="48">
        <f>Z1_Equipment_Calculations!AC37+Z1_Equipment_Calculations!AF37</f>
        <v>0</v>
      </c>
      <c r="D27" s="48">
        <f>Z1_Equipment_Calculations!AJ37</f>
        <v>0</v>
      </c>
      <c r="E27" s="48">
        <f>Z1_Equipment_Calculations!AM37</f>
        <v>0</v>
      </c>
      <c r="F27" s="53">
        <f t="shared" si="1"/>
        <v>0</v>
      </c>
      <c r="G27" s="62" t="str">
        <f>IF(Machine!$B37&gt;0,B27/Machine!$B37," ")</f>
        <v xml:space="preserve"> </v>
      </c>
      <c r="H27" s="48" t="str">
        <f>IF(Machine!$B37&gt;0,C27/Machine!$B37," ")</f>
        <v xml:space="preserve"> </v>
      </c>
      <c r="I27" s="48" t="str">
        <f>IF(Machine!$B37&gt;0,D27/Machine!$B37," ")</f>
        <v xml:space="preserve"> </v>
      </c>
      <c r="J27" s="48" t="str">
        <f>IF(Machine!$B37&gt;0,E27/Machine!$B37," ")</f>
        <v xml:space="preserve"> </v>
      </c>
      <c r="K27" s="53" t="str">
        <f>IF(Machine!$B37&gt;0,F27/Machine!$B37," ")</f>
        <v xml:space="preserve"> 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5.2511779462830113</v>
      </c>
      <c r="C31" s="48">
        <f>Z1_Equipment_Calculations!AC41+Z1_Equipment_Calculations!AF41</f>
        <v>0.26549530653977427</v>
      </c>
      <c r="D31" s="48">
        <f>Z1_Equipment_Calculations!AJ41</f>
        <v>1.0765058897878457</v>
      </c>
      <c r="E31" s="48">
        <f>Z1_Equipment_Calculations!AM41</f>
        <v>2.2635383768685662</v>
      </c>
      <c r="F31" s="53">
        <f t="shared" si="1"/>
        <v>8.8567175194791972</v>
      </c>
      <c r="G31" s="62">
        <f>IF(Machine!$B41&gt;0,B31/Machine!$B41," ")</f>
        <v>5.2511779462830113</v>
      </c>
      <c r="H31" s="48">
        <f>IF(Machine!$B41&gt;0,C31/Machine!$B41," ")</f>
        <v>0.26549530653977427</v>
      </c>
      <c r="I31" s="48">
        <f>IF(Machine!$B41&gt;0,D31/Machine!$B41," ")</f>
        <v>1.0765058897878457</v>
      </c>
      <c r="J31" s="48">
        <f>IF(Machine!$B41&gt;0,E31/Machine!$B41," ")</f>
        <v>2.2635383768685662</v>
      </c>
      <c r="K31" s="53">
        <f>IF(Machine!$B41&gt;0,F31/Machine!$B41," ")</f>
        <v>8.8567175194791972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0</v>
      </c>
      <c r="C33" s="48">
        <f>Z1_Equipment_Calculations!AC43+Z1_Equipment_Calculations!AF43</f>
        <v>0</v>
      </c>
      <c r="D33" s="48">
        <f>Z1_Equipment_Calculations!AJ43</f>
        <v>0</v>
      </c>
      <c r="E33" s="48">
        <f>Z1_Equipment_Calculations!AM43</f>
        <v>0</v>
      </c>
      <c r="F33" s="53">
        <f t="shared" si="1"/>
        <v>0</v>
      </c>
      <c r="G33" s="62" t="str">
        <f>IF(Machine!$B43&gt;0,B33/Machine!$B43," ")</f>
        <v xml:space="preserve"> </v>
      </c>
      <c r="H33" s="48" t="str">
        <f>IF(Machine!$B43&gt;0,C33/Machine!$B43," ")</f>
        <v xml:space="preserve"> </v>
      </c>
      <c r="I33" s="48" t="str">
        <f>IF(Machine!$B43&gt;0,D33/Machine!$B43," ")</f>
        <v xml:space="preserve"> </v>
      </c>
      <c r="J33" s="48" t="str">
        <f>IF(Machine!$B43&gt;0,E33/Machine!$B43," ")</f>
        <v xml:space="preserve"> </v>
      </c>
      <c r="K33" s="53" t="str">
        <f>IF(Machine!$B43&gt;0,F33/Machine!$B43," ")</f>
        <v xml:space="preserve"> 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0</v>
      </c>
      <c r="C36" s="48">
        <f>Z1_Equipment_Calculations!AC46+Z1_Equipment_Calculations!AF46</f>
        <v>0</v>
      </c>
      <c r="D36" s="48">
        <f>Z1_Equipment_Calculations!AJ46</f>
        <v>0</v>
      </c>
      <c r="E36" s="48">
        <f>Z1_Equipment_Calculations!AM46</f>
        <v>0</v>
      </c>
      <c r="F36" s="53">
        <f t="shared" si="1"/>
        <v>0</v>
      </c>
      <c r="G36" s="62" t="str">
        <f>IF(Machine!$B46&gt;0,B36/Machine!$B46," ")</f>
        <v xml:space="preserve"> </v>
      </c>
      <c r="H36" s="48" t="str">
        <f>IF(Machine!$B46&gt;0,C36/Machine!$B46," ")</f>
        <v xml:space="preserve"> </v>
      </c>
      <c r="I36" s="48" t="str">
        <f>IF(Machine!$B46&gt;0,D36/Machine!$B46," ")</f>
        <v xml:space="preserve"> </v>
      </c>
      <c r="J36" s="48" t="str">
        <f>IF(Machine!$B46&gt;0,E36/Machine!$B46," ")</f>
        <v xml:space="preserve"> </v>
      </c>
      <c r="K36" s="53" t="str">
        <f>IF(Machine!$B46&gt;0,F36/Machine!$B46," ")</f>
        <v xml:space="preserve"> 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0</v>
      </c>
      <c r="C37" s="48">
        <f>Z1_Equipment_Calculations!AC47+Z1_Equipment_Calculations!AF47</f>
        <v>0</v>
      </c>
      <c r="D37" s="48">
        <f>Z1_Equipment_Calculations!AJ47</f>
        <v>0</v>
      </c>
      <c r="E37" s="48">
        <f>Z1_Equipment_Calculations!AM47</f>
        <v>0</v>
      </c>
      <c r="F37" s="53">
        <f t="shared" si="1"/>
        <v>0</v>
      </c>
      <c r="G37" s="62" t="str">
        <f>IF(Machine!$B47&gt;0,B37/Machine!$B47," ")</f>
        <v xml:space="preserve"> </v>
      </c>
      <c r="H37" s="48" t="str">
        <f>IF(Machine!$B47&gt;0,C37/Machine!$B47," ")</f>
        <v xml:space="preserve"> </v>
      </c>
      <c r="I37" s="48" t="str">
        <f>IF(Machine!$B47&gt;0,D37/Machine!$B47," ")</f>
        <v xml:space="preserve"> </v>
      </c>
      <c r="J37" s="48" t="str">
        <f>IF(Machine!$B47&gt;0,E37/Machine!$B47," ")</f>
        <v xml:space="preserve"> </v>
      </c>
      <c r="K37" s="53" t="str">
        <f>IF(Machine!$B47&gt;0,F37/Machine!$B47," ")</f>
        <v xml:space="preserve"> 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38.926580056514368</v>
      </c>
      <c r="C45" s="77">
        <f>SUM(C4:C44)</f>
        <v>5.9610027838445605</v>
      </c>
      <c r="D45" s="77">
        <f>SUM(D4:D44)</f>
        <v>7.719395835239709</v>
      </c>
      <c r="E45" s="77">
        <f>SUM(E4:E44)</f>
        <v>6.0311734877955274</v>
      </c>
      <c r="F45" s="77">
        <f>SUM(F4:F44)</f>
        <v>58.63815216339416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34.0787421412223</v>
      </c>
      <c r="C59" s="75">
        <f>Z1_Equipment_Calculations!AC69+Z1_Equipment_Calculations!AF69</f>
        <v>6.3781429796093763</v>
      </c>
      <c r="D59" s="75">
        <f>Z1_Equipment_Calculations!AJ69</f>
        <v>5.3931428571428572</v>
      </c>
      <c r="E59" s="75">
        <f>Z1_Equipment_Calculations!AM69</f>
        <v>2.1723832653061232</v>
      </c>
      <c r="F59" s="75">
        <f t="shared" si="2"/>
        <v>48.022411243280658</v>
      </c>
      <c r="G59" s="74">
        <f>IF(Machine!$B69&gt;0,B59/Machine!$B69," ")</f>
        <v>34.0787421412223</v>
      </c>
      <c r="H59" s="75">
        <f>IF(Machine!$B69&gt;0,C59/Machine!$B69," ")</f>
        <v>6.3781429796093763</v>
      </c>
      <c r="I59" s="75">
        <f>IF(Machine!$B69&gt;0,D59/Machine!$B69," ")</f>
        <v>5.3931428571428572</v>
      </c>
      <c r="J59" s="75">
        <f>IF(Machine!$B69&gt;0,E59/Machine!$B69," ")</f>
        <v>2.1723832653061232</v>
      </c>
      <c r="K59" s="76">
        <f>IF(Machine!$B69&gt;0,F59/Machine!$B69," ")</f>
        <v>48.022411243280658</v>
      </c>
      <c r="L59" s="638">
        <f>Z1_Equipment_Calculations!N69</f>
        <v>7.424242424242423</v>
      </c>
      <c r="M59" s="639">
        <f>Z1_Equipment_Calculations!O69</f>
        <v>0.13469387755102044</v>
      </c>
    </row>
    <row r="60" spans="1:13" ht="13.15" x14ac:dyDescent="0.4">
      <c r="A60" s="69" t="str">
        <f>Machine!A70</f>
        <v>Corn Head</v>
      </c>
      <c r="B60" s="48">
        <f>Z1_Equipment_Calculations!Z70</f>
        <v>5.5932960874764195</v>
      </c>
      <c r="C60" s="48">
        <f>Z1_Equipment_Calculations!AC70+Z1_Equipment_Calculations!AF70</f>
        <v>3.4251018477670359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9.0183979352434562</v>
      </c>
      <c r="G60" s="62">
        <f>IF(Machine!$B70&gt;0,B60/Machine!$B70," ")</f>
        <v>5.5932960874764195</v>
      </c>
      <c r="H60" s="48">
        <f>IF(Machine!$B70&gt;0,C60/Machine!$B70," ")</f>
        <v>3.4251018477670359</v>
      </c>
      <c r="I60" s="48">
        <f>IF(Machine!$B70&gt;0,D60/Machine!$B70," ")</f>
        <v>0</v>
      </c>
      <c r="J60" s="48">
        <f>IF(Machine!$B70&gt;0,E60/Machine!$B70," ")</f>
        <v>0</v>
      </c>
      <c r="K60" s="53">
        <f>IF(Machine!$B70&gt;0,F60/Machine!$B70," ")</f>
        <v>9.0183979352434562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0</v>
      </c>
      <c r="C62" s="48">
        <f>Z1_Equipment_Calculations!AC72+Z1_Equipment_Calculations!AF72</f>
        <v>0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0</v>
      </c>
      <c r="G62" s="62" t="str">
        <f>IF(Machine!$B72&gt;0,B62/Machine!$B72," ")</f>
        <v xml:space="preserve"> </v>
      </c>
      <c r="H62" s="48" t="str">
        <f>IF(Machine!$B72&gt;0,C62/Machine!$B72," ")</f>
        <v xml:space="preserve"> </v>
      </c>
      <c r="I62" s="48" t="str">
        <f>IF(Machine!$B72&gt;0,D62/Machine!$B72," ")</f>
        <v xml:space="preserve"> </v>
      </c>
      <c r="J62" s="48" t="str">
        <f>IF(Machine!$B72&gt;0,E62/Machine!$B72," ")</f>
        <v xml:space="preserve"> </v>
      </c>
      <c r="K62" s="53" t="str">
        <f>IF(Machine!$B72&gt;0,F62/Machine!$B72," ")</f>
        <v xml:space="preserve"> 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0</v>
      </c>
      <c r="C63" s="48">
        <f>Z1_Equipment_Calculations!AC73+Z1_Equipment_Calculations!AF73</f>
        <v>0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0</v>
      </c>
      <c r="G63" s="62" t="str">
        <f>IF(Machine!$B73&gt;0,B63/Machine!$B73," ")</f>
        <v xml:space="preserve"> </v>
      </c>
      <c r="H63" s="48" t="str">
        <f>IF(Machine!$B73&gt;0,C63/Machine!$B73," ")</f>
        <v xml:space="preserve"> </v>
      </c>
      <c r="I63" s="48" t="str">
        <f>IF(Machine!$B73&gt;0,D63/Machine!$B73," ")</f>
        <v xml:space="preserve"> </v>
      </c>
      <c r="J63" s="48" t="str">
        <f>IF(Machine!$B73&gt;0,E63/Machine!$B73," ")</f>
        <v xml:space="preserve"> </v>
      </c>
      <c r="K63" s="53" t="str">
        <f>IF(Machine!$B73&gt;0,F63/Machine!$B73," ")</f>
        <v xml:space="preserve"> 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12.796711720729991</v>
      </c>
      <c r="C64" s="72">
        <f>Z1_Equipment_Calculations!AC74+Z1_Equipment_Calculations!AF74</f>
        <v>2.6666137513132151</v>
      </c>
      <c r="D64" s="72">
        <f>Z1_Equipment_Calculations!AJ74</f>
        <v>3.2358857142857151</v>
      </c>
      <c r="E64" s="72">
        <f>Z1_Equipment_Calculations!AM74</f>
        <v>2.1723832653061232</v>
      </c>
      <c r="F64" s="72">
        <f t="shared" si="2"/>
        <v>20.871594451635044</v>
      </c>
      <c r="G64" s="71">
        <f>IF(Machine!$B74&gt;0,B64/Machine!$B74," ")</f>
        <v>12.796711720729991</v>
      </c>
      <c r="H64" s="72">
        <f>IF(Machine!$B74&gt;0,C64/Machine!$B74," ")</f>
        <v>2.6666137513132151</v>
      </c>
      <c r="I64" s="72">
        <f>IF(Machine!$B74&gt;0,D64/Machine!$B74," ")</f>
        <v>3.2358857142857151</v>
      </c>
      <c r="J64" s="72">
        <f>IF(Machine!$B74&gt;0,E64/Machine!$B74," ")</f>
        <v>2.1723832653061232</v>
      </c>
      <c r="K64" s="73">
        <f>IF(Machine!$B74&gt;0,F64/Machine!$B74," ")</f>
        <v>20.871594451635044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52.468749949428712</v>
      </c>
      <c r="C72" s="77">
        <f>SUM(C54:C71)</f>
        <v>12.469858578689628</v>
      </c>
      <c r="D72" s="77">
        <f>SUM(D54:D71)</f>
        <v>8.6290285714285719</v>
      </c>
      <c r="E72" s="77">
        <f>SUM(E54:E71)</f>
        <v>4.3447665306122465</v>
      </c>
      <c r="F72" s="77">
        <f>SUM(F54:F71)</f>
        <v>77.912403630159162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91.39533000594308</v>
      </c>
      <c r="C74" s="77">
        <f>C45+C51+C72</f>
        <v>18.430861362534188</v>
      </c>
      <c r="D74" s="77">
        <f>D45+D51+D72</f>
        <v>16.348424406668279</v>
      </c>
      <c r="E74" s="77">
        <f>E45+E51+E72</f>
        <v>10.375940018407775</v>
      </c>
      <c r="F74" s="77">
        <f>F45+F51+F72</f>
        <v>136.55055579355331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31.611622731180638</v>
      </c>
      <c r="C76" s="77">
        <f>Budget!F30</f>
        <v>3.6976041666666672</v>
      </c>
      <c r="D76" s="77">
        <f>Budget!F29</f>
        <v>46.300338245614029</v>
      </c>
      <c r="E76" s="77">
        <f>'C2_Irrigation_Calculations'!M41*Budget!E33</f>
        <v>0.67128599999999994</v>
      </c>
      <c r="F76" s="77">
        <f>SUM(B76:E76)</f>
        <v>82.280851143461334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30.268598912650869</v>
      </c>
      <c r="D59" s="1288">
        <f>SUM(Z2_Machine_Custom_Calculations!W69:Y69)</f>
        <v>3.8101432285714294</v>
      </c>
      <c r="E59" s="1288">
        <f>Z2_Machine_Custom_Calculations!AC69+Z2_Machine_Custom_Calculations!AF69</f>
        <v>6.3781429796093763</v>
      </c>
      <c r="F59" s="1288">
        <f>Z2_Machine_Custom_Calculations!AJ69</f>
        <v>5.3931428571428572</v>
      </c>
      <c r="G59" s="1288">
        <f>Z2_Machine_Custom_Calculations!AM69</f>
        <v>2.1723832653061232</v>
      </c>
      <c r="H59" s="1289">
        <f t="shared" si="10"/>
        <v>48.022411243280658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35.236541542984433</v>
      </c>
      <c r="T60" s="1292">
        <f t="shared" si="18"/>
        <v>4.4354966857142868</v>
      </c>
      <c r="U60" s="1292">
        <f t="shared" si="18"/>
        <v>9.8032448273764121</v>
      </c>
      <c r="V60" s="1292">
        <f t="shared" si="18"/>
        <v>5.3931428571428572</v>
      </c>
      <c r="W60" s="1292">
        <f t="shared" si="18"/>
        <v>2.1723832653061232</v>
      </c>
      <c r="X60" s="1292">
        <f t="shared" si="18"/>
        <v>57.040809178524114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32.345688328540618</v>
      </c>
      <c r="T61" s="1292">
        <f t="shared" si="18"/>
        <v>4.0716025777777789</v>
      </c>
      <c r="U61" s="1292">
        <f t="shared" si="18"/>
        <v>7.8101729617800153</v>
      </c>
      <c r="V61" s="1292">
        <f t="shared" si="18"/>
        <v>5.3931428571428572</v>
      </c>
      <c r="W61" s="1292">
        <f t="shared" si="18"/>
        <v>2.1723832653061232</v>
      </c>
      <c r="X61" s="1292">
        <f t="shared" si="18"/>
        <v>51.79298999054739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36.977882258771452</v>
      </c>
      <c r="T62" s="1292">
        <f t="shared" si="18"/>
        <v>4.6546927428571436</v>
      </c>
      <c r="U62" s="1292">
        <f t="shared" si="18"/>
        <v>11.003795990511248</v>
      </c>
      <c r="V62" s="1292">
        <f t="shared" si="18"/>
        <v>5.3931428571428572</v>
      </c>
      <c r="W62" s="1292">
        <f t="shared" si="18"/>
        <v>2.1723832653061232</v>
      </c>
      <c r="X62" s="1292">
        <f t="shared" si="18"/>
        <v>60.201897114588824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32.042864137769996</v>
      </c>
      <c r="T63" s="1292">
        <f t="shared" si="18"/>
        <v>4.0334837489795925</v>
      </c>
      <c r="U63" s="1292">
        <f t="shared" si="18"/>
        <v>7.601393639526175</v>
      </c>
      <c r="V63" s="1292">
        <f t="shared" si="18"/>
        <v>5.3931428571428572</v>
      </c>
      <c r="W63" s="1292">
        <f t="shared" si="18"/>
        <v>2.1723832653061232</v>
      </c>
      <c r="X63" s="1292">
        <f t="shared" si="18"/>
        <v>51.243267648724746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11.210278700321828</v>
      </c>
      <c r="D64" s="1298">
        <f>SUM(Z2_Machine_Custom_Calculations!W74:Y74)</f>
        <v>1.5864330204081636</v>
      </c>
      <c r="E64" s="1298">
        <f>Z2_Machine_Custom_Calculations!AC74+Z2_Machine_Custom_Calculations!AF74</f>
        <v>2.6666137513132151</v>
      </c>
      <c r="F64" s="1298">
        <f>Z2_Machine_Custom_Calculations!AJ74</f>
        <v>3.2358857142857151</v>
      </c>
      <c r="G64" s="1298">
        <f>Z2_Machine_Custom_Calculations!AM74</f>
        <v>2.1723832653061232</v>
      </c>
      <c r="H64" s="1299">
        <f t="shared" si="10"/>
        <v>20.871594451635044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11.210278700321828</v>
      </c>
      <c r="T64" s="1292">
        <f t="shared" si="19"/>
        <v>1.5864330204081636</v>
      </c>
      <c r="U64" s="1292">
        <f t="shared" si="19"/>
        <v>2.6666137513132151</v>
      </c>
      <c r="V64" s="1292">
        <f t="shared" si="19"/>
        <v>3.2358857142857151</v>
      </c>
      <c r="W64" s="1292">
        <f t="shared" si="19"/>
        <v>2.1723832653061232</v>
      </c>
      <c r="X64" s="1292">
        <f t="shared" si="19"/>
        <v>20.871594451635044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160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5057.8596369889019</v>
      </c>
      <c r="C7" s="1224">
        <f>Irrigation!F38</f>
        <v>840.1884714052818</v>
      </c>
      <c r="D7" s="1225">
        <f>Irrigation!G38</f>
        <v>5898.0481083941841</v>
      </c>
    </row>
    <row r="8" spans="1:4" ht="13.9" x14ac:dyDescent="0.4">
      <c r="A8" s="1222" t="str">
        <f>Irrigation!D39</f>
        <v>Repairs</v>
      </c>
      <c r="B8" s="1224">
        <f>Irrigation!E39</f>
        <v>591.61666666666679</v>
      </c>
      <c r="C8" s="1224">
        <f>Irrigation!F39</f>
        <v>42.479249046363883</v>
      </c>
      <c r="D8" s="1225">
        <f>Irrigation!G39</f>
        <v>634.09591571303065</v>
      </c>
    </row>
    <row r="9" spans="1:4" ht="13.9" x14ac:dyDescent="0.4">
      <c r="A9" s="1222" t="str">
        <f>Irrigation!D40</f>
        <v>Fuel, Energy</v>
      </c>
      <c r="B9" s="1224">
        <f>Irrigation!E40</f>
        <v>7408.0541192982446</v>
      </c>
      <c r="C9" s="1224">
        <f>Irrigation!F40</f>
        <v>172.24094236605532</v>
      </c>
      <c r="D9" s="1225">
        <f>Irrigation!G40</f>
        <v>7580.2950616643002</v>
      </c>
    </row>
    <row r="10" spans="1:4" ht="13.9" x14ac:dyDescent="0.4">
      <c r="A10" s="1222" t="str">
        <f>Irrigation!D41</f>
        <v>Labor</v>
      </c>
      <c r="B10" s="1224">
        <f>Irrigation!E41</f>
        <v>107.40575999999999</v>
      </c>
      <c r="C10" s="1224">
        <f>Irrigation!F41</f>
        <v>362.16614029897062</v>
      </c>
      <c r="D10" s="1225">
        <f>Irrigation!G41</f>
        <v>469.5719002989706</v>
      </c>
    </row>
    <row r="11" spans="1:4" ht="13.9" x14ac:dyDescent="0.4">
      <c r="A11" s="1222" t="str">
        <f>Irrigation!D42</f>
        <v>Irrigation Supplies</v>
      </c>
      <c r="B11" s="1224">
        <f>Irrigation!E42</f>
        <v>2600</v>
      </c>
      <c r="C11" s="1224">
        <f>Irrigation!F42</f>
        <v>0</v>
      </c>
      <c r="D11" s="1225">
        <f>Irrigation!G42</f>
        <v>2600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42.00942357026409</v>
      </c>
      <c r="D12" s="1225">
        <f>Irrigation!G43</f>
        <v>42.00942357026409</v>
      </c>
    </row>
    <row r="13" spans="1:4" ht="13.9" thickBot="1" x14ac:dyDescent="0.4">
      <c r="A13" s="1226" t="str">
        <f>Irrigation!D44</f>
        <v>Total</v>
      </c>
      <c r="B13" s="1227">
        <f>Irrigation!E44</f>
        <v>15764.936182953812</v>
      </c>
      <c r="C13" s="1227">
        <f>Irrigation!F44</f>
        <v>1459.0842266869358</v>
      </c>
      <c r="D13" s="1228">
        <f>Irrigation!G44</f>
        <v>17224.020409640747</v>
      </c>
    </row>
    <row r="14" spans="1:4" ht="13.9" x14ac:dyDescent="0.4">
      <c r="A14" s="1219" t="str">
        <f>Irrigation!D45</f>
        <v>Irrigation Expenses per Acre</v>
      </c>
      <c r="B14" s="1229">
        <f>Irrigation!E45</f>
        <v>14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>
        <f>Irrigation!E48</f>
        <v>31.611622731180638</v>
      </c>
      <c r="C17" s="1230">
        <f>Irrigation!F48</f>
        <v>5.2511779462830113</v>
      </c>
      <c r="D17" s="1231">
        <f>Irrigation!G48</f>
        <v>36.862800677463653</v>
      </c>
    </row>
    <row r="18" spans="1:4" ht="13.9" x14ac:dyDescent="0.4">
      <c r="A18" s="1222" t="str">
        <f>Irrigation!D49</f>
        <v>Repairs</v>
      </c>
      <c r="B18" s="1230">
        <f>Irrigation!E49</f>
        <v>3.6976041666666672</v>
      </c>
      <c r="C18" s="1230">
        <f>Irrigation!F49</f>
        <v>0.26549530653977427</v>
      </c>
      <c r="D18" s="1231">
        <f>Irrigation!G49</f>
        <v>3.9630994732064417</v>
      </c>
    </row>
    <row r="19" spans="1:4" ht="13.9" x14ac:dyDescent="0.4">
      <c r="A19" s="1222" t="str">
        <f>Irrigation!D50</f>
        <v>Fuel, Energy</v>
      </c>
      <c r="B19" s="1230">
        <f>Irrigation!E50</f>
        <v>46.300338245614029</v>
      </c>
      <c r="C19" s="1230">
        <f>Irrigation!F50</f>
        <v>1.0765058897878457</v>
      </c>
      <c r="D19" s="1231">
        <f>Irrigation!G50</f>
        <v>47.376844135401875</v>
      </c>
    </row>
    <row r="20" spans="1:4" ht="13.9" x14ac:dyDescent="0.4">
      <c r="A20" s="1222" t="str">
        <f>Irrigation!D51</f>
        <v>Labor</v>
      </c>
      <c r="B20" s="1230">
        <f>Irrigation!E51</f>
        <v>0.67128599999999994</v>
      </c>
      <c r="C20" s="1230">
        <f>Irrigation!F51</f>
        <v>2.2635383768685662</v>
      </c>
      <c r="D20" s="1231">
        <f>Irrigation!G51</f>
        <v>2.9348243768685665</v>
      </c>
    </row>
    <row r="21" spans="1:4" ht="13.9" x14ac:dyDescent="0.4">
      <c r="A21" s="1222" t="str">
        <f>Irrigation!D52</f>
        <v>Irrigation Supplies</v>
      </c>
      <c r="B21" s="1230">
        <f>Irrigation!E52</f>
        <v>16.25</v>
      </c>
      <c r="C21" s="1230">
        <f>Irrigation!F52</f>
        <v>0</v>
      </c>
      <c r="D21" s="1231">
        <f>Irrigation!G52</f>
        <v>16.25</v>
      </c>
    </row>
    <row r="22" spans="1:4" ht="13.9" x14ac:dyDescent="0.4">
      <c r="A22" s="1222" t="str">
        <f>Irrigation!D53</f>
        <v>Miscellaneous Overhead</v>
      </c>
      <c r="B22" s="1230">
        <f>Irrigation!E53</f>
        <v>0</v>
      </c>
      <c r="C22" s="1230">
        <f>Irrigation!F53</f>
        <v>0.26255889731415055</v>
      </c>
      <c r="D22" s="1231">
        <f>Irrigation!G53</f>
        <v>0.26255889731415055</v>
      </c>
    </row>
    <row r="23" spans="1:4" ht="13.9" thickBot="1" x14ac:dyDescent="0.4">
      <c r="A23" s="1226" t="str">
        <f>Irrigation!D54</f>
        <v>Total</v>
      </c>
      <c r="B23" s="1232">
        <f>Irrigation!E54</f>
        <v>98.530851143461319</v>
      </c>
      <c r="C23" s="1232">
        <f>Irrigation!F54</f>
        <v>9.1192764167933493</v>
      </c>
      <c r="D23" s="1233">
        <f>Irrigation!G54</f>
        <v>107.65012756025467</v>
      </c>
    </row>
    <row r="24" spans="1:4" ht="13.9" x14ac:dyDescent="0.4">
      <c r="A24" s="1219" t="str">
        <f>Irrigation!D55</f>
        <v>Irrigation Expenses per Inch</v>
      </c>
      <c r="B24" s="1229">
        <f>Irrigation!E55</f>
        <v>160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361.27568835635014</v>
      </c>
      <c r="C27" s="1230">
        <f>Irrigation!F58</f>
        <v>60.013462243234414</v>
      </c>
      <c r="D27" s="1231">
        <f>Irrigation!G58</f>
        <v>421.28915059958456</v>
      </c>
    </row>
    <row r="28" spans="1:4" ht="13.9" x14ac:dyDescent="0.4">
      <c r="A28" s="1222" t="str">
        <f>Irrigation!D59</f>
        <v>Repairs</v>
      </c>
      <c r="B28" s="1230">
        <f>Irrigation!E59</f>
        <v>42.25833333333334</v>
      </c>
      <c r="C28" s="1230">
        <f>Irrigation!F59</f>
        <v>3.0342320747402773</v>
      </c>
      <c r="D28" s="1231">
        <f>Irrigation!G59</f>
        <v>45.292565408073621</v>
      </c>
    </row>
    <row r="29" spans="1:4" ht="13.9" x14ac:dyDescent="0.4">
      <c r="A29" s="1222" t="str">
        <f>Irrigation!D60</f>
        <v>Fuel, Energy</v>
      </c>
      <c r="B29" s="1230">
        <f>Irrigation!E60</f>
        <v>529.14672280701745</v>
      </c>
      <c r="C29" s="1230">
        <f>Irrigation!F60</f>
        <v>12.302924454718237</v>
      </c>
      <c r="D29" s="1231">
        <f>Irrigation!G60</f>
        <v>541.44964726173578</v>
      </c>
    </row>
    <row r="30" spans="1:4" ht="13.9" x14ac:dyDescent="0.4">
      <c r="A30" s="1222" t="str">
        <f>Irrigation!D61</f>
        <v>Labor</v>
      </c>
      <c r="B30" s="1230">
        <f>Irrigation!E61</f>
        <v>7.6718399999999987</v>
      </c>
      <c r="C30" s="1230">
        <f>Irrigation!F61</f>
        <v>25.869010021355045</v>
      </c>
      <c r="D30" s="1231">
        <f>Irrigation!G61</f>
        <v>33.540850021355041</v>
      </c>
    </row>
    <row r="31" spans="1:4" ht="13.9" x14ac:dyDescent="0.4">
      <c r="A31" s="1222" t="str">
        <f>Irrigation!D62</f>
        <v>Irrigation Supplies</v>
      </c>
      <c r="B31" s="1230">
        <f>Irrigation!E62</f>
        <v>185.71428571428572</v>
      </c>
      <c r="C31" s="1230">
        <f>Irrigation!F62</f>
        <v>0</v>
      </c>
      <c r="D31" s="1231">
        <f>Irrigation!G62</f>
        <v>185.71428571428572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3.0006731121617207</v>
      </c>
      <c r="D32" s="1231">
        <f>Irrigation!G63</f>
        <v>3.0006731121617207</v>
      </c>
    </row>
    <row r="33" spans="1:4" ht="13.9" thickBot="1" x14ac:dyDescent="0.4">
      <c r="A33" s="1226" t="str">
        <f>Irrigation!D64</f>
        <v>Total</v>
      </c>
      <c r="B33" s="1232">
        <f>Irrigation!E64</f>
        <v>1126.0668702109865</v>
      </c>
      <c r="C33" s="1232">
        <f>Irrigation!F64</f>
        <v>104.2203019062097</v>
      </c>
      <c r="D33" s="1233">
        <f>Irrigation!G64</f>
        <v>1230.2871721171962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25</v>
      </c>
      <c r="L69" s="1256">
        <f>IF(SUM(Machine!B70:B73)&gt;0,Machine!E69,4.5)</f>
        <v>3.5</v>
      </c>
      <c r="M69" s="224">
        <f>EquipmentSpecs!C69</f>
        <v>0.7</v>
      </c>
      <c r="N69" s="89">
        <f t="shared" si="30"/>
        <v>7.424242424242423</v>
      </c>
      <c r="O69" s="226">
        <f t="shared" si="31"/>
        <v>0.13469387755102044</v>
      </c>
      <c r="P69" s="270"/>
      <c r="Q69" s="20"/>
      <c r="R69" s="339">
        <f>Machine!H69</f>
        <v>325</v>
      </c>
      <c r="S69" s="1197">
        <v>1</v>
      </c>
      <c r="T69" s="89">
        <f t="shared" si="32"/>
        <v>30.268598912650873</v>
      </c>
      <c r="U69" s="269"/>
      <c r="V69" s="269"/>
      <c r="W69" s="1144">
        <f t="shared" si="33"/>
        <v>1.3048435714285715</v>
      </c>
      <c r="X69" s="1144">
        <f t="shared" si="33"/>
        <v>1.3048435714285715</v>
      </c>
      <c r="Y69" s="1144">
        <f t="shared" si="33"/>
        <v>1.2004560857142861</v>
      </c>
      <c r="Z69" s="1136">
        <f t="shared" si="34"/>
        <v>34.0787421412223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6.3781429796093763</v>
      </c>
      <c r="AD69" s="271"/>
      <c r="AE69" s="272"/>
      <c r="AF69" s="269"/>
      <c r="AG69" s="229">
        <f t="shared" si="35"/>
        <v>14.299999999999999</v>
      </c>
      <c r="AH69" s="89">
        <f t="shared" si="36"/>
        <v>5.3931428571428572</v>
      </c>
      <c r="AI69" s="89">
        <f t="shared" si="37"/>
        <v>0.53931428571428575</v>
      </c>
      <c r="AJ69" s="89">
        <f t="shared" si="38"/>
        <v>5.3931428571428572</v>
      </c>
      <c r="AK69" s="227">
        <f>EquipmentSpecs!L69</f>
        <v>1.1100000000000001</v>
      </c>
      <c r="AL69" s="226">
        <f t="shared" si="39"/>
        <v>0.14951020408163271</v>
      </c>
      <c r="AM69" s="230">
        <f t="shared" si="40"/>
        <v>2.1723832653061232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25</v>
      </c>
      <c r="L74" s="1257">
        <f>L69</f>
        <v>3.5</v>
      </c>
      <c r="M74" s="233">
        <f>EquipmentSpecs!C74</f>
        <v>0.7</v>
      </c>
      <c r="N74" s="235">
        <f t="shared" si="30"/>
        <v>7.424242424242423</v>
      </c>
      <c r="O74" s="236">
        <f t="shared" si="31"/>
        <v>0.13469387755102044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3.9977315156749418</v>
      </c>
      <c r="U74" s="235">
        <f>(((P74-(AQ74*P74))*AS74)+(AR74*(AQ74*P74)))/AO74</f>
        <v>53.547698795105653</v>
      </c>
      <c r="V74" s="235">
        <f>U74*O74*S74</f>
        <v>7.212547184646886</v>
      </c>
      <c r="W74" s="1146">
        <f t="shared" si="33"/>
        <v>0.54329897959183682</v>
      </c>
      <c r="X74" s="1146">
        <f t="shared" si="33"/>
        <v>0.54329897959183682</v>
      </c>
      <c r="Y74" s="1146">
        <f t="shared" si="33"/>
        <v>0.49983506122448995</v>
      </c>
      <c r="Z74" s="1139">
        <f t="shared" si="34"/>
        <v>12.796711720729991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1.9434692615172968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0.7231444897959185</v>
      </c>
      <c r="AG74" s="240">
        <f>0.044*R74</f>
        <v>8.58</v>
      </c>
      <c r="AH74" s="235">
        <f t="shared" ref="AH74:AH81" si="41">AG74*O74*$AJ$11*S74</f>
        <v>3.2358857142857151</v>
      </c>
      <c r="AI74" s="235">
        <f>AH74*0.1</f>
        <v>0.32358857142857156</v>
      </c>
      <c r="AJ74" s="235">
        <f>AH74</f>
        <v>3.2358857142857151</v>
      </c>
      <c r="AK74" s="459">
        <f>EquipmentSpecs!L74</f>
        <v>1.1100000000000001</v>
      </c>
      <c r="AL74" s="236">
        <f t="shared" si="39"/>
        <v>0.14951020408163271</v>
      </c>
      <c r="AM74" s="241">
        <f t="shared" si="40"/>
        <v>2.1723832653061232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276.14130960884557</v>
      </c>
      <c r="U83" s="17"/>
      <c r="V83" s="257">
        <f>SUM(V64:V81)</f>
        <v>1346.0609673296026</v>
      </c>
      <c r="W83" s="1147"/>
      <c r="X83" s="1147">
        <f>Z83-(T83+V83)</f>
        <v>222.48660389833776</v>
      </c>
      <c r="Y83" s="1148">
        <f>(Z83-(T83+V83))/(T83+V83)</f>
        <v>0.13715096265197738</v>
      </c>
      <c r="Z83" s="257">
        <f>SUM(Z64:Z81)</f>
        <v>1844.688880836786</v>
      </c>
      <c r="AA83" s="17"/>
      <c r="AB83" s="17"/>
      <c r="AC83" s="257">
        <f>SUM(AC64:AC81)</f>
        <v>110.33939843477188</v>
      </c>
      <c r="AD83" s="258"/>
      <c r="AE83" s="17"/>
      <c r="AF83" s="257">
        <f>SUM(AF64:AF81)</f>
        <v>134.939204260022</v>
      </c>
      <c r="AG83" s="17"/>
      <c r="AH83" s="257">
        <f>SUM(AH64:AH81)</f>
        <v>1105.8513698790207</v>
      </c>
      <c r="AI83" s="257">
        <f>SUM(AI64:AI81)</f>
        <v>110.58513698790205</v>
      </c>
      <c r="AJ83" s="257"/>
      <c r="AK83" s="17"/>
      <c r="AL83" s="259">
        <f>SUM(AL64:AL81)</f>
        <v>42.098828209826451</v>
      </c>
      <c r="AM83" s="257">
        <f>SUM(AM64:AM81)</f>
        <v>611.69597388877833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215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215</v>
      </c>
    </row>
    <row r="5" spans="2:14" ht="13.9" x14ac:dyDescent="0.4">
      <c r="B5" s="4" t="s">
        <v>21</v>
      </c>
      <c r="C5" s="1793">
        <f>Print_Budget!E3</f>
        <v>4.45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4.45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956.75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134.08000000000001</v>
      </c>
      <c r="D9" s="3"/>
      <c r="E9" s="1190"/>
      <c r="F9" s="3"/>
      <c r="G9" s="1185" t="s">
        <v>223</v>
      </c>
      <c r="H9" s="1801">
        <f>C9</f>
        <v>134.08000000000001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280.94150000000002</v>
      </c>
      <c r="D10" s="3"/>
      <c r="E10" s="1190"/>
      <c r="F10" s="3"/>
      <c r="G10" s="1185" t="s">
        <v>421</v>
      </c>
      <c r="H10" s="1795">
        <f t="shared" ref="H10:H21" si="0">C10</f>
        <v>280.94150000000002</v>
      </c>
      <c r="I10" s="3"/>
      <c r="J10" s="3"/>
      <c r="K10" s="1190"/>
      <c r="L10" s="3"/>
      <c r="M10" s="648" t="s">
        <v>779</v>
      </c>
      <c r="N10" s="1542">
        <f>Print_Summary!B20</f>
        <v>608.2104189022823</v>
      </c>
    </row>
    <row r="11" spans="2:14" ht="13.9" x14ac:dyDescent="0.4">
      <c r="B11" s="1185" t="s">
        <v>495</v>
      </c>
      <c r="C11" s="1795">
        <f>SUM(Print_Budget!F13:F17)</f>
        <v>61.790156249999995</v>
      </c>
      <c r="D11" s="3"/>
      <c r="E11" s="1190"/>
      <c r="F11" s="3"/>
      <c r="G11" s="1185" t="s">
        <v>495</v>
      </c>
      <c r="H11" s="1795">
        <f t="shared" si="0"/>
        <v>61.790156249999995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103.83806651785372</v>
      </c>
    </row>
    <row r="12" spans="2:14" ht="13.9" x14ac:dyDescent="0.4">
      <c r="B12" s="1185" t="s">
        <v>225</v>
      </c>
      <c r="C12" s="1795">
        <f>SUM(Print_Budget!F19:F22)</f>
        <v>52.5</v>
      </c>
      <c r="D12" s="3"/>
      <c r="E12" s="1190"/>
      <c r="F12" s="3"/>
      <c r="G12" s="1185" t="s">
        <v>225</v>
      </c>
      <c r="H12" s="1795">
        <f t="shared" si="0"/>
        <v>52.5</v>
      </c>
      <c r="I12" s="3"/>
      <c r="J12" s="3"/>
      <c r="K12" s="1190"/>
      <c r="L12" s="3"/>
      <c r="M12" s="648" t="s">
        <v>168</v>
      </c>
      <c r="N12" s="182">
        <f>SUM(N10:N11)</f>
        <v>712.04848542013599</v>
      </c>
    </row>
    <row r="13" spans="2:14" ht="13.9" x14ac:dyDescent="0.4">
      <c r="B13" s="1185" t="s">
        <v>422</v>
      </c>
      <c r="C13" s="1795">
        <f>Print_Budget!F30+Print_Budget!F31</f>
        <v>16.25</v>
      </c>
      <c r="D13" s="3"/>
      <c r="E13" s="1190"/>
      <c r="F13" s="3"/>
      <c r="G13" s="1185" t="s">
        <v>782</v>
      </c>
      <c r="H13" s="1795">
        <f t="shared" si="0"/>
        <v>16.25</v>
      </c>
      <c r="I13" s="3"/>
      <c r="J13" s="3"/>
      <c r="K13" s="1190"/>
      <c r="L13" s="3"/>
      <c r="M13" s="648" t="s">
        <v>792</v>
      </c>
      <c r="N13" s="1805">
        <f>Print_Summary!B27</f>
        <v>96.75</v>
      </c>
    </row>
    <row r="14" spans="2:14" ht="13.9" x14ac:dyDescent="0.4">
      <c r="B14" s="1185" t="s">
        <v>781</v>
      </c>
      <c r="C14" s="1795">
        <f>Print_Budget!F24+Print_Budget!F26</f>
        <v>16.348424406668279</v>
      </c>
      <c r="D14" s="3"/>
      <c r="E14" s="1190"/>
      <c r="F14" s="3"/>
      <c r="G14" s="1185" t="s">
        <v>781</v>
      </c>
      <c r="H14" s="1795">
        <f t="shared" si="0"/>
        <v>16.348424406668279</v>
      </c>
      <c r="I14" s="3"/>
      <c r="J14" s="3"/>
      <c r="K14" s="1190"/>
      <c r="L14" s="3"/>
      <c r="M14" s="652" t="s">
        <v>1014</v>
      </c>
      <c r="N14" s="173">
        <f>SUM(N12:N13)-N8</f>
        <v>808.79848542013599</v>
      </c>
    </row>
    <row r="15" spans="2:14" ht="13.9" x14ac:dyDescent="0.4">
      <c r="B15" s="1185" t="s">
        <v>423</v>
      </c>
      <c r="C15" s="1795">
        <f>Print_Budget!F28</f>
        <v>46.300338245614029</v>
      </c>
      <c r="D15" s="3"/>
      <c r="E15" s="1190"/>
      <c r="F15" s="3"/>
      <c r="G15" s="1185" t="s">
        <v>423</v>
      </c>
      <c r="H15" s="1795">
        <f t="shared" si="0"/>
        <v>46.300338245614029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6</v>
      </c>
      <c r="D16" s="3"/>
      <c r="E16" s="1190"/>
      <c r="F16" s="3"/>
      <c r="G16" s="1185" t="s">
        <v>780</v>
      </c>
      <c r="H16" s="1795">
        <f t="shared" si="0"/>
        <v>6</v>
      </c>
      <c r="I16" s="3"/>
      <c r="J16" s="3"/>
      <c r="K16" s="1190"/>
      <c r="L16" s="3"/>
      <c r="M16" s="652" t="s">
        <v>233</v>
      </c>
      <c r="N16" s="173">
        <f>N7-N14-N15</f>
        <v>147.95151457986401</v>
      </c>
    </row>
    <row r="17" spans="2:14" ht="13.9" x14ac:dyDescent="0.4">
      <c r="B17" s="1185" t="s">
        <v>1</v>
      </c>
      <c r="C17" s="1795">
        <f>Print_Budget!F35</f>
        <v>34</v>
      </c>
      <c r="D17" s="3"/>
      <c r="E17" s="1190"/>
      <c r="F17" s="3"/>
      <c r="G17" s="1185" t="s">
        <v>1</v>
      </c>
      <c r="H17" s="1795">
        <f t="shared" si="0"/>
        <v>34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22.128465529200856</v>
      </c>
      <c r="D18" s="3"/>
      <c r="E18" s="1190"/>
      <c r="F18" s="3"/>
      <c r="G18" s="1185" t="s">
        <v>205</v>
      </c>
      <c r="H18" s="1795">
        <f t="shared" si="0"/>
        <v>22.128465529200856</v>
      </c>
      <c r="I18" s="3"/>
      <c r="J18" s="3"/>
      <c r="K18" s="1190"/>
      <c r="L18" s="3"/>
      <c r="M18" s="648" t="s">
        <v>249</v>
      </c>
      <c r="N18" s="1804">
        <f>Print_Summary!B32</f>
        <v>127.57671923742087</v>
      </c>
    </row>
    <row r="19" spans="2:14" ht="13.9" x14ac:dyDescent="0.4">
      <c r="B19" s="1185" t="s">
        <v>214</v>
      </c>
      <c r="C19" s="1795">
        <f>Trips!E45+Trips!E51+Trips!E72+Trips!E76</f>
        <v>11.047226018407775</v>
      </c>
      <c r="D19" s="3"/>
      <c r="E19" s="1190"/>
      <c r="F19" s="3"/>
      <c r="G19" s="1185" t="s">
        <v>214</v>
      </c>
      <c r="H19" s="1795">
        <f t="shared" si="0"/>
        <v>11.047226018407775</v>
      </c>
      <c r="I19" s="3"/>
      <c r="J19" s="3"/>
      <c r="K19" s="1190"/>
      <c r="L19" s="3"/>
      <c r="M19" s="308" t="s">
        <v>651</v>
      </c>
      <c r="N19" s="173">
        <f>N14+N18</f>
        <v>936.37520465755688</v>
      </c>
    </row>
    <row r="20" spans="2:14" ht="13.9" x14ac:dyDescent="0.4">
      <c r="B20" s="1185" t="s">
        <v>28</v>
      </c>
      <c r="C20" s="1795">
        <f>Print_Budget!F36</f>
        <v>30.662374970245089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20.374795342443122</v>
      </c>
    </row>
    <row r="22" spans="2:14" ht="13.9" x14ac:dyDescent="0.4">
      <c r="B22" s="1185" t="s">
        <v>792</v>
      </c>
      <c r="C22" s="1795">
        <f>Print_Budget!F39+Print_Budget!F40</f>
        <v>94.6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2.15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123.00695273712373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91.39533000594308</v>
      </c>
      <c r="D26" s="3"/>
      <c r="E26" s="1190"/>
      <c r="F26" s="3"/>
      <c r="G26" s="648" t="s">
        <v>648</v>
      </c>
      <c r="H26" s="1802">
        <f>C28</f>
        <v>4.5697665002971544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31.611622731180638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4.5697665002971544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608.21041890228241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681.38611044989102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808.7984854201361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127.57671923742087</v>
      </c>
    </row>
    <row r="34" spans="2:3" ht="13.5" x14ac:dyDescent="0.35">
      <c r="B34" s="308" t="s">
        <v>651</v>
      </c>
      <c r="C34" s="173">
        <f>C32+C33</f>
        <v>936.37520465755699</v>
      </c>
    </row>
    <row r="35" spans="2:3" ht="13.5" x14ac:dyDescent="0.35">
      <c r="B35" s="308" t="s">
        <v>763</v>
      </c>
      <c r="C35" s="173">
        <f>(C4*C5*C6)-C24-C34</f>
        <v>20.374795342443008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>
        <f>IF(Machine!B19&gt;0,Machine!B19," ")</f>
        <v>1</v>
      </c>
      <c r="E10" s="1525"/>
      <c r="F10" s="1354">
        <f>IF(Machine!$B19&gt;0,E10*Trips!$M9*$D10," ")</f>
        <v>0</v>
      </c>
      <c r="G10" s="1394">
        <f>IF(AND($D10&gt;0,Machine!$H19&lt;=170),$E10,0)</f>
        <v>0</v>
      </c>
      <c r="H10" s="1393">
        <f>IF(Machine!$B19&gt;0,G10*Trips!$M9*$D10," ")</f>
        <v>0</v>
      </c>
      <c r="I10" s="1398">
        <f>IF(AND($D10&gt;0,Machine!$H19&gt;170,Machine!$H19&lt;200),$E10,0)</f>
        <v>0</v>
      </c>
      <c r="J10" s="1399">
        <f>IF(Machine!$B19&gt;0,I10*Trips!$M9*$D10," ")</f>
        <v>0</v>
      </c>
      <c r="K10" s="1404">
        <f>IF(AND($D10&gt;0,Machine!$H19&gt;=200,Machine!$H19&lt;250),$E10,0)</f>
        <v>0</v>
      </c>
      <c r="L10" s="1405">
        <f>IF(Machine!$B19&gt;0,K10*Trips!$M9*$D10," ")</f>
        <v>0</v>
      </c>
      <c r="M10" s="1413">
        <f>IF(AND($D10&gt;0,Machine!$H19&gt;=250),$E10,0)</f>
        <v>0</v>
      </c>
      <c r="N10" s="1412">
        <f>IF(Machine!$B19&gt;0,M10*Trips!$M9*$D10," ")</f>
        <v>0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>
        <f>IF(Machine!B20&gt;0,Machine!B20," ")</f>
        <v>1</v>
      </c>
      <c r="E11" s="1525">
        <v>1000</v>
      </c>
      <c r="F11" s="1354">
        <f>IF(Machine!$B20&gt;0,E11*Trips!$M10*$D11," ")</f>
        <v>60.307017543859651</v>
      </c>
      <c r="G11" s="1394">
        <f>IF(AND($D11&gt;0,Machine!$H20&lt;=170),$E11,0)</f>
        <v>0</v>
      </c>
      <c r="H11" s="1393">
        <f>IF(Machine!$B20&gt;0,G11*Trips!$M10*$D11," ")</f>
        <v>0</v>
      </c>
      <c r="I11" s="1398">
        <f>IF(AND($D11&gt;0,Machine!$H20&gt;170,Machine!$H20&lt;200),$E11,0)</f>
        <v>0</v>
      </c>
      <c r="J11" s="1399">
        <f>IF(Machine!$B20&gt;0,I11*Trips!$M10*$D11," ")</f>
        <v>0</v>
      </c>
      <c r="K11" s="1404">
        <f>IF(AND($D11&gt;0,Machine!$H20&gt;=200,Machine!$H20&lt;250),$E11,0)</f>
        <v>1000</v>
      </c>
      <c r="L11" s="1405">
        <f>IF(Machine!$B20&gt;0,K11*Trips!$M10*$D11," ")</f>
        <v>60.307017543859651</v>
      </c>
      <c r="M11" s="1413">
        <f>IF(AND($D11&gt;0,Machine!$H20&gt;=250),$E11,0)</f>
        <v>0</v>
      </c>
      <c r="N11" s="1412">
        <f>IF(Machine!$B20&gt;0,M11*Trips!$M10*$D11," ")</f>
        <v>0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 t="str">
        <f>IF(Machine!B23&gt;0,Machine!B23," ")</f>
        <v xml:space="preserve"> </v>
      </c>
      <c r="E14" s="1525"/>
      <c r="F14" s="1354" t="str">
        <f>IF(Machine!$B23&gt;0,E14*Trips!$M13*$D14," ")</f>
        <v xml:space="preserve"> </v>
      </c>
      <c r="G14" s="1394">
        <f>IF(AND($D14&gt;0,Machine!$H23&lt;=170),$E14,0)</f>
        <v>0</v>
      </c>
      <c r="H14" s="1393" t="str">
        <f>IF(Machine!$B23&gt;0,G14*Trips!$M13*$D14," ")</f>
        <v xml:space="preserve"> </v>
      </c>
      <c r="I14" s="1398">
        <f>IF(AND($D14&gt;0,Machine!$H23&gt;170,Machine!$H23&lt;200),$E14,0)</f>
        <v>0</v>
      </c>
      <c r="J14" s="1399" t="str">
        <f>IF(Machine!$B23&gt;0,I14*Trips!$M13*$D14," ")</f>
        <v xml:space="preserve"> </v>
      </c>
      <c r="K14" s="1404">
        <f>IF(AND($D14&gt;0,Machine!$H23&gt;=200,Machine!$H23&lt;250),$E14,0)</f>
        <v>0</v>
      </c>
      <c r="L14" s="1405" t="str">
        <f>IF(Machine!$B23&gt;0,K14*Trips!$M13*$D14," ")</f>
        <v xml:space="preserve"> </v>
      </c>
      <c r="M14" s="1413">
        <f>IF(AND($D14&gt;0,Machine!$H23&gt;=250),$E14,0)</f>
        <v>0</v>
      </c>
      <c r="N14" s="1412" t="str">
        <f>IF(Machine!$B23&gt;0,M14*Trips!$M13*$D14," ")</f>
        <v xml:space="preserve"> 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 t="str">
        <f>IF(Machine!B25&gt;0,Machine!B25," ")</f>
        <v xml:space="preserve"> </v>
      </c>
      <c r="E16" s="1525"/>
      <c r="F16" s="1354" t="str">
        <f>IF(Machine!$B25&gt;0,E16*Trips!$M15*$D16," ")</f>
        <v xml:space="preserve"> </v>
      </c>
      <c r="G16" s="1394">
        <f>IF(AND($D16&gt;0,Machine!$H25&lt;=170),$E16,0)</f>
        <v>0</v>
      </c>
      <c r="H16" s="1393" t="str">
        <f>IF(Machine!$B25&gt;0,G16*Trips!$M15*$D16," ")</f>
        <v xml:space="preserve"> </v>
      </c>
      <c r="I16" s="1398">
        <f>IF(AND($D16&gt;0,Machine!$H25&gt;170,Machine!$H25&lt;200),$E16,0)</f>
        <v>0</v>
      </c>
      <c r="J16" s="1399" t="str">
        <f>IF(Machine!$B25&gt;0,I16*Trips!$M15*$D16," ")</f>
        <v xml:space="preserve"> </v>
      </c>
      <c r="K16" s="1404">
        <f>IF(AND($D16&gt;0,Machine!$H25&gt;=200,Machine!$H25&lt;250),$E16,0)</f>
        <v>0</v>
      </c>
      <c r="L16" s="1405" t="str">
        <f>IF(Machine!$B25&gt;0,K16*Trips!$M15*$D16," ")</f>
        <v xml:space="preserve"> </v>
      </c>
      <c r="M16" s="1413">
        <f>IF(AND($D16&gt;0,Machine!$H25&gt;=250),$E16,0)</f>
        <v>0</v>
      </c>
      <c r="N16" s="1412" t="str">
        <f>IF(Machine!$B25&gt;0,M16*Trips!$M15*$D16," ")</f>
        <v xml:space="preserve"> 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>
        <f>IF(Machine!B28&gt;0,Machine!B28," ")</f>
        <v>1</v>
      </c>
      <c r="E19" s="1525"/>
      <c r="F19" s="1354">
        <f>IF(Machine!$B28&gt;0,E19*Trips!$M18*$D19," ")</f>
        <v>0</v>
      </c>
      <c r="G19" s="1394">
        <f>IF(AND($D19&gt;0,Machine!$H28&lt;=170),$E19,0)</f>
        <v>0</v>
      </c>
      <c r="H19" s="1393">
        <f>IF(Machine!$B28&gt;0,G19*Trips!$M18*$D19," ")</f>
        <v>0</v>
      </c>
      <c r="I19" s="1398">
        <f>IF(AND($D19&gt;0,Machine!$H28&gt;170,Machine!$H28&lt;200),$E19,0)</f>
        <v>0</v>
      </c>
      <c r="J19" s="1399">
        <f>IF(Machine!$B28&gt;0,I19*Trips!$M18*$D19," ")</f>
        <v>0</v>
      </c>
      <c r="K19" s="1404">
        <f>IF(AND($D19&gt;0,Machine!$H28&gt;=200,Machine!$H28&lt;250),$E19,0)</f>
        <v>0</v>
      </c>
      <c r="L19" s="1405">
        <f>IF(Machine!$B28&gt;0,K19*Trips!$M18*$D19," ")</f>
        <v>0</v>
      </c>
      <c r="M19" s="1413">
        <f>IF(AND($D19&gt;0,Machine!$H28&gt;=250),$E19,0)</f>
        <v>0</v>
      </c>
      <c r="N19" s="1412">
        <f>IF(Machine!$B28&gt;0,M19*Trips!$M18*$D19," ")</f>
        <v>0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>
        <f>IF(Machine!B29&gt;0,Machine!B29," ")</f>
        <v>1</v>
      </c>
      <c r="E20" s="1525">
        <v>1000</v>
      </c>
      <c r="F20" s="1354">
        <f>IF(Machine!$B29&gt;0,E20*Trips!$M19*$D20," ")</f>
        <v>38.768796992481192</v>
      </c>
      <c r="G20" s="1394">
        <f>IF(AND($D20&gt;0,Machine!$H29&lt;=170),$E20,0)</f>
        <v>0</v>
      </c>
      <c r="H20" s="1393">
        <f>IF(Machine!$B29&gt;0,G20*Trips!$M19*$D20," ")</f>
        <v>0</v>
      </c>
      <c r="I20" s="1398">
        <f>IF(AND($D20&gt;0,Machine!$H29&gt;170,Machine!$H29&lt;200),$E20,0)</f>
        <v>0</v>
      </c>
      <c r="J20" s="1399">
        <f>IF(Machine!$B29&gt;0,I20*Trips!$M19*$D20," ")</f>
        <v>0</v>
      </c>
      <c r="K20" s="1404">
        <f>IF(AND($D20&gt;0,Machine!$H29&gt;=200,Machine!$H29&lt;250),$E20,0)</f>
        <v>1000</v>
      </c>
      <c r="L20" s="1405">
        <f>IF(Machine!$B29&gt;0,K20*Trips!$M19*$D20," ")</f>
        <v>38.768796992481192</v>
      </c>
      <c r="M20" s="1413">
        <f>IF(AND($D20&gt;0,Machine!$H29&gt;=250),$E20,0)</f>
        <v>0</v>
      </c>
      <c r="N20" s="1412">
        <f>IF(Machine!$B29&gt;0,M20*Trips!$M19*$D20," ")</f>
        <v>0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 t="str">
        <f>IF(Machine!B32&gt;0,Machine!B32," ")</f>
        <v xml:space="preserve"> </v>
      </c>
      <c r="E23" s="1525"/>
      <c r="F23" s="1354" t="str">
        <f>IF(Machine!$B32&gt;0,E23*Trips!$M22*$D23," ")</f>
        <v xml:space="preserve"> </v>
      </c>
      <c r="G23" s="1394">
        <f>IF(AND($D23&gt;0,Machine!$H32&lt;=170),$E23,0)</f>
        <v>0</v>
      </c>
      <c r="H23" s="1393" t="str">
        <f>IF(Machine!$B32&gt;0,G23*Trips!$M22*$D23," ")</f>
        <v xml:space="preserve"> </v>
      </c>
      <c r="I23" s="1398">
        <f>IF(AND($D23&gt;0,Machine!$H32&gt;170,Machine!$H32&lt;200),$E23,0)</f>
        <v>0</v>
      </c>
      <c r="J23" s="1399" t="str">
        <f>IF(Machine!$B32&gt;0,I23*Trips!$M22*$D23," ")</f>
        <v xml:space="preserve"> </v>
      </c>
      <c r="K23" s="1404">
        <f>IF(AND($D23&gt;0,Machine!$H32&gt;=200,Machine!$H32&lt;250),$E23,0)</f>
        <v>0</v>
      </c>
      <c r="L23" s="1405" t="str">
        <f>IF(Machine!$B32&gt;0,K23*Trips!$M22*$D23," ")</f>
        <v xml:space="preserve"> </v>
      </c>
      <c r="M23" s="1413">
        <f>IF(AND($D23&gt;0,Machine!$H32&gt;=250),$E23,0)</f>
        <v>0</v>
      </c>
      <c r="N23" s="1412" t="str">
        <f>IF(Machine!$B32&gt;0,M23*Trips!$M22*$D23," ")</f>
        <v xml:space="preserve"> 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>
        <f>IF(Machine!B35&gt;0,Machine!B35," ")</f>
        <v>1</v>
      </c>
      <c r="E26" s="1525">
        <v>1000</v>
      </c>
      <c r="F26" s="1354">
        <f>IF(Machine!$B35&gt;0,E26*Trips!$M25*$D26," ")</f>
        <v>55.668016194331983</v>
      </c>
      <c r="G26" s="1394">
        <f>IF(AND($D26&gt;0,Machine!$H35&lt;=170),$E26,0)</f>
        <v>0</v>
      </c>
      <c r="H26" s="1393">
        <f>IF(Machine!$B35&gt;0,G26*Trips!$M25*$D26," ")</f>
        <v>0</v>
      </c>
      <c r="I26" s="1398">
        <f>IF(AND($D26&gt;0,Machine!$H35&gt;170,Machine!$H35&lt;200),$E26,0)</f>
        <v>1000</v>
      </c>
      <c r="J26" s="1399">
        <f>IF(Machine!$B35&gt;0,I26*Trips!$M25*$D26," ")</f>
        <v>55.668016194331983</v>
      </c>
      <c r="K26" s="1404">
        <f>IF(AND($D26&gt;0,Machine!$H35&gt;=200,Machine!$H35&lt;250),$E26,0)</f>
        <v>0</v>
      </c>
      <c r="L26" s="1405">
        <f>IF(Machine!$B35&gt;0,K26*Trips!$M25*$D26," ")</f>
        <v>0</v>
      </c>
      <c r="M26" s="1413">
        <f>IF(AND($D26&gt;0,Machine!$H35&gt;=250),$E26,0)</f>
        <v>0</v>
      </c>
      <c r="N26" s="1412">
        <f>IF(Machine!$B35&gt;0,M26*Trips!$M25*$D26," ")</f>
        <v>0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 t="str">
        <f>IF(Machine!B37&gt;0,Machine!B37," ")</f>
        <v xml:space="preserve"> </v>
      </c>
      <c r="E28" s="1525"/>
      <c r="F28" s="1354" t="str">
        <f>IF(Machine!$B37&gt;0,E28*Trips!$M27*$D28," ")</f>
        <v xml:space="preserve"> </v>
      </c>
      <c r="G28" s="1394">
        <f>IF(AND($D28&gt;0,Machine!$H37&lt;=170),$E28,0)</f>
        <v>0</v>
      </c>
      <c r="H28" s="1393" t="str">
        <f>IF(Machine!$B37&gt;0,G28*Trips!$M27*$D28," ")</f>
        <v xml:space="preserve"> </v>
      </c>
      <c r="I28" s="1398">
        <f>IF(AND($D28&gt;0,Machine!$H37&gt;170,Machine!$H37&lt;200),$E28,0)</f>
        <v>0</v>
      </c>
      <c r="J28" s="1399" t="str">
        <f>IF(Machine!$B37&gt;0,I28*Trips!$M27*$D28," ")</f>
        <v xml:space="preserve"> </v>
      </c>
      <c r="K28" s="1404">
        <f>IF(AND($D28&gt;0,Machine!$H37&gt;=200,Machine!$H37&lt;250),$E28,0)</f>
        <v>0</v>
      </c>
      <c r="L28" s="1405" t="str">
        <f>IF(Machine!$B37&gt;0,K28*Trips!$M27*$D28," ")</f>
        <v xml:space="preserve"> </v>
      </c>
      <c r="M28" s="1413">
        <f>IF(AND($D28&gt;0,Machine!$H37&gt;=250),$E28,0)</f>
        <v>0</v>
      </c>
      <c r="N28" s="1412" t="str">
        <f>IF(Machine!$B37&gt;0,M28*Trips!$M27*$D28," ")</f>
        <v xml:space="preserve"> 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>
        <f>IF(Machine!B41&gt;0,Machine!B41," ")</f>
        <v>1</v>
      </c>
      <c r="E32" s="1525">
        <v>1000</v>
      </c>
      <c r="F32" s="1354">
        <f>IF(Machine!$B41&gt;0,E32*Trips!$M31*$D32," ")</f>
        <v>49.930699897395449</v>
      </c>
      <c r="G32" s="1394">
        <f>IF(AND($D32&gt;0,Machine!$H41&lt;=170),$E32,0)</f>
        <v>0</v>
      </c>
      <c r="H32" s="1393">
        <f>IF(Machine!$B41&gt;0,G32*Trips!$M31*$D32," ")</f>
        <v>0</v>
      </c>
      <c r="I32" s="1398">
        <f>IF(AND($D32&gt;0,Machine!$H41&gt;170,Machine!$H41&lt;200),$E32,0)</f>
        <v>1000</v>
      </c>
      <c r="J32" s="1399">
        <f>IF(Machine!$B41&gt;0,I32*Trips!$M31*$D32," ")</f>
        <v>49.930699897395449</v>
      </c>
      <c r="K32" s="1404">
        <f>IF(AND($D32&gt;0,Machine!$H41&gt;=200,Machine!$H41&lt;250),$E32,0)</f>
        <v>0</v>
      </c>
      <c r="L32" s="1405">
        <f>IF(Machine!$B41&gt;0,K32*Trips!$M31*$D32," ")</f>
        <v>0</v>
      </c>
      <c r="M32" s="1413">
        <f>IF(AND($D32&gt;0,Machine!$H41&gt;=250),$E32,0)</f>
        <v>0</v>
      </c>
      <c r="N32" s="1412">
        <f>IF(Machine!$B41&gt;0,M32*Trips!$M31*$D32," ")</f>
        <v>0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 t="str">
        <f>IF(Machine!B43&gt;0,Machine!B43," ")</f>
        <v xml:space="preserve"> </v>
      </c>
      <c r="E34" s="1525"/>
      <c r="F34" s="1354" t="str">
        <f>IF(Machine!$B43&gt;0,E34*Trips!$M33*$D34," ")</f>
        <v xml:space="preserve"> </v>
      </c>
      <c r="G34" s="1394">
        <f>IF(AND($D34&gt;0,Machine!$H43&lt;=170),$E34,0)</f>
        <v>0</v>
      </c>
      <c r="H34" s="1393" t="str">
        <f>IF(Machine!$B43&gt;0,G34*Trips!$M33*$D34," ")</f>
        <v xml:space="preserve"> </v>
      </c>
      <c r="I34" s="1398">
        <f>IF(AND($D34&gt;0,Machine!$H43&gt;170,Machine!$H43&lt;200),$E34,0)</f>
        <v>0</v>
      </c>
      <c r="J34" s="1399" t="str">
        <f>IF(Machine!$B43&gt;0,I34*Trips!$M33*$D34," ")</f>
        <v xml:space="preserve"> </v>
      </c>
      <c r="K34" s="1404">
        <f>IF(AND($D34&gt;0,Machine!$H43&gt;=200,Machine!$H43&lt;250),$E34,0)</f>
        <v>0</v>
      </c>
      <c r="L34" s="1405" t="str">
        <f>IF(Machine!$B43&gt;0,K34*Trips!$M33*$D34," ")</f>
        <v xml:space="preserve"> </v>
      </c>
      <c r="M34" s="1413">
        <f>IF(AND($D34&gt;0,Machine!$H43&gt;=250),$E34,0)</f>
        <v>0</v>
      </c>
      <c r="N34" s="1412" t="str">
        <f>IF(Machine!$B43&gt;0,M34*Trips!$M33*$D34," ")</f>
        <v xml:space="preserve"> 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 t="str">
        <f>IF(Machine!B46&gt;0,Machine!B46," ")</f>
        <v xml:space="preserve"> </v>
      </c>
      <c r="E37" s="1525"/>
      <c r="F37" s="1354" t="str">
        <f>IF(Machine!$B46&gt;0,E37*Trips!$M36*$D37," ")</f>
        <v xml:space="preserve"> </v>
      </c>
      <c r="G37" s="1394">
        <f>IF(AND($D37&gt;0,Machine!$H46&lt;=170),$E37,0)</f>
        <v>0</v>
      </c>
      <c r="H37" s="1393" t="str">
        <f>IF(Machine!$B46&gt;0,G37*Trips!$M36*$D37," ")</f>
        <v xml:space="preserve"> </v>
      </c>
      <c r="I37" s="1398">
        <f>IF(AND($D37&gt;0,Machine!$H46&gt;170,Machine!$H46&lt;200),$E37,0)</f>
        <v>0</v>
      </c>
      <c r="J37" s="1399" t="str">
        <f>IF(Machine!$B46&gt;0,I37*Trips!$M36*$D37," ")</f>
        <v xml:space="preserve"> </v>
      </c>
      <c r="K37" s="1404">
        <f>IF(AND($D37&gt;0,Machine!$H46&gt;=200,Machine!$H46&lt;250),$E37,0)</f>
        <v>0</v>
      </c>
      <c r="L37" s="1405" t="str">
        <f>IF(Machine!$B46&gt;0,K37*Trips!$M36*$D37," ")</f>
        <v xml:space="preserve"> </v>
      </c>
      <c r="M37" s="1413">
        <f>IF(AND($D37&gt;0,Machine!$H46&gt;=250),$E37,0)</f>
        <v>0</v>
      </c>
      <c r="N37" s="1412" t="str">
        <f>IF(Machine!$B46&gt;0,M37*Trips!$M36*$D37," ")</f>
        <v xml:space="preserve"> 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 t="str">
        <f>IF(Machine!B47&gt;0,Machine!B47," ")</f>
        <v xml:space="preserve"> </v>
      </c>
      <c r="E38" s="1525"/>
      <c r="F38" s="1354" t="str">
        <f>IF(Machine!$B47&gt;0,E38*Trips!$M37*$D38," ")</f>
        <v xml:space="preserve"> </v>
      </c>
      <c r="G38" s="1394">
        <f>IF(AND($D38&gt;0,Machine!$H47&lt;=170),$E38,0)</f>
        <v>0</v>
      </c>
      <c r="H38" s="1393" t="str">
        <f>IF(Machine!$B47&gt;0,G38*Trips!$M37*$D38," ")</f>
        <v xml:space="preserve"> </v>
      </c>
      <c r="I38" s="1398">
        <f>IF(AND($D38&gt;0,Machine!$H47&gt;170,Machine!$H47&lt;200),$E38,0)</f>
        <v>0</v>
      </c>
      <c r="J38" s="1399" t="str">
        <f>IF(Machine!$B47&gt;0,I38*Trips!$M37*$D38," ")</f>
        <v xml:space="preserve"> </v>
      </c>
      <c r="K38" s="1404">
        <f>IF(AND($D38&gt;0,Machine!$H47&gt;=200,Machine!$H47&lt;250),$E38,0)</f>
        <v>0</v>
      </c>
      <c r="L38" s="1405" t="str">
        <f>IF(Machine!$B47&gt;0,K38*Trips!$M37*$D38," ")</f>
        <v xml:space="preserve"> </v>
      </c>
      <c r="M38" s="1413">
        <f>IF(AND($D38&gt;0,Machine!$H47&gt;=250),$E38,0)</f>
        <v>0</v>
      </c>
      <c r="N38" s="1412" t="str">
        <f>IF(Machine!$B47&gt;0,M38*Trips!$M37*$D38," ")</f>
        <v xml:space="preserve"> 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>
        <f>IF(Machine!B70&gt;0,Machine!B70," ")</f>
        <v>1</v>
      </c>
      <c r="E61" s="1525"/>
      <c r="F61" s="1354">
        <f>IF(Machine!$B70&gt;0,E61*Trips!$M$59*$D61," ")</f>
        <v>0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 t="str">
        <f>IF(Machine!B72&gt;0,Machine!B72," ")</f>
        <v xml:space="preserve"> </v>
      </c>
      <c r="E63" s="1525"/>
      <c r="F63" s="1354" t="str">
        <f>IF(Machine!$B72&gt;0,E63*Trips!$M$59*$D63," ")</f>
        <v xml:space="preserve"> 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 t="str">
        <f>IF(Machine!B73&gt;0,Machine!B73," ")</f>
        <v xml:space="preserve"> </v>
      </c>
      <c r="E64" s="1525"/>
      <c r="F64" s="1354" t="str">
        <f>IF(Machine!$B73&gt;0,E64*Trips!$M$59*$D64," ")</f>
        <v xml:space="preserve"> 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105.59871609172743</v>
      </c>
      <c r="K73" s="3"/>
      <c r="L73" s="1359">
        <f>SUM(L5:L72)</f>
        <v>99.075814536340843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235.2</v>
      </c>
      <c r="C4" s="182">
        <f>SUM(A5_Chem_Look_Up!G24:G33)+SUM(A5_Chem_Look_Up!G38:G39)</f>
        <v>0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235.2</v>
      </c>
      <c r="C6" s="182">
        <f>C4+C5</f>
        <v>0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6.9556988229727326</v>
      </c>
      <c r="C7" s="1456">
        <f>C6/$E$6</f>
        <v>0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44.794700419944398</v>
      </c>
      <c r="C9" s="1459">
        <f>C7*C8</f>
        <v>0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435</v>
      </c>
      <c r="D15" s="1456">
        <f>C15/$B$12</f>
        <v>197.31246810682089</v>
      </c>
      <c r="E15" s="1456">
        <v>1.3</v>
      </c>
      <c r="F15" s="1456">
        <f>D15*E15</f>
        <v>256.50620853886716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175</v>
      </c>
      <c r="D16" s="1456">
        <f>C16/$B$12</f>
        <v>79.378579123433695</v>
      </c>
      <c r="E16" s="1456">
        <v>0.2</v>
      </c>
      <c r="F16" s="1456">
        <f>D16*E16</f>
        <v>15.87571582468674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130</v>
      </c>
      <c r="D17" s="1456">
        <f>C17/$B$12</f>
        <v>58.966944491693596</v>
      </c>
      <c r="E17" s="1456">
        <v>0.16</v>
      </c>
      <c r="F17" s="1456">
        <f>D17*E17</f>
        <v>9.4347111186709753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281.81663548222485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435</v>
      </c>
      <c r="D22" s="1456">
        <f>C22/$B$12</f>
        <v>197.31246810682089</v>
      </c>
      <c r="E22" s="1456">
        <v>1.27</v>
      </c>
      <c r="F22" s="1459">
        <f>D22*E22</f>
        <v>250.58683449566254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5.8387230023815295</v>
      </c>
      <c r="D28" s="1456">
        <f>C28/$B$25</f>
        <v>22.102142568730475</v>
      </c>
      <c r="E28" s="1456">
        <v>0.84</v>
      </c>
      <c r="F28" s="1456">
        <f>D28*E28</f>
        <v>18.565799757733597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16.535835087719295</v>
      </c>
      <c r="D29" s="1450">
        <f>C29/$B$25</f>
        <v>62.595431304536071</v>
      </c>
      <c r="E29" s="1450">
        <v>0.84</v>
      </c>
      <c r="F29" s="1450">
        <f>D29*E29</f>
        <v>52.580162295810297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71.145962053543897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0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648.34413245137569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1602.1231857005944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619.22512672223172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982.89805897836266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2024-11-13T18:52:24Z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