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For Review/"/>
    </mc:Choice>
  </mc:AlternateContent>
  <xr:revisionPtr revIDLastSave="1" documentId="8_{830505BD-B870-41DC-9653-BB7EAA524C97}" xr6:coauthVersionLast="47" xr6:coauthVersionMax="47" xr10:uidLastSave="{9991F6DE-0DDC-4262-87F5-594551B26ED8}"/>
  <bookViews>
    <workbookView xWindow="2175" yWindow="2175" windowWidth="13613" windowHeight="11348" firstSheet="16" activeTab="22" xr2:uid="{00000000-000D-0000-FFFF-FFFF00000000}"/>
  </bookViews>
  <sheets>
    <sheet name="A1_Link" sheetId="27" state="hidden" r:id="rId1"/>
    <sheet name="A2_Budget_Look_Up" sheetId="33" r:id="rId2"/>
    <sheet name="A3_Production_Look_Up" sheetId="32" state="hidden" r:id="rId3"/>
    <sheet name="A4_Chem_Prices" sheetId="40" state="hidden" r:id="rId4"/>
    <sheet name="A5_Chem_Look_Up" sheetId="34" state="hidden" r:id="rId5"/>
    <sheet name="A6_Machine_Look_Up" sheetId="36" state="hidden" r:id="rId6"/>
    <sheet name="EquipmentSpecs" sheetId="20" state="hidden" r:id="rId7"/>
    <sheet name="B1_ChemicalCopy" sheetId="14" state="hidden" r:id="rId8"/>
    <sheet name="B2_ChemicalMakeReport" sheetId="16" state="hidden" r:id="rId9"/>
    <sheet name="B3_MachineCopy" sheetId="13" state="hidden" r:id="rId10"/>
    <sheet name="B4_MachineMakeReport" sheetId="18" state="hidden" r:id="rId11"/>
    <sheet name="Z1_Equipment_Calculations" sheetId="11" state="hidden" r:id="rId12"/>
    <sheet name="Program_Variables" sheetId="25" state="hidden" r:id="rId13"/>
    <sheet name="CostReport_Verification" sheetId="17" r:id="rId14"/>
    <sheet name="SummaryReport_Verification" sheetId="15" r:id="rId15"/>
    <sheet name="Field_Activities" sheetId="23" state="hidden" r:id="rId16"/>
    <sheet name="Guide" sheetId="21" r:id="rId17"/>
    <sheet name="Print_Budget" sheetId="19" r:id="rId18"/>
    <sheet name="Print_Summary" sheetId="30" r:id="rId19"/>
    <sheet name="C1_Messages_Indicators" sheetId="24" state="hidden" r:id="rId20"/>
    <sheet name="C2_Irrigation_Calculations" sheetId="10" state="hidden" r:id="rId21"/>
    <sheet name="Print_Land_Capitalization" sheetId="35" r:id="rId22"/>
    <sheet name="Budget" sheetId="4" r:id="rId23"/>
    <sheet name="Fertilizer" sheetId="42" r:id="rId24"/>
    <sheet name="Seed_Chemical" sheetId="5" r:id="rId25"/>
    <sheet name="Irrigation" sheetId="9" r:id="rId26"/>
    <sheet name="Machine" sheetId="6" r:id="rId27"/>
    <sheet name="Trips" sheetId="12" r:id="rId28"/>
    <sheet name="Print_Machine_Custom_Costs" sheetId="38" r:id="rId29"/>
    <sheet name="Print_Irrigation_Report" sheetId="29" r:id="rId30"/>
    <sheet name="Z2_Machine_Custom_Calculations" sheetId="39" state="hidden" r:id="rId31"/>
    <sheet name="Links" sheetId="37" r:id="rId32"/>
    <sheet name="Hours" sheetId="41" r:id="rId33"/>
    <sheet name="CarbonEmissions" sheetId="43" state="hidden" r:id="rId34"/>
  </sheets>
  <definedNames>
    <definedName name="_xlnm._FilterDatabase" localSheetId="22" hidden="1">'C2_Irrigation_Calculations'!$A$20:$H$34</definedName>
    <definedName name="_xlnm._FilterDatabase" localSheetId="17" hidden="1">'C2_Irrigation_Calculations'!$A$20:$H$34</definedName>
    <definedName name="_xlnm.Print_Area" localSheetId="7">B1_ChemicalCopy!$A$1:$G$60</definedName>
    <definedName name="_xlnm.Print_Area" localSheetId="8">B2_ChemicalMakeReport!$A$1:$G$29</definedName>
    <definedName name="_xlnm.Print_Area" localSheetId="9">B3_MachineCopy!$A$1:$H$65</definedName>
    <definedName name="_xlnm.Print_Area" localSheetId="10">B4_MachineMakeReport!$A$1:$H$6</definedName>
    <definedName name="_xlnm.Print_Area" localSheetId="22">Budget!$A$1:$F$59</definedName>
    <definedName name="_xlnm.Print_Area" localSheetId="33">CarbonEmissions!$B$1:$I$39</definedName>
    <definedName name="_xlnm.Print_Area" localSheetId="13">CostReport_Verification!$A$1:$H$10</definedName>
    <definedName name="_xlnm.Print_Area" localSheetId="15">Field_Activities!$A$2:$D$25</definedName>
    <definedName name="_xlnm.Print_Area" localSheetId="16">Guide!$A$2:$C$51</definedName>
    <definedName name="_xlnm.Print_Area" localSheetId="32">Hours!$B$2:$O$72</definedName>
    <definedName name="_xlnm.Print_Area" localSheetId="25">Print_Irrigation_Report!$A$3:$D$33</definedName>
    <definedName name="_xlnm.Print_Area" localSheetId="26">Machine!$A$10:$H$51</definedName>
    <definedName name="_xlnm.Print_Area" localSheetId="17">Print_Budget!$A$1:$F$58</definedName>
    <definedName name="_xlnm.Print_Area" localSheetId="21">Print_Land_Capitalization!$A$1:$F$42</definedName>
    <definedName name="_xlnm.Print_Area" localSheetId="28">Print_Machine_Custom_Costs!$A$1:$H$74</definedName>
    <definedName name="_xlnm.Print_Area" localSheetId="18">Print_Summary!$A$1:$F$40</definedName>
    <definedName name="_xlnm.Print_Area" localSheetId="24">Seed_Chemical!$A$2:$F$69</definedName>
    <definedName name="_xlnm.Print_Area" localSheetId="14">SummaryReport_Verification!$A$1:$G$35</definedName>
    <definedName name="_xlnm.Print_Area" localSheetId="27">Trips!$A$1:$M$74</definedName>
    <definedName name="Production" localSheetId="5">#REF!</definedName>
    <definedName name="Production" localSheetId="7">#REF!</definedName>
    <definedName name="Production" localSheetId="10">#REF!</definedName>
    <definedName name="Production" localSheetId="6">#REF!</definedName>
    <definedName name="Production" localSheetId="32">#REF!</definedName>
    <definedName name="Production" localSheetId="31">#REF!</definedName>
    <definedName name="Production" localSheetId="26">#REF!</definedName>
    <definedName name="Production" localSheetId="17">#REF!</definedName>
    <definedName name="Production" localSheetId="21">#REF!</definedName>
    <definedName name="Production" localSheetId="28">#REF!</definedName>
    <definedName name="Production" localSheetId="18">#REF!</definedName>
    <definedName name="Production" localSheetId="14">#REF!</definedName>
    <definedName name="Production" localSheetId="30">#REF!</definedName>
    <definedName name="Production">#REF!</definedName>
    <definedName name="row" localSheetId="5">#REF!</definedName>
    <definedName name="row" localSheetId="7">#REF!</definedName>
    <definedName name="row" localSheetId="10">#REF!</definedName>
    <definedName name="row" localSheetId="6">#REF!</definedName>
    <definedName name="row" localSheetId="32">#REF!</definedName>
    <definedName name="row" localSheetId="31">#REF!</definedName>
    <definedName name="row" localSheetId="26">#REF!</definedName>
    <definedName name="row" localSheetId="17">#REF!</definedName>
    <definedName name="row" localSheetId="21">#REF!</definedName>
    <definedName name="row" localSheetId="28">#REF!</definedName>
    <definedName name="row" localSheetId="18">#REF!</definedName>
    <definedName name="row" localSheetId="14">#REF!</definedName>
    <definedName name="row" localSheetId="30">#REF!</definedName>
    <definedName name="row">#REF!</definedName>
    <definedName name="same" localSheetId="5">#REF!</definedName>
    <definedName name="same" localSheetId="7">#REF!</definedName>
    <definedName name="same" localSheetId="10">#REF!</definedName>
    <definedName name="same" localSheetId="6">#REF!</definedName>
    <definedName name="same" localSheetId="32">#REF!</definedName>
    <definedName name="same" localSheetId="31">#REF!</definedName>
    <definedName name="same" localSheetId="26">#REF!</definedName>
    <definedName name="same" localSheetId="17">#REF!</definedName>
    <definedName name="same" localSheetId="21">#REF!</definedName>
    <definedName name="same" localSheetId="28">#REF!</definedName>
    <definedName name="same" localSheetId="18">#REF!</definedName>
    <definedName name="same" localSheetId="14">#REF!</definedName>
    <definedName name="same" localSheetId="30">#REF!</definedName>
    <definedName name="same">#REF!</definedName>
    <definedName name="Technology" localSheetId="5">#REF!</definedName>
    <definedName name="Technology" localSheetId="7">#REF!</definedName>
    <definedName name="Technology" localSheetId="10">#REF!</definedName>
    <definedName name="Technology" localSheetId="6">#REF!</definedName>
    <definedName name="Technology" localSheetId="32">#REF!</definedName>
    <definedName name="Technology" localSheetId="31">#REF!</definedName>
    <definedName name="Technology" localSheetId="26">#REF!</definedName>
    <definedName name="Technology" localSheetId="17">#REF!</definedName>
    <definedName name="Technology" localSheetId="21">#REF!</definedName>
    <definedName name="Technology" localSheetId="28">#REF!</definedName>
    <definedName name="Technology" localSheetId="18">#REF!</definedName>
    <definedName name="Technology" localSheetId="14">#REF!</definedName>
    <definedName name="Technology" localSheetId="30">#REF!</definedName>
    <definedName name="Technology">#REF!</definedName>
    <definedName name="Tillage" localSheetId="5">#REF!</definedName>
    <definedName name="Tillage" localSheetId="7">#REF!</definedName>
    <definedName name="Tillage" localSheetId="10">#REF!</definedName>
    <definedName name="Tillage" localSheetId="6">#REF!</definedName>
    <definedName name="Tillage" localSheetId="32">#REF!</definedName>
    <definedName name="Tillage" localSheetId="31">#REF!</definedName>
    <definedName name="Tillage" localSheetId="26">#REF!</definedName>
    <definedName name="Tillage" localSheetId="17">#REF!</definedName>
    <definedName name="Tillage" localSheetId="21">#REF!</definedName>
    <definedName name="Tillage" localSheetId="28">#REF!</definedName>
    <definedName name="Tillage" localSheetId="18">#REF!</definedName>
    <definedName name="Tillage" localSheetId="14">#REF!</definedName>
    <definedName name="Tillage" localSheetId="30">#REF!</definedName>
    <definedName name="Till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61" i="34" l="1"/>
  <c r="L1561" i="34"/>
  <c r="J1561" i="34"/>
  <c r="M1560" i="34"/>
  <c r="L1560" i="34"/>
  <c r="J1560" i="34"/>
  <c r="M1559" i="34"/>
  <c r="L1559" i="34"/>
  <c r="J1559" i="34"/>
  <c r="M1558" i="34"/>
  <c r="L1558" i="34"/>
  <c r="J1558" i="34"/>
  <c r="M1557" i="34"/>
  <c r="L1557" i="34"/>
  <c r="J1557" i="34"/>
  <c r="M1556" i="34"/>
  <c r="L1556" i="34"/>
  <c r="J1556" i="34"/>
  <c r="M1499" i="34"/>
  <c r="L1499" i="34"/>
  <c r="J1499" i="34"/>
  <c r="M1498" i="34"/>
  <c r="L1498" i="34"/>
  <c r="J1498" i="34"/>
  <c r="M1497" i="34"/>
  <c r="L1497" i="34"/>
  <c r="J1497" i="34"/>
  <c r="M1496" i="34"/>
  <c r="L1496" i="34"/>
  <c r="J1496" i="34"/>
  <c r="M1495" i="34"/>
  <c r="L1495" i="34"/>
  <c r="J1495" i="34"/>
  <c r="M1494" i="34"/>
  <c r="L1494" i="34"/>
  <c r="J1494" i="34"/>
  <c r="M1437" i="34"/>
  <c r="L1437" i="34"/>
  <c r="J1437" i="34"/>
  <c r="M1436" i="34"/>
  <c r="L1436" i="34"/>
  <c r="J1436" i="34"/>
  <c r="M1435" i="34"/>
  <c r="L1435" i="34"/>
  <c r="J1435" i="34"/>
  <c r="M1434" i="34"/>
  <c r="L1434" i="34"/>
  <c r="J1434" i="34"/>
  <c r="M1433" i="34"/>
  <c r="L1433" i="34"/>
  <c r="J1433" i="34"/>
  <c r="M1432" i="34"/>
  <c r="L1432" i="34"/>
  <c r="J1432" i="34"/>
  <c r="M1128" i="34"/>
  <c r="L1128" i="34"/>
  <c r="J1128" i="34"/>
  <c r="M1127" i="34"/>
  <c r="L1127" i="34"/>
  <c r="J1127" i="34"/>
  <c r="M1126" i="34"/>
  <c r="L1126" i="34"/>
  <c r="J1126" i="34"/>
  <c r="M1125" i="34"/>
  <c r="L1125" i="34"/>
  <c r="J1125" i="34"/>
  <c r="M1124" i="34"/>
  <c r="L1124" i="34"/>
  <c r="J1124" i="34"/>
  <c r="M1123" i="34"/>
  <c r="L1123" i="34"/>
  <c r="J1123" i="34"/>
  <c r="M1122" i="34"/>
  <c r="L1122" i="34"/>
  <c r="J1122" i="34"/>
  <c r="M1190" i="34"/>
  <c r="L1190" i="34"/>
  <c r="J1190" i="34"/>
  <c r="M1189" i="34"/>
  <c r="L1189" i="34"/>
  <c r="J1189" i="34"/>
  <c r="M1188" i="34"/>
  <c r="L1188" i="34"/>
  <c r="J1188" i="34"/>
  <c r="M1187" i="34"/>
  <c r="L1187" i="34"/>
  <c r="J1187" i="34"/>
  <c r="M1186" i="34"/>
  <c r="L1186" i="34"/>
  <c r="J1186" i="34"/>
  <c r="M1185" i="34"/>
  <c r="L1185" i="34"/>
  <c r="J1185" i="34"/>
  <c r="M1184" i="34"/>
  <c r="L1184" i="34"/>
  <c r="J1184" i="34"/>
  <c r="M1252" i="34"/>
  <c r="L1252" i="34"/>
  <c r="J1252" i="34"/>
  <c r="M1251" i="34"/>
  <c r="L1251" i="34"/>
  <c r="J1251" i="34"/>
  <c r="M1250" i="34"/>
  <c r="L1250" i="34"/>
  <c r="J1250" i="34"/>
  <c r="M1249" i="34"/>
  <c r="L1249" i="34"/>
  <c r="J1249" i="34"/>
  <c r="M1248" i="34"/>
  <c r="L1248" i="34"/>
  <c r="J1248" i="34"/>
  <c r="M1247" i="34"/>
  <c r="L1247" i="34"/>
  <c r="J1247" i="34"/>
  <c r="M1246" i="34"/>
  <c r="L1246" i="34"/>
  <c r="J1246" i="34"/>
  <c r="P1314" i="34"/>
  <c r="P1312" i="34"/>
  <c r="M1309" i="34"/>
  <c r="M1308" i="34"/>
  <c r="L1309" i="34"/>
  <c r="J1309" i="34"/>
  <c r="P16" i="40"/>
  <c r="M1314" i="34" l="1"/>
  <c r="L1314" i="34"/>
  <c r="J1314" i="34"/>
  <c r="M1313" i="34"/>
  <c r="L1313" i="34"/>
  <c r="J1313" i="34"/>
  <c r="M1312" i="34"/>
  <c r="L1312" i="34"/>
  <c r="J1312" i="34"/>
  <c r="M1311" i="34"/>
  <c r="L1311" i="34"/>
  <c r="J1311" i="34"/>
  <c r="M1310" i="34"/>
  <c r="L1310" i="34"/>
  <c r="J1310" i="34"/>
  <c r="L1308" i="34"/>
  <c r="J1308" i="34"/>
  <c r="M1375" i="34"/>
  <c r="L1375" i="34"/>
  <c r="J1375" i="34"/>
  <c r="M1374" i="34"/>
  <c r="L1374" i="34"/>
  <c r="J1374" i="34"/>
  <c r="M1373" i="34"/>
  <c r="L1373" i="34"/>
  <c r="J1373" i="34"/>
  <c r="G10" i="25" l="1"/>
  <c r="L1621" i="34"/>
  <c r="P14" i="40"/>
  <c r="S9" i="40"/>
  <c r="J34" i="40"/>
  <c r="C10" i="25"/>
  <c r="M574" i="34"/>
  <c r="L574" i="34"/>
  <c r="J574" i="34"/>
  <c r="M573" i="34"/>
  <c r="L573" i="34"/>
  <c r="J573" i="34"/>
  <c r="M572" i="34"/>
  <c r="L572" i="34"/>
  <c r="J572" i="34"/>
  <c r="M571" i="34"/>
  <c r="L571" i="34"/>
  <c r="J571" i="34"/>
  <c r="M570" i="34"/>
  <c r="L570" i="34"/>
  <c r="J570" i="34"/>
  <c r="M569" i="34"/>
  <c r="L569" i="34"/>
  <c r="J569" i="34"/>
  <c r="M568" i="34"/>
  <c r="L568" i="34"/>
  <c r="J568" i="34"/>
  <c r="M567" i="34"/>
  <c r="L567" i="34"/>
  <c r="J567" i="34"/>
  <c r="M566" i="34"/>
  <c r="L566" i="34"/>
  <c r="J566" i="34"/>
  <c r="M565" i="34"/>
  <c r="L565" i="34"/>
  <c r="J565" i="34"/>
  <c r="M564" i="34"/>
  <c r="L564" i="34"/>
  <c r="J564" i="34"/>
  <c r="M512" i="34"/>
  <c r="L512" i="34"/>
  <c r="J512" i="34"/>
  <c r="M511" i="34"/>
  <c r="L511" i="34"/>
  <c r="J511" i="34"/>
  <c r="M510" i="34"/>
  <c r="L510" i="34"/>
  <c r="J510" i="34"/>
  <c r="M509" i="34"/>
  <c r="L509" i="34"/>
  <c r="J509" i="34"/>
  <c r="M508" i="34"/>
  <c r="L508" i="34"/>
  <c r="J508" i="34"/>
  <c r="M507" i="34"/>
  <c r="L507" i="34"/>
  <c r="J507" i="34"/>
  <c r="M506" i="34"/>
  <c r="L506" i="34"/>
  <c r="J506" i="34"/>
  <c r="M505" i="34"/>
  <c r="L505" i="34"/>
  <c r="J505" i="34"/>
  <c r="M504" i="34"/>
  <c r="L504" i="34"/>
  <c r="J504" i="34"/>
  <c r="M503" i="34"/>
  <c r="L503" i="34"/>
  <c r="J503" i="34"/>
  <c r="M502" i="34"/>
  <c r="L502" i="34"/>
  <c r="J502" i="34"/>
  <c r="M450" i="34"/>
  <c r="L450" i="34"/>
  <c r="J450" i="34"/>
  <c r="M449" i="34"/>
  <c r="L449" i="34"/>
  <c r="J449" i="34"/>
  <c r="M448" i="34"/>
  <c r="L448" i="34"/>
  <c r="J448" i="34"/>
  <c r="M447" i="34"/>
  <c r="L447" i="34"/>
  <c r="J447" i="34"/>
  <c r="M446" i="34"/>
  <c r="L446" i="34"/>
  <c r="J446" i="34"/>
  <c r="M445" i="34"/>
  <c r="L445" i="34"/>
  <c r="J445" i="34"/>
  <c r="M444" i="34"/>
  <c r="L444" i="34"/>
  <c r="J444" i="34"/>
  <c r="M443" i="34"/>
  <c r="L443" i="34"/>
  <c r="J443" i="34"/>
  <c r="M442" i="34"/>
  <c r="L442" i="34"/>
  <c r="J442" i="34"/>
  <c r="M441" i="34"/>
  <c r="L441" i="34"/>
  <c r="J441" i="34"/>
  <c r="M440" i="34"/>
  <c r="L440" i="34"/>
  <c r="J440" i="34"/>
  <c r="M388" i="34"/>
  <c r="L388" i="34"/>
  <c r="J388" i="34"/>
  <c r="M387" i="34"/>
  <c r="L387" i="34"/>
  <c r="J387" i="34"/>
  <c r="M386" i="34"/>
  <c r="L386" i="34"/>
  <c r="J386" i="34"/>
  <c r="M385" i="34"/>
  <c r="L385" i="34"/>
  <c r="J385" i="34"/>
  <c r="M384" i="34"/>
  <c r="L384" i="34"/>
  <c r="J384" i="34"/>
  <c r="M383" i="34"/>
  <c r="L383" i="34"/>
  <c r="J383" i="34"/>
  <c r="M382" i="34"/>
  <c r="L382" i="34"/>
  <c r="J382" i="34"/>
  <c r="M381" i="34"/>
  <c r="L381" i="34"/>
  <c r="J381" i="34"/>
  <c r="M380" i="34"/>
  <c r="L380" i="34"/>
  <c r="J380" i="34"/>
  <c r="M379" i="34"/>
  <c r="L379" i="34"/>
  <c r="J379" i="34"/>
  <c r="M378" i="34"/>
  <c r="L378" i="34"/>
  <c r="J378" i="34"/>
  <c r="M326" i="34"/>
  <c r="L326" i="34"/>
  <c r="J326" i="34"/>
  <c r="M325" i="34"/>
  <c r="L325" i="34"/>
  <c r="J325" i="34"/>
  <c r="M324" i="34"/>
  <c r="L324" i="34"/>
  <c r="J324" i="34"/>
  <c r="M323" i="34"/>
  <c r="L323" i="34"/>
  <c r="J323" i="34"/>
  <c r="M322" i="34"/>
  <c r="L322" i="34"/>
  <c r="J322" i="34"/>
  <c r="M321" i="34"/>
  <c r="L321" i="34"/>
  <c r="J321" i="34"/>
  <c r="M320" i="34"/>
  <c r="L320" i="34"/>
  <c r="J320" i="34"/>
  <c r="M319" i="34"/>
  <c r="L319" i="34"/>
  <c r="J319" i="34"/>
  <c r="M318" i="34"/>
  <c r="L318" i="34"/>
  <c r="J318" i="34"/>
  <c r="M317" i="34"/>
  <c r="L317" i="34"/>
  <c r="J317" i="34"/>
  <c r="M316" i="34"/>
  <c r="L316" i="34"/>
  <c r="J316" i="34"/>
  <c r="M264" i="34"/>
  <c r="L264" i="34"/>
  <c r="J264" i="34"/>
  <c r="M263" i="34"/>
  <c r="L263" i="34"/>
  <c r="J263" i="34"/>
  <c r="M262" i="34"/>
  <c r="L262" i="34"/>
  <c r="J262" i="34"/>
  <c r="M261" i="34"/>
  <c r="L261" i="34"/>
  <c r="J261" i="34"/>
  <c r="M260" i="34"/>
  <c r="L260" i="34"/>
  <c r="J260" i="34"/>
  <c r="M259" i="34"/>
  <c r="L259" i="34"/>
  <c r="J259" i="34"/>
  <c r="M258" i="34"/>
  <c r="L258" i="34"/>
  <c r="J258" i="34"/>
  <c r="M257" i="34"/>
  <c r="L257" i="34"/>
  <c r="J257" i="34"/>
  <c r="M256" i="34"/>
  <c r="L256" i="34"/>
  <c r="J256" i="34"/>
  <c r="M255" i="34"/>
  <c r="L255" i="34"/>
  <c r="J255" i="34"/>
  <c r="M254" i="34"/>
  <c r="L254" i="34"/>
  <c r="J254" i="34"/>
  <c r="M202" i="34"/>
  <c r="L202" i="34"/>
  <c r="J202" i="34"/>
  <c r="M201" i="34"/>
  <c r="L201" i="34"/>
  <c r="J201" i="34"/>
  <c r="M200" i="34"/>
  <c r="L200" i="34"/>
  <c r="J200" i="34"/>
  <c r="M199" i="34"/>
  <c r="L199" i="34"/>
  <c r="J199" i="34"/>
  <c r="M198" i="34"/>
  <c r="L198" i="34"/>
  <c r="J198" i="34"/>
  <c r="M197" i="34"/>
  <c r="L197" i="34"/>
  <c r="J197" i="34"/>
  <c r="M196" i="34"/>
  <c r="L196" i="34"/>
  <c r="J196" i="34"/>
  <c r="M1873" i="34" l="1"/>
  <c r="L1873" i="34"/>
  <c r="J1873" i="34"/>
  <c r="M1872" i="34"/>
  <c r="L1872" i="34"/>
  <c r="J1872" i="34"/>
  <c r="M1871" i="34"/>
  <c r="L1871" i="34"/>
  <c r="J1871" i="34"/>
  <c r="M1870" i="34"/>
  <c r="L1870" i="34"/>
  <c r="J1870" i="34"/>
  <c r="M1869" i="34"/>
  <c r="L1869" i="34"/>
  <c r="J1869" i="34"/>
  <c r="M1868" i="34"/>
  <c r="L1868" i="34"/>
  <c r="J1868" i="34"/>
  <c r="M1867" i="34"/>
  <c r="L1867" i="34"/>
  <c r="J1867" i="34"/>
  <c r="M1866" i="34"/>
  <c r="L1866" i="34"/>
  <c r="J1866" i="34"/>
  <c r="M1811" i="34"/>
  <c r="L1811" i="34"/>
  <c r="J1811" i="34"/>
  <c r="M1810" i="34"/>
  <c r="L1810" i="34"/>
  <c r="J1810" i="34"/>
  <c r="M1809" i="34"/>
  <c r="L1809" i="34"/>
  <c r="J1809" i="34"/>
  <c r="M1808" i="34"/>
  <c r="L1808" i="34"/>
  <c r="J1808" i="34"/>
  <c r="M1807" i="34"/>
  <c r="L1807" i="34"/>
  <c r="J1807" i="34"/>
  <c r="M1806" i="34"/>
  <c r="L1806" i="34"/>
  <c r="J1806" i="34"/>
  <c r="M1805" i="34"/>
  <c r="L1805" i="34"/>
  <c r="J1805" i="34"/>
  <c r="M1804" i="34"/>
  <c r="L1804" i="34"/>
  <c r="J1804" i="34"/>
  <c r="P1749" i="34"/>
  <c r="P1748" i="34"/>
  <c r="P1747" i="34"/>
  <c r="P1746" i="34"/>
  <c r="P1745" i="34"/>
  <c r="P1742" i="34"/>
  <c r="M1748" i="34"/>
  <c r="L1748" i="34"/>
  <c r="J1748" i="34"/>
  <c r="M1747" i="34"/>
  <c r="L1747" i="34"/>
  <c r="D7" i="40"/>
  <c r="V7" i="40"/>
  <c r="V12" i="40"/>
  <c r="J1747" i="34"/>
  <c r="L1749" i="34"/>
  <c r="J1749" i="34"/>
  <c r="L1746" i="34"/>
  <c r="V11" i="40"/>
  <c r="M1746" i="34" s="1"/>
  <c r="J1746" i="34"/>
  <c r="M1744" i="34"/>
  <c r="L1744" i="34"/>
  <c r="J1744" i="34"/>
  <c r="V10" i="40"/>
  <c r="M1743" i="34" s="1"/>
  <c r="L1743" i="34"/>
  <c r="J1743" i="34"/>
  <c r="M1742" i="34"/>
  <c r="L1742" i="34"/>
  <c r="J1742" i="34"/>
  <c r="D13" i="40" l="1"/>
  <c r="M194" i="34"/>
  <c r="L194" i="34"/>
  <c r="J194" i="34"/>
  <c r="M132" i="34"/>
  <c r="L132" i="34"/>
  <c r="J132" i="34"/>
  <c r="M70" i="34"/>
  <c r="L70" i="34"/>
  <c r="J70" i="34"/>
  <c r="M8" i="34"/>
  <c r="L8" i="34"/>
  <c r="J8" i="34"/>
  <c r="D9" i="40"/>
  <c r="AV43" i="32"/>
  <c r="T43" i="32"/>
  <c r="Q43" i="32"/>
  <c r="T19" i="32" l="1"/>
  <c r="S19" i="32"/>
  <c r="S43" i="32"/>
  <c r="E12" i="25" l="1"/>
  <c r="E11" i="25"/>
  <c r="AE19" i="32" l="1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AS19" i="32"/>
  <c r="AR19" i="32"/>
  <c r="AQ19" i="32"/>
  <c r="AT19" i="32"/>
  <c r="AU19" i="32"/>
  <c r="AV19" i="32"/>
  <c r="E7" i="25" l="1"/>
  <c r="I4" i="42"/>
  <c r="I5" i="42"/>
  <c r="R303" i="36"/>
  <c r="Q303" i="36"/>
  <c r="R302" i="36"/>
  <c r="Q302" i="36"/>
  <c r="R290" i="36"/>
  <c r="R288" i="36"/>
  <c r="Q288" i="36"/>
  <c r="R287" i="36"/>
  <c r="Q287" i="36"/>
  <c r="R229" i="36"/>
  <c r="Q229" i="36"/>
  <c r="R228" i="36"/>
  <c r="Q228" i="36"/>
  <c r="R216" i="36"/>
  <c r="R214" i="36"/>
  <c r="Q214" i="36"/>
  <c r="R213" i="36"/>
  <c r="Q213" i="36"/>
  <c r="R155" i="36"/>
  <c r="Q155" i="36"/>
  <c r="R154" i="36"/>
  <c r="Q154" i="36"/>
  <c r="R142" i="36"/>
  <c r="R140" i="36"/>
  <c r="Q140" i="36"/>
  <c r="R139" i="36"/>
  <c r="Q139" i="36"/>
  <c r="P8" i="40"/>
  <c r="G10" i="40"/>
  <c r="P6" i="40" s="1"/>
  <c r="P9" i="40"/>
  <c r="P32" i="40"/>
  <c r="V6" i="40"/>
  <c r="M6" i="40"/>
  <c r="P12" i="40"/>
  <c r="G7" i="40"/>
  <c r="S4" i="40"/>
  <c r="G20" i="40"/>
  <c r="G26" i="40"/>
  <c r="G19" i="40"/>
  <c r="D3" i="40"/>
  <c r="M4" i="40" s="1"/>
  <c r="E8" i="25"/>
  <c r="E9" i="25"/>
  <c r="S10" i="40"/>
  <c r="S5" i="40"/>
  <c r="P10" i="40"/>
  <c r="G6" i="40"/>
  <c r="V4" i="40" s="1"/>
  <c r="G15" i="40"/>
  <c r="P3" i="40"/>
  <c r="M5" i="40"/>
  <c r="M1749" i="34"/>
  <c r="G29" i="40"/>
  <c r="G30" i="40"/>
  <c r="G28" i="40"/>
  <c r="G9" i="40"/>
  <c r="G5" i="40"/>
  <c r="H9" i="40"/>
  <c r="N2" i="40"/>
  <c r="K2" i="40"/>
  <c r="E2" i="40"/>
  <c r="G4" i="40"/>
  <c r="J32" i="40"/>
  <c r="M18" i="40"/>
  <c r="G8" i="40"/>
  <c r="P2" i="40" l="1"/>
  <c r="D2" i="40"/>
  <c r="G2" i="40" s="1"/>
  <c r="V2" i="40"/>
  <c r="V9" i="40"/>
  <c r="V5" i="40"/>
  <c r="M3" i="40"/>
  <c r="S11" i="40"/>
  <c r="D4" i="40"/>
  <c r="E27" i="4" l="1"/>
  <c r="E25" i="4"/>
  <c r="E8" i="42" l="1"/>
  <c r="E12" i="4" s="1"/>
  <c r="C13" i="4" l="1"/>
  <c r="A13" i="4"/>
  <c r="M195" i="34" l="1"/>
  <c r="L195" i="34"/>
  <c r="J195" i="34"/>
  <c r="M193" i="34"/>
  <c r="L193" i="34"/>
  <c r="J193" i="34"/>
  <c r="E10" i="25" l="1"/>
  <c r="M1005" i="34"/>
  <c r="L1005" i="34"/>
  <c r="M1002" i="34"/>
  <c r="L1002" i="34"/>
  <c r="M1000" i="34"/>
  <c r="L1000" i="34"/>
  <c r="J1005" i="34"/>
  <c r="J1002" i="34"/>
  <c r="J1000" i="34"/>
  <c r="M1627" i="34" l="1"/>
  <c r="L1627" i="34"/>
  <c r="J1627" i="34"/>
  <c r="M1626" i="34"/>
  <c r="L1626" i="34"/>
  <c r="J1626" i="34"/>
  <c r="M1625" i="34"/>
  <c r="L1625" i="34"/>
  <c r="J1625" i="34"/>
  <c r="M1624" i="34"/>
  <c r="L1624" i="34"/>
  <c r="J1624" i="34"/>
  <c r="M1623" i="34"/>
  <c r="L1623" i="34"/>
  <c r="J1623" i="34"/>
  <c r="M1622" i="34"/>
  <c r="L1622" i="34"/>
  <c r="J1622" i="34"/>
  <c r="M1621" i="34"/>
  <c r="J1621" i="34"/>
  <c r="M1620" i="34"/>
  <c r="L1620" i="34"/>
  <c r="J1620" i="34"/>
  <c r="M1619" i="34"/>
  <c r="L1619" i="34"/>
  <c r="J1619" i="34"/>
  <c r="M1618" i="34"/>
  <c r="L1618" i="34"/>
  <c r="J1618" i="34"/>
  <c r="M2247" i="34"/>
  <c r="L2247" i="34"/>
  <c r="J2247" i="34"/>
  <c r="M2246" i="34"/>
  <c r="L2246" i="34"/>
  <c r="J2246" i="34"/>
  <c r="M2245" i="34"/>
  <c r="L2245" i="34"/>
  <c r="J2245" i="34"/>
  <c r="M2244" i="34"/>
  <c r="L2244" i="34"/>
  <c r="J2244" i="34"/>
  <c r="M2243" i="34"/>
  <c r="L2243" i="34"/>
  <c r="J2243" i="34"/>
  <c r="M2242" i="34"/>
  <c r="L2242" i="34"/>
  <c r="J2242" i="34"/>
  <c r="M2241" i="34"/>
  <c r="J2241" i="34"/>
  <c r="M2240" i="34"/>
  <c r="L2240" i="34"/>
  <c r="J2240" i="34"/>
  <c r="M2239" i="34"/>
  <c r="L2239" i="34"/>
  <c r="J2239" i="34"/>
  <c r="M2238" i="34"/>
  <c r="L2238" i="34"/>
  <c r="J2238" i="34"/>
  <c r="M2256" i="34"/>
  <c r="L2256" i="34"/>
  <c r="J2256" i="34"/>
  <c r="M2194" i="34"/>
  <c r="L2194" i="34"/>
  <c r="J2194" i="34"/>
  <c r="M2185" i="34"/>
  <c r="L2185" i="34"/>
  <c r="J2185" i="34"/>
  <c r="M2184" i="34"/>
  <c r="L2184" i="34"/>
  <c r="J2184" i="34"/>
  <c r="M2183" i="34"/>
  <c r="L2183" i="34"/>
  <c r="J2183" i="34"/>
  <c r="M2182" i="34"/>
  <c r="L2182" i="34"/>
  <c r="J2182" i="34"/>
  <c r="M2181" i="34"/>
  <c r="L2181" i="34"/>
  <c r="J2181" i="34"/>
  <c r="M2180" i="34"/>
  <c r="L2180" i="34"/>
  <c r="J2180" i="34"/>
  <c r="M2179" i="34"/>
  <c r="J2179" i="34"/>
  <c r="M2178" i="34"/>
  <c r="L2178" i="34"/>
  <c r="J2178" i="34"/>
  <c r="M2177" i="34"/>
  <c r="L2177" i="34"/>
  <c r="J2177" i="34"/>
  <c r="M2176" i="34"/>
  <c r="L2176" i="34"/>
  <c r="J2176" i="34"/>
  <c r="M2132" i="34"/>
  <c r="L2132" i="34"/>
  <c r="J2132" i="34"/>
  <c r="M2123" i="34"/>
  <c r="L2123" i="34"/>
  <c r="J2123" i="34"/>
  <c r="M2122" i="34"/>
  <c r="L2122" i="34"/>
  <c r="J2122" i="34"/>
  <c r="M2121" i="34"/>
  <c r="L2121" i="34"/>
  <c r="J2121" i="34"/>
  <c r="L2120" i="34"/>
  <c r="M2120" i="34"/>
  <c r="S16" i="40"/>
  <c r="J2120" i="34"/>
  <c r="M2119" i="34"/>
  <c r="L2119" i="34"/>
  <c r="J2119" i="34"/>
  <c r="M2118" i="34"/>
  <c r="L2118" i="34"/>
  <c r="J2118" i="34"/>
  <c r="M2116" i="34"/>
  <c r="M2115" i="34"/>
  <c r="L2116" i="34"/>
  <c r="J2116" i="34"/>
  <c r="V33" i="40"/>
  <c r="M1844" i="34"/>
  <c r="L1844" i="34"/>
  <c r="J1844" i="34"/>
  <c r="M1843" i="34"/>
  <c r="L1843" i="34"/>
  <c r="J1843" i="34"/>
  <c r="M1842" i="34"/>
  <c r="L1842" i="34"/>
  <c r="J1842" i="34"/>
  <c r="M1906" i="34"/>
  <c r="L1906" i="34"/>
  <c r="J1906" i="34"/>
  <c r="M1905" i="34"/>
  <c r="L1905" i="34"/>
  <c r="J1905" i="34"/>
  <c r="M1904" i="34"/>
  <c r="L1904" i="34"/>
  <c r="J1904" i="34"/>
  <c r="M1782" i="34"/>
  <c r="L1782" i="34"/>
  <c r="J1782" i="34"/>
  <c r="M1781" i="34"/>
  <c r="L1781" i="34"/>
  <c r="J1781" i="34"/>
  <c r="M1780" i="34"/>
  <c r="L1780" i="34"/>
  <c r="J1780" i="34"/>
  <c r="M1745" i="34" l="1"/>
  <c r="L1745" i="34"/>
  <c r="J1745" i="34"/>
  <c r="S32" i="40"/>
  <c r="M1681" i="34"/>
  <c r="L1681" i="34"/>
  <c r="J1681" i="34"/>
  <c r="M1680" i="34"/>
  <c r="L1680" i="34"/>
  <c r="J1680" i="34"/>
  <c r="J1682" i="34"/>
  <c r="M1684" i="34"/>
  <c r="L1684" i="34"/>
  <c r="J1684" i="34"/>
  <c r="M1683" i="34"/>
  <c r="L1683" i="34"/>
  <c r="J1683" i="34"/>
  <c r="J1636" i="34"/>
  <c r="M1636" i="34"/>
  <c r="L1636" i="34"/>
  <c r="M1574" i="34"/>
  <c r="L1574" i="34"/>
  <c r="J1574" i="34"/>
  <c r="M1512" i="34"/>
  <c r="L1512" i="34"/>
  <c r="J1512" i="34"/>
  <c r="M1450" i="34"/>
  <c r="L1450" i="34"/>
  <c r="J1450" i="34"/>
  <c r="M1388" i="34"/>
  <c r="L1388" i="34"/>
  <c r="J1388" i="34"/>
  <c r="M523" i="34"/>
  <c r="L523" i="34"/>
  <c r="J523" i="34"/>
  <c r="M522" i="34"/>
  <c r="L522" i="34"/>
  <c r="J522" i="34"/>
  <c r="M521" i="34"/>
  <c r="L521" i="34"/>
  <c r="J521" i="34"/>
  <c r="M520" i="34"/>
  <c r="L520" i="34"/>
  <c r="J520" i="34"/>
  <c r="M461" i="34"/>
  <c r="L461" i="34"/>
  <c r="J461" i="34"/>
  <c r="M460" i="34"/>
  <c r="L460" i="34"/>
  <c r="J460" i="34"/>
  <c r="M459" i="34"/>
  <c r="L459" i="34"/>
  <c r="J459" i="34"/>
  <c r="M458" i="34"/>
  <c r="L458" i="34"/>
  <c r="J458" i="34"/>
  <c r="M605" i="34"/>
  <c r="L605" i="34"/>
  <c r="J605" i="34"/>
  <c r="M604" i="34"/>
  <c r="L604" i="34"/>
  <c r="J604" i="34"/>
  <c r="M603" i="34"/>
  <c r="L603" i="34"/>
  <c r="J603" i="34"/>
  <c r="M602" i="34"/>
  <c r="L602" i="34"/>
  <c r="J602" i="34"/>
  <c r="M543" i="34"/>
  <c r="L543" i="34"/>
  <c r="J543" i="34"/>
  <c r="M542" i="34"/>
  <c r="L542" i="34"/>
  <c r="J542" i="34"/>
  <c r="M541" i="34"/>
  <c r="L541" i="34"/>
  <c r="J541" i="34"/>
  <c r="M540" i="34"/>
  <c r="L540" i="34"/>
  <c r="J540" i="34"/>
  <c r="M481" i="34"/>
  <c r="L481" i="34"/>
  <c r="J481" i="34"/>
  <c r="M480" i="34"/>
  <c r="L480" i="34"/>
  <c r="J480" i="34"/>
  <c r="M479" i="34"/>
  <c r="L479" i="34"/>
  <c r="J479" i="34"/>
  <c r="M478" i="34"/>
  <c r="L478" i="34"/>
  <c r="J478" i="34"/>
  <c r="M419" i="34"/>
  <c r="L419" i="34"/>
  <c r="J419" i="34"/>
  <c r="M418" i="34"/>
  <c r="L418" i="34"/>
  <c r="J418" i="34"/>
  <c r="M417" i="34"/>
  <c r="L417" i="34"/>
  <c r="J417" i="34"/>
  <c r="M416" i="34"/>
  <c r="L416" i="34"/>
  <c r="J416" i="34"/>
  <c r="M357" i="34"/>
  <c r="L357" i="34"/>
  <c r="J357" i="34"/>
  <c r="M356" i="34"/>
  <c r="L356" i="34"/>
  <c r="J356" i="34"/>
  <c r="M355" i="34"/>
  <c r="L355" i="34"/>
  <c r="J355" i="34"/>
  <c r="M354" i="34"/>
  <c r="L354" i="34"/>
  <c r="J354" i="34"/>
  <c r="M295" i="34"/>
  <c r="L295" i="34"/>
  <c r="J295" i="34"/>
  <c r="M294" i="34"/>
  <c r="L294" i="34"/>
  <c r="J294" i="34"/>
  <c r="M293" i="34"/>
  <c r="L293" i="34"/>
  <c r="J293" i="34"/>
  <c r="M292" i="34"/>
  <c r="L292" i="34"/>
  <c r="J292" i="34"/>
  <c r="M617" i="34"/>
  <c r="L617" i="34"/>
  <c r="J617" i="34"/>
  <c r="M616" i="34"/>
  <c r="L616" i="34"/>
  <c r="J616" i="34"/>
  <c r="M615" i="34"/>
  <c r="L615" i="34"/>
  <c r="J615" i="34"/>
  <c r="M614" i="34"/>
  <c r="L614" i="34"/>
  <c r="J614" i="34"/>
  <c r="M613" i="34"/>
  <c r="L613" i="34"/>
  <c r="J613" i="34"/>
  <c r="M555" i="34"/>
  <c r="L555" i="34"/>
  <c r="J555" i="34"/>
  <c r="M554" i="34"/>
  <c r="L554" i="34"/>
  <c r="J554" i="34"/>
  <c r="M553" i="34"/>
  <c r="L553" i="34"/>
  <c r="J553" i="34"/>
  <c r="M552" i="34"/>
  <c r="L552" i="34"/>
  <c r="J552" i="34"/>
  <c r="M551" i="34"/>
  <c r="L551" i="34"/>
  <c r="J551" i="34"/>
  <c r="M493" i="34"/>
  <c r="L493" i="34"/>
  <c r="J493" i="34"/>
  <c r="M492" i="34"/>
  <c r="L492" i="34"/>
  <c r="J492" i="34"/>
  <c r="M491" i="34"/>
  <c r="L491" i="34"/>
  <c r="J491" i="34"/>
  <c r="M490" i="34"/>
  <c r="L490" i="34"/>
  <c r="J490" i="34"/>
  <c r="M489" i="34"/>
  <c r="L489" i="34"/>
  <c r="J489" i="34"/>
  <c r="M431" i="34"/>
  <c r="L431" i="34"/>
  <c r="J431" i="34"/>
  <c r="M430" i="34"/>
  <c r="L430" i="34"/>
  <c r="J430" i="34"/>
  <c r="M429" i="34"/>
  <c r="L429" i="34"/>
  <c r="J429" i="34"/>
  <c r="M428" i="34"/>
  <c r="L428" i="34"/>
  <c r="J428" i="34"/>
  <c r="M427" i="34"/>
  <c r="L427" i="34"/>
  <c r="J427" i="34"/>
  <c r="M369" i="34"/>
  <c r="L369" i="34"/>
  <c r="J369" i="34"/>
  <c r="M368" i="34"/>
  <c r="L368" i="34"/>
  <c r="J368" i="34"/>
  <c r="M367" i="34"/>
  <c r="L367" i="34"/>
  <c r="J367" i="34"/>
  <c r="M366" i="34"/>
  <c r="L366" i="34"/>
  <c r="J366" i="34"/>
  <c r="M365" i="34"/>
  <c r="L365" i="34"/>
  <c r="J365" i="34"/>
  <c r="M307" i="34"/>
  <c r="L307" i="34"/>
  <c r="J307" i="34"/>
  <c r="M306" i="34"/>
  <c r="L306" i="34"/>
  <c r="J306" i="34"/>
  <c r="M305" i="34"/>
  <c r="L305" i="34"/>
  <c r="J305" i="34"/>
  <c r="M304" i="34"/>
  <c r="L304" i="34"/>
  <c r="J304" i="34"/>
  <c r="M303" i="34"/>
  <c r="L303" i="34"/>
  <c r="J303" i="34"/>
  <c r="M245" i="34"/>
  <c r="L245" i="34"/>
  <c r="J245" i="34"/>
  <c r="M244" i="34"/>
  <c r="L244" i="34"/>
  <c r="J244" i="34"/>
  <c r="J243" i="34"/>
  <c r="L243" i="34"/>
  <c r="M243" i="34"/>
  <c r="J644" i="34"/>
  <c r="L644" i="34"/>
  <c r="M644" i="34"/>
  <c r="J645" i="34"/>
  <c r="L645" i="34"/>
  <c r="M645" i="34"/>
  <c r="J646" i="34"/>
  <c r="L646" i="34"/>
  <c r="M646" i="34"/>
  <c r="J706" i="34"/>
  <c r="L706" i="34"/>
  <c r="M706" i="34"/>
  <c r="J707" i="34"/>
  <c r="L707" i="34"/>
  <c r="M707" i="34"/>
  <c r="J708" i="34"/>
  <c r="L708" i="34"/>
  <c r="M708" i="34"/>
  <c r="M585" i="34"/>
  <c r="L585" i="34"/>
  <c r="J585" i="34"/>
  <c r="M584" i="34"/>
  <c r="L584" i="34"/>
  <c r="J584" i="34"/>
  <c r="M583" i="34"/>
  <c r="L583" i="34"/>
  <c r="J583" i="34"/>
  <c r="M582" i="34"/>
  <c r="L582" i="34"/>
  <c r="J582" i="34"/>
  <c r="M339" i="34"/>
  <c r="L339" i="34"/>
  <c r="J339" i="34"/>
  <c r="M338" i="34"/>
  <c r="L338" i="34"/>
  <c r="J338" i="34"/>
  <c r="M337" i="34"/>
  <c r="L337" i="34"/>
  <c r="J337" i="34"/>
  <c r="M336" i="34"/>
  <c r="L336" i="34"/>
  <c r="J336" i="34"/>
  <c r="M335" i="34"/>
  <c r="L335" i="34"/>
  <c r="J335" i="34"/>
  <c r="M334" i="34"/>
  <c r="L334" i="34"/>
  <c r="J334" i="34"/>
  <c r="M277" i="34"/>
  <c r="L277" i="34"/>
  <c r="J277" i="34"/>
  <c r="M276" i="34"/>
  <c r="L276" i="34"/>
  <c r="J276" i="34"/>
  <c r="M275" i="34"/>
  <c r="L275" i="34"/>
  <c r="J275" i="34"/>
  <c r="M274" i="34"/>
  <c r="L274" i="34"/>
  <c r="J274" i="34"/>
  <c r="M273" i="34"/>
  <c r="L273" i="34"/>
  <c r="J273" i="34"/>
  <c r="M272" i="34"/>
  <c r="L272" i="34"/>
  <c r="J272" i="34"/>
  <c r="J215" i="34"/>
  <c r="M215" i="34"/>
  <c r="L215" i="34"/>
  <c r="M770" i="34" l="1"/>
  <c r="L770" i="34"/>
  <c r="J770" i="34"/>
  <c r="M769" i="34"/>
  <c r="L769" i="34"/>
  <c r="J769" i="34"/>
  <c r="M768" i="34"/>
  <c r="L768" i="34"/>
  <c r="J768" i="34"/>
  <c r="M754" i="34" l="1"/>
  <c r="L754" i="34"/>
  <c r="J754" i="34"/>
  <c r="M753" i="34"/>
  <c r="L753" i="34"/>
  <c r="J753" i="34"/>
  <c r="M752" i="34"/>
  <c r="L752" i="34"/>
  <c r="J752" i="34"/>
  <c r="M751" i="34"/>
  <c r="L751" i="34"/>
  <c r="J751" i="34"/>
  <c r="L750" i="34"/>
  <c r="J750" i="34"/>
  <c r="M692" i="34"/>
  <c r="L692" i="34"/>
  <c r="J692" i="34"/>
  <c r="M691" i="34"/>
  <c r="L691" i="34"/>
  <c r="J691" i="34"/>
  <c r="M690" i="34"/>
  <c r="L690" i="34"/>
  <c r="J690" i="34"/>
  <c r="M689" i="34"/>
  <c r="L689" i="34"/>
  <c r="J689" i="34"/>
  <c r="L688" i="34"/>
  <c r="J688" i="34"/>
  <c r="M629" i="34"/>
  <c r="L629" i="34"/>
  <c r="J629" i="34"/>
  <c r="M628" i="34"/>
  <c r="L628" i="34"/>
  <c r="J628" i="34"/>
  <c r="M630" i="34"/>
  <c r="L630" i="34"/>
  <c r="J630" i="34"/>
  <c r="M627" i="34"/>
  <c r="L627" i="34"/>
  <c r="J627" i="34"/>
  <c r="M134" i="34"/>
  <c r="L134" i="34"/>
  <c r="J134" i="34"/>
  <c r="M133" i="34"/>
  <c r="L133" i="34"/>
  <c r="J133" i="34"/>
  <c r="M131" i="34"/>
  <c r="L131" i="34"/>
  <c r="J131" i="34"/>
  <c r="M130" i="34"/>
  <c r="L130" i="34"/>
  <c r="J130" i="34"/>
  <c r="M72" i="34"/>
  <c r="L72" i="34"/>
  <c r="J72" i="34"/>
  <c r="M71" i="34"/>
  <c r="L71" i="34"/>
  <c r="J71" i="34"/>
  <c r="M69" i="34"/>
  <c r="L69" i="34"/>
  <c r="J69" i="34"/>
  <c r="M68" i="34"/>
  <c r="L68" i="34"/>
  <c r="J68" i="34"/>
  <c r="M9" i="34"/>
  <c r="L9" i="34"/>
  <c r="J9" i="34"/>
  <c r="M10" i="34"/>
  <c r="L10" i="34"/>
  <c r="J10" i="34"/>
  <c r="M7" i="34"/>
  <c r="L7" i="34"/>
  <c r="J7" i="34"/>
  <c r="M1030" i="34" l="1"/>
  <c r="L1030" i="34"/>
  <c r="J1030" i="34"/>
  <c r="M1016" i="34"/>
  <c r="L1016" i="34"/>
  <c r="J1016" i="34"/>
  <c r="M1006" i="34"/>
  <c r="L1006" i="34"/>
  <c r="J1006" i="34"/>
  <c r="M1004" i="34"/>
  <c r="L1004" i="34"/>
  <c r="J1004" i="34"/>
  <c r="M1003" i="34"/>
  <c r="L1003" i="34"/>
  <c r="J1003" i="34"/>
  <c r="L1001" i="34"/>
  <c r="J1001" i="34"/>
  <c r="M999" i="34"/>
  <c r="L999" i="34"/>
  <c r="J999" i="34"/>
  <c r="L998" i="34"/>
  <c r="J998" i="34"/>
  <c r="M968" i="34"/>
  <c r="L968" i="34"/>
  <c r="J968" i="34"/>
  <c r="M954" i="34"/>
  <c r="L954" i="34"/>
  <c r="J954" i="34"/>
  <c r="M943" i="34"/>
  <c r="L943" i="34"/>
  <c r="J943" i="34"/>
  <c r="M942" i="34"/>
  <c r="L942" i="34"/>
  <c r="J942" i="34"/>
  <c r="M941" i="34"/>
  <c r="L941" i="34"/>
  <c r="J941" i="34"/>
  <c r="M940" i="34"/>
  <c r="L940" i="34"/>
  <c r="J940" i="34"/>
  <c r="M939" i="34"/>
  <c r="L939" i="34"/>
  <c r="J939" i="34"/>
  <c r="L938" i="34"/>
  <c r="J938" i="34"/>
  <c r="M937" i="34"/>
  <c r="L937" i="34"/>
  <c r="J937" i="34"/>
  <c r="L936" i="34"/>
  <c r="J936" i="34"/>
  <c r="M906" i="34"/>
  <c r="L906" i="34"/>
  <c r="J906" i="34"/>
  <c r="M892" i="34"/>
  <c r="L892" i="34"/>
  <c r="J892" i="34"/>
  <c r="M882" i="34"/>
  <c r="L882" i="34"/>
  <c r="J882" i="34"/>
  <c r="M881" i="34"/>
  <c r="L881" i="34"/>
  <c r="J881" i="34"/>
  <c r="J880" i="34"/>
  <c r="M880" i="34"/>
  <c r="L880" i="34"/>
  <c r="M879" i="34" l="1"/>
  <c r="L879" i="34"/>
  <c r="J879" i="34"/>
  <c r="M878" i="34"/>
  <c r="L878" i="34"/>
  <c r="J878" i="34"/>
  <c r="L877" i="34"/>
  <c r="J877" i="34"/>
  <c r="M876" i="34"/>
  <c r="L876" i="34"/>
  <c r="J876" i="34"/>
  <c r="M875" i="34"/>
  <c r="L875" i="34"/>
  <c r="J875" i="34"/>
  <c r="L874" i="34"/>
  <c r="J874" i="34"/>
  <c r="M844" i="34"/>
  <c r="L844" i="34"/>
  <c r="J844" i="34"/>
  <c r="M830" i="34"/>
  <c r="L830" i="34"/>
  <c r="J830" i="34"/>
  <c r="M819" i="34"/>
  <c r="L819" i="34"/>
  <c r="J819" i="34"/>
  <c r="M818" i="34" l="1"/>
  <c r="L818" i="34"/>
  <c r="J818" i="34"/>
  <c r="M817" i="34"/>
  <c r="L817" i="34"/>
  <c r="J817" i="34"/>
  <c r="M816" i="34"/>
  <c r="L816" i="34"/>
  <c r="J816" i="34"/>
  <c r="M815" i="34"/>
  <c r="L815" i="34"/>
  <c r="J815" i="34"/>
  <c r="L814" i="34"/>
  <c r="J814" i="34"/>
  <c r="M813" i="34"/>
  <c r="L813" i="34"/>
  <c r="J813" i="34"/>
  <c r="L812" i="34"/>
  <c r="J812" i="34"/>
  <c r="J1370" i="34" l="1"/>
  <c r="M1372" i="34"/>
  <c r="L1372" i="34"/>
  <c r="J1372" i="34"/>
  <c r="J1344" i="34" l="1"/>
  <c r="M1340" i="34"/>
  <c r="L1340" i="34"/>
  <c r="J1340" i="34"/>
  <c r="J1338" i="34"/>
  <c r="M1326" i="34"/>
  <c r="L1326" i="34"/>
  <c r="J1326" i="34"/>
  <c r="J1282" i="34"/>
  <c r="M1278" i="34"/>
  <c r="L1278" i="34"/>
  <c r="J1278" i="34"/>
  <c r="J1276" i="34"/>
  <c r="M1264" i="34"/>
  <c r="L1264" i="34"/>
  <c r="J1264" i="34"/>
  <c r="J1220" i="34"/>
  <c r="M1216" i="34"/>
  <c r="L1216" i="34"/>
  <c r="J1216" i="34"/>
  <c r="J1214" i="34"/>
  <c r="M1202" i="34"/>
  <c r="L1202" i="34"/>
  <c r="J1202" i="34"/>
  <c r="M1154" i="34"/>
  <c r="L1154" i="34"/>
  <c r="J1154" i="34"/>
  <c r="M1140" i="34"/>
  <c r="L1140" i="34"/>
  <c r="J1140" i="34"/>
  <c r="F12" i="33"/>
  <c r="P15" i="40" l="1"/>
  <c r="A35" i="4" l="1"/>
  <c r="S14" i="40" l="1"/>
  <c r="S12" i="40"/>
  <c r="P11" i="40"/>
  <c r="V8" i="40"/>
  <c r="S6" i="40"/>
  <c r="D8" i="40"/>
  <c r="D12" i="40"/>
  <c r="G14" i="40"/>
  <c r="M2766" i="34" l="1"/>
  <c r="L2766" i="34"/>
  <c r="J2766" i="34"/>
  <c r="M2752" i="34"/>
  <c r="L2752" i="34"/>
  <c r="J2752" i="34"/>
  <c r="M2742" i="34"/>
  <c r="L2742" i="34"/>
  <c r="J2742" i="34"/>
  <c r="M2741" i="34"/>
  <c r="L2741" i="34"/>
  <c r="J2741" i="34"/>
  <c r="M2740" i="34"/>
  <c r="L2740" i="34"/>
  <c r="J2740" i="34"/>
  <c r="M2739" i="34"/>
  <c r="L2739" i="34"/>
  <c r="J2739" i="34"/>
  <c r="M2738" i="34"/>
  <c r="L2738" i="34"/>
  <c r="J2738" i="34"/>
  <c r="M2737" i="34"/>
  <c r="L2737" i="34"/>
  <c r="J2737" i="34"/>
  <c r="L2736" i="34"/>
  <c r="J2736" i="34"/>
  <c r="M2735" i="34"/>
  <c r="L2735" i="34"/>
  <c r="J2735" i="34"/>
  <c r="L2734" i="34"/>
  <c r="J2734" i="34"/>
  <c r="M2" i="40"/>
  <c r="M1001" i="34" l="1"/>
  <c r="M936" i="34"/>
  <c r="M998" i="34"/>
  <c r="M938" i="34"/>
  <c r="M874" i="34"/>
  <c r="M877" i="34"/>
  <c r="M814" i="34"/>
  <c r="M812" i="34"/>
  <c r="M2734" i="34"/>
  <c r="M2736" i="34"/>
  <c r="M750" i="34"/>
  <c r="M688" i="34"/>
  <c r="M2672" i="34"/>
  <c r="D6" i="40"/>
  <c r="M2704" i="34" l="1"/>
  <c r="L2704" i="34"/>
  <c r="J2704" i="34"/>
  <c r="L2690" i="34" l="1"/>
  <c r="M2690" i="34"/>
  <c r="J2690" i="34"/>
  <c r="M2679" i="34"/>
  <c r="P2679" i="34" s="1"/>
  <c r="L2679" i="34"/>
  <c r="J2679" i="34"/>
  <c r="M2678" i="34"/>
  <c r="P2678" i="34" s="1"/>
  <c r="L2678" i="34"/>
  <c r="J2678" i="34"/>
  <c r="M2677" i="34"/>
  <c r="P2677" i="34" s="1"/>
  <c r="L2677" i="34"/>
  <c r="J2677" i="34"/>
  <c r="M2676" i="34"/>
  <c r="P2676" i="34" s="1"/>
  <c r="L2676" i="34"/>
  <c r="J2676" i="34"/>
  <c r="M2674" i="34"/>
  <c r="P2674" i="34" s="1"/>
  <c r="L2672" i="34"/>
  <c r="J2672" i="34"/>
  <c r="M2675" i="34"/>
  <c r="P2675" i="34" s="1"/>
  <c r="M2673" i="34"/>
  <c r="P2673" i="34" s="1"/>
  <c r="L2675" i="34"/>
  <c r="L2674" i="34"/>
  <c r="L2673" i="34"/>
  <c r="J2675" i="34"/>
  <c r="J2674" i="34"/>
  <c r="J2673" i="34"/>
  <c r="J33" i="40"/>
  <c r="P2672" i="34" l="1"/>
  <c r="E3" i="42" l="1"/>
  <c r="A12" i="15" l="1"/>
  <c r="A11" i="15"/>
  <c r="I24" i="24" l="1"/>
  <c r="H26" i="24"/>
  <c r="A33" i="15" s="1"/>
  <c r="G26" i="24"/>
  <c r="F26" i="24"/>
  <c r="A32" i="15" s="1"/>
  <c r="E26" i="24"/>
  <c r="D26" i="24"/>
  <c r="A6" i="30" l="1"/>
  <c r="A6" i="35"/>
  <c r="A7" i="35"/>
  <c r="A7" i="30"/>
  <c r="A4" i="15"/>
  <c r="A5" i="15"/>
  <c r="A36" i="30"/>
  <c r="A36" i="35"/>
  <c r="A37" i="30"/>
  <c r="A37" i="35"/>
  <c r="I6" i="42"/>
  <c r="C10" i="42"/>
  <c r="C9" i="42"/>
  <c r="B10" i="42"/>
  <c r="B9" i="42"/>
  <c r="E10" i="42"/>
  <c r="E9" i="42"/>
  <c r="E13" i="4" s="1"/>
  <c r="H7" i="42" l="1"/>
  <c r="F7" i="5" l="1"/>
  <c r="F6" i="5"/>
  <c r="C12" i="30" l="1"/>
  <c r="A6" i="4" l="1"/>
  <c r="B21" i="24"/>
  <c r="A55" i="4"/>
  <c r="A54" i="19" s="1"/>
  <c r="A50" i="4"/>
  <c r="M19" i="40" l="1"/>
  <c r="O205" i="34" l="1"/>
  <c r="O267" i="34"/>
  <c r="O391" i="34"/>
  <c r="O453" i="34"/>
  <c r="P479" i="34"/>
  <c r="P480" i="34"/>
  <c r="P481" i="34"/>
  <c r="P417" i="34"/>
  <c r="P418" i="34"/>
  <c r="P419" i="34"/>
  <c r="P293" i="34"/>
  <c r="P294" i="34"/>
  <c r="P295" i="34"/>
  <c r="J231" i="34"/>
  <c r="L231" i="34"/>
  <c r="P231" i="34"/>
  <c r="J232" i="34"/>
  <c r="L232" i="34"/>
  <c r="P232" i="34"/>
  <c r="J233" i="34"/>
  <c r="L233" i="34"/>
  <c r="P233" i="34"/>
  <c r="P2341" i="34"/>
  <c r="L2341" i="34"/>
  <c r="J2341" i="34"/>
  <c r="P2340" i="34"/>
  <c r="L2340" i="34"/>
  <c r="J2340" i="34"/>
  <c r="P2339" i="34"/>
  <c r="L2339" i="34"/>
  <c r="J2339" i="34"/>
  <c r="P2338" i="34"/>
  <c r="L2338" i="34"/>
  <c r="J2338" i="34"/>
  <c r="P2313" i="34"/>
  <c r="L2313" i="34"/>
  <c r="J2313" i="34"/>
  <c r="P2312" i="34"/>
  <c r="L2312" i="34"/>
  <c r="J2312" i="34"/>
  <c r="P2311" i="34"/>
  <c r="L2311" i="34"/>
  <c r="J2311" i="34"/>
  <c r="P2310" i="34"/>
  <c r="L2310" i="34"/>
  <c r="J2310" i="34"/>
  <c r="P2309" i="34"/>
  <c r="M2309" i="34"/>
  <c r="O2309" i="34" s="1"/>
  <c r="L2309" i="34"/>
  <c r="J2309" i="34"/>
  <c r="P2308" i="34"/>
  <c r="L2308" i="34"/>
  <c r="J2308" i="34"/>
  <c r="P2307" i="34"/>
  <c r="L2307" i="34"/>
  <c r="J2307" i="34"/>
  <c r="P2306" i="34"/>
  <c r="L2306" i="34"/>
  <c r="J2306" i="34"/>
  <c r="P2305" i="34"/>
  <c r="L2305" i="34"/>
  <c r="J2305" i="34"/>
  <c r="P2304" i="34"/>
  <c r="L2304" i="34"/>
  <c r="J2304" i="34"/>
  <c r="P2303" i="34"/>
  <c r="L2303" i="34"/>
  <c r="J2303" i="34"/>
  <c r="P2302" i="34"/>
  <c r="L2302" i="34"/>
  <c r="J2302" i="34"/>
  <c r="P2301" i="34"/>
  <c r="L2301" i="34"/>
  <c r="J2301" i="34"/>
  <c r="P2300" i="34"/>
  <c r="L2300" i="34"/>
  <c r="J2300" i="34"/>
  <c r="P572" i="34" l="1"/>
  <c r="P603" i="34" l="1"/>
  <c r="P604" i="34"/>
  <c r="P605" i="34"/>
  <c r="P527" i="34" l="1"/>
  <c r="P2628" i="34" l="1"/>
  <c r="L2628" i="34"/>
  <c r="J2628" i="34"/>
  <c r="P769" i="34" l="1"/>
  <c r="P768" i="34"/>
  <c r="O768" i="34"/>
  <c r="O763" i="34"/>
  <c r="O762" i="34"/>
  <c r="O761" i="34"/>
  <c r="O760" i="34"/>
  <c r="O759" i="34"/>
  <c r="O758" i="34"/>
  <c r="O757" i="34"/>
  <c r="O756" i="34"/>
  <c r="O755" i="34"/>
  <c r="O754" i="34"/>
  <c r="P753" i="34"/>
  <c r="P707" i="34"/>
  <c r="P706" i="34"/>
  <c r="O706" i="34"/>
  <c r="O701" i="34"/>
  <c r="O700" i="34"/>
  <c r="O699" i="34"/>
  <c r="O698" i="34"/>
  <c r="O697" i="34"/>
  <c r="O696" i="34"/>
  <c r="O695" i="34"/>
  <c r="O694" i="34"/>
  <c r="O693" i="34"/>
  <c r="O692" i="34"/>
  <c r="P691" i="34"/>
  <c r="P645" i="34"/>
  <c r="I2" i="30" l="1"/>
  <c r="V34" i="40" l="1"/>
  <c r="V32" i="40"/>
  <c r="M2628" i="34"/>
  <c r="O2628" i="34" s="1"/>
  <c r="V3" i="40"/>
  <c r="S2" i="40"/>
  <c r="P7" i="40"/>
  <c r="P5" i="40"/>
  <c r="P4" i="40"/>
  <c r="G13" i="40"/>
  <c r="M2311" i="34" s="1"/>
  <c r="O2311" i="34" s="1"/>
  <c r="G11" i="40"/>
  <c r="M2306" i="34" s="1"/>
  <c r="O2306" i="34" s="1"/>
  <c r="M2313" i="34"/>
  <c r="O2313" i="34" s="1"/>
  <c r="M2312" i="34"/>
  <c r="O2312" i="34" s="1"/>
  <c r="M2305" i="34"/>
  <c r="O2305" i="34" s="1"/>
  <c r="M2304" i="34"/>
  <c r="O2304" i="34" s="1"/>
  <c r="M2303" i="34"/>
  <c r="O2303" i="34" s="1"/>
  <c r="M2301" i="34"/>
  <c r="O2301" i="34" s="1"/>
  <c r="M2308" i="34" l="1"/>
  <c r="O2308" i="34" s="1"/>
  <c r="M2307" i="34"/>
  <c r="O2307" i="34" s="1"/>
  <c r="M2310" i="34"/>
  <c r="O2310" i="34" s="1"/>
  <c r="O572" i="34"/>
  <c r="O418" i="34"/>
  <c r="M231" i="34"/>
  <c r="O231" i="34" s="1"/>
  <c r="M2341" i="34"/>
  <c r="O2341" i="34" s="1"/>
  <c r="M2338" i="34"/>
  <c r="O2338" i="34" s="1"/>
  <c r="O481" i="34"/>
  <c r="O293" i="34"/>
  <c r="O294" i="34"/>
  <c r="M232" i="34"/>
  <c r="O232" i="34" s="1"/>
  <c r="M2340" i="34"/>
  <c r="O2340" i="34" s="1"/>
  <c r="M2339" i="34"/>
  <c r="O2339" i="34" s="1"/>
  <c r="O480" i="34"/>
  <c r="O417" i="34"/>
  <c r="O479" i="34"/>
  <c r="O419" i="34"/>
  <c r="M233" i="34"/>
  <c r="O233" i="34" s="1"/>
  <c r="O295" i="34"/>
  <c r="O605" i="34"/>
  <c r="O603" i="34"/>
  <c r="O604" i="34"/>
  <c r="M2300" i="34"/>
  <c r="O2300" i="34" s="1"/>
  <c r="M2302" i="34"/>
  <c r="O2302" i="34" s="1"/>
  <c r="O645" i="34"/>
  <c r="O769" i="34"/>
  <c r="O707" i="34"/>
  <c r="O691" i="34"/>
  <c r="O753" i="34"/>
  <c r="H21" i="42"/>
  <c r="H20" i="42"/>
  <c r="H19" i="42"/>
  <c r="G6" i="42"/>
  <c r="G7" i="42" s="1"/>
  <c r="I5" i="5" l="1"/>
  <c r="J2614" i="34" l="1"/>
  <c r="J2613" i="34"/>
  <c r="J2612" i="34"/>
  <c r="J2611" i="34"/>
  <c r="J2610" i="34"/>
  <c r="J2566" i="34"/>
  <c r="J2554" i="34"/>
  <c r="J2553" i="34"/>
  <c r="J2552" i="34"/>
  <c r="J2551" i="34"/>
  <c r="J2550" i="34"/>
  <c r="J2549" i="34"/>
  <c r="J2548" i="34"/>
  <c r="J2519" i="34"/>
  <c r="J2518" i="34"/>
  <c r="J2504" i="34"/>
  <c r="J2490" i="34"/>
  <c r="J2489" i="34"/>
  <c r="J2488" i="34"/>
  <c r="J2487" i="34"/>
  <c r="J2486" i="34"/>
  <c r="J2457" i="34"/>
  <c r="J2456" i="34"/>
  <c r="J2442" i="34"/>
  <c r="J2430" i="34"/>
  <c r="J2429" i="34"/>
  <c r="J2428" i="34"/>
  <c r="J2427" i="34"/>
  <c r="J2426" i="34"/>
  <c r="J2425" i="34"/>
  <c r="J2424" i="34"/>
  <c r="J2353" i="34"/>
  <c r="J2352" i="34"/>
  <c r="J2351" i="34"/>
  <c r="J2350" i="34"/>
  <c r="J2349" i="34"/>
  <c r="J2326" i="34"/>
  <c r="J2325" i="34"/>
  <c r="J2324" i="34"/>
  <c r="J2323" i="34"/>
  <c r="J2322" i="34"/>
  <c r="J2321" i="34"/>
  <c r="J2320" i="34"/>
  <c r="J2319" i="34"/>
  <c r="J2318" i="34"/>
  <c r="J399" i="34"/>
  <c r="J398" i="34"/>
  <c r="J397" i="34"/>
  <c r="J396" i="34"/>
  <c r="J242" i="34"/>
  <c r="J241" i="34"/>
  <c r="J230" i="34"/>
  <c r="J214" i="34"/>
  <c r="J213" i="34"/>
  <c r="J212" i="34"/>
  <c r="J211" i="34"/>
  <c r="J210" i="34"/>
  <c r="J192" i="34"/>
  <c r="J1092" i="34"/>
  <c r="J1079" i="34"/>
  <c r="J1078" i="34"/>
  <c r="J1063" i="34"/>
  <c r="J1062" i="34"/>
  <c r="J1061" i="34"/>
  <c r="J1060" i="34"/>
  <c r="J626" i="34"/>
  <c r="O1921" i="34" l="1"/>
  <c r="O1920" i="34"/>
  <c r="O1919" i="34"/>
  <c r="O1918" i="34"/>
  <c r="O1917" i="34"/>
  <c r="O1916" i="34"/>
  <c r="P1915" i="34"/>
  <c r="M1915" i="34"/>
  <c r="O1915" i="34" s="1"/>
  <c r="O1922" i="34" s="1"/>
  <c r="L1915" i="34"/>
  <c r="J1915" i="34"/>
  <c r="J1913" i="34"/>
  <c r="O1910" i="34"/>
  <c r="O1909" i="34"/>
  <c r="O1908" i="34"/>
  <c r="P1907" i="34"/>
  <c r="O1907" i="34"/>
  <c r="P1906" i="34"/>
  <c r="O1906" i="34"/>
  <c r="P1905" i="34"/>
  <c r="O1905" i="34"/>
  <c r="P1904" i="34"/>
  <c r="O1904" i="34"/>
  <c r="J1902" i="34"/>
  <c r="O1899" i="34"/>
  <c r="O1898" i="34"/>
  <c r="J1896" i="34"/>
  <c r="O1893" i="34"/>
  <c r="O1892" i="34"/>
  <c r="O1891" i="34"/>
  <c r="O1890" i="34"/>
  <c r="O1889" i="34"/>
  <c r="O1888" i="34"/>
  <c r="O1887" i="34"/>
  <c r="O1886" i="34"/>
  <c r="O1885" i="34"/>
  <c r="P1884" i="34"/>
  <c r="M1884" i="34"/>
  <c r="O1884" i="34" s="1"/>
  <c r="L1884" i="34"/>
  <c r="J1884" i="34"/>
  <c r="O1879" i="34"/>
  <c r="O1878" i="34"/>
  <c r="O1877" i="34"/>
  <c r="O1876" i="34"/>
  <c r="O1875" i="34"/>
  <c r="O1874" i="34"/>
  <c r="O1873" i="34"/>
  <c r="O1872" i="34"/>
  <c r="P1871" i="34"/>
  <c r="O1871" i="34"/>
  <c r="P1870" i="34"/>
  <c r="O1870" i="34"/>
  <c r="P1869" i="34"/>
  <c r="O1869" i="34"/>
  <c r="P1868" i="34"/>
  <c r="O1868" i="34"/>
  <c r="P1867" i="34"/>
  <c r="O1867" i="34"/>
  <c r="P1866" i="34"/>
  <c r="O1866" i="34"/>
  <c r="O1859" i="34"/>
  <c r="O1858" i="34"/>
  <c r="O1857" i="34"/>
  <c r="O1856" i="34"/>
  <c r="O1855" i="34"/>
  <c r="O1854" i="34"/>
  <c r="P1853" i="34"/>
  <c r="M1853" i="34"/>
  <c r="O1853" i="34" s="1"/>
  <c r="L1853" i="34"/>
  <c r="J1853" i="34"/>
  <c r="J1851" i="34"/>
  <c r="O1848" i="34"/>
  <c r="O1847" i="34"/>
  <c r="O1846" i="34"/>
  <c r="P1845" i="34"/>
  <c r="O1845" i="34"/>
  <c r="P1844" i="34"/>
  <c r="O1844" i="34"/>
  <c r="P1843" i="34"/>
  <c r="O1843" i="34"/>
  <c r="P1842" i="34"/>
  <c r="O1842" i="34"/>
  <c r="J1840" i="34"/>
  <c r="O1837" i="34"/>
  <c r="O1836" i="34"/>
  <c r="J1834" i="34"/>
  <c r="O1831" i="34"/>
  <c r="O1830" i="34"/>
  <c r="O1829" i="34"/>
  <c r="O1828" i="34"/>
  <c r="O1827" i="34"/>
  <c r="O1826" i="34"/>
  <c r="O1825" i="34"/>
  <c r="O1824" i="34"/>
  <c r="O1823" i="34"/>
  <c r="P1822" i="34"/>
  <c r="M1822" i="34"/>
  <c r="O1822" i="34" s="1"/>
  <c r="L1822" i="34"/>
  <c r="J1822" i="34"/>
  <c r="O1817" i="34"/>
  <c r="O1816" i="34"/>
  <c r="O1815" i="34"/>
  <c r="O1814" i="34"/>
  <c r="O1813" i="34"/>
  <c r="O1812" i="34"/>
  <c r="O1811" i="34"/>
  <c r="O1810" i="34"/>
  <c r="P1809" i="34"/>
  <c r="O1809" i="34"/>
  <c r="P1808" i="34"/>
  <c r="O1808" i="34"/>
  <c r="P1807" i="34"/>
  <c r="O1807" i="34"/>
  <c r="P1806" i="34"/>
  <c r="O1806" i="34"/>
  <c r="P1805" i="34"/>
  <c r="O1805" i="34"/>
  <c r="P1804" i="34"/>
  <c r="O1804" i="34"/>
  <c r="J1791" i="34"/>
  <c r="J1712" i="34"/>
  <c r="J1760" i="34"/>
  <c r="J1932" i="34"/>
  <c r="J1931" i="34"/>
  <c r="J1930" i="34"/>
  <c r="J1929" i="34"/>
  <c r="J1928" i="34"/>
  <c r="J2056" i="34"/>
  <c r="J2055" i="34"/>
  <c r="J2054" i="34"/>
  <c r="J2053" i="34"/>
  <c r="J2052" i="34"/>
  <c r="J1994" i="34"/>
  <c r="J1993" i="34"/>
  <c r="J1992" i="34"/>
  <c r="J1991" i="34"/>
  <c r="J1990" i="34"/>
  <c r="J6" i="34"/>
  <c r="P1620" i="34"/>
  <c r="P2116" i="34"/>
  <c r="P2178" i="34"/>
  <c r="P2240" i="34"/>
  <c r="O2293" i="34"/>
  <c r="O2292" i="34"/>
  <c r="O2291" i="34"/>
  <c r="O2290" i="34"/>
  <c r="O2289" i="34"/>
  <c r="O2288" i="34"/>
  <c r="O2287" i="34"/>
  <c r="J2285" i="34"/>
  <c r="O2282" i="34"/>
  <c r="O2281" i="34"/>
  <c r="O2280" i="34"/>
  <c r="O2279" i="34"/>
  <c r="O2278" i="34"/>
  <c r="O2277" i="34"/>
  <c r="O2276" i="34"/>
  <c r="J2274" i="34"/>
  <c r="O2271" i="34"/>
  <c r="P2270" i="34"/>
  <c r="M2270" i="34"/>
  <c r="O2270" i="34" s="1"/>
  <c r="L2270" i="34"/>
  <c r="J2270" i="34"/>
  <c r="J2268" i="34"/>
  <c r="O2265" i="34"/>
  <c r="O2264" i="34"/>
  <c r="O2263" i="34"/>
  <c r="O2262" i="34"/>
  <c r="O2261" i="34"/>
  <c r="O2260" i="34"/>
  <c r="O2259" i="34"/>
  <c r="O2258" i="34"/>
  <c r="O2257" i="34"/>
  <c r="P2256" i="34"/>
  <c r="O2256" i="34"/>
  <c r="O2251" i="34"/>
  <c r="O2250" i="34"/>
  <c r="O2249" i="34"/>
  <c r="O2248" i="34"/>
  <c r="O2247" i="34"/>
  <c r="O2246" i="34"/>
  <c r="O2245" i="34"/>
  <c r="O2244" i="34"/>
  <c r="P2243" i="34"/>
  <c r="O2243" i="34"/>
  <c r="P2242" i="34"/>
  <c r="O2242" i="34"/>
  <c r="P2241" i="34"/>
  <c r="O2241" i="34"/>
  <c r="O2240" i="34"/>
  <c r="P2239" i="34"/>
  <c r="O2239" i="34"/>
  <c r="P2238" i="34"/>
  <c r="O2238" i="34"/>
  <c r="O2231" i="34"/>
  <c r="O2230" i="34"/>
  <c r="O2229" i="34"/>
  <c r="O2228" i="34"/>
  <c r="O2227" i="34"/>
  <c r="O2226" i="34"/>
  <c r="O2225" i="34"/>
  <c r="J2223" i="34"/>
  <c r="O2220" i="34"/>
  <c r="O2219" i="34"/>
  <c r="O2218" i="34"/>
  <c r="O2217" i="34"/>
  <c r="O2216" i="34"/>
  <c r="O2215" i="34"/>
  <c r="O2214" i="34"/>
  <c r="O2221" i="34" s="1"/>
  <c r="J2212" i="34"/>
  <c r="O2209" i="34"/>
  <c r="P2208" i="34"/>
  <c r="M2208" i="34"/>
  <c r="O2208" i="34" s="1"/>
  <c r="L2208" i="34"/>
  <c r="J2208" i="34"/>
  <c r="J2206" i="34"/>
  <c r="O2203" i="34"/>
  <c r="O2202" i="34"/>
  <c r="O2201" i="34"/>
  <c r="O2200" i="34"/>
  <c r="O2199" i="34"/>
  <c r="O2198" i="34"/>
  <c r="O2197" i="34"/>
  <c r="O2196" i="34"/>
  <c r="O2195" i="34"/>
  <c r="P2194" i="34"/>
  <c r="O2194" i="34"/>
  <c r="O2189" i="34"/>
  <c r="O2188" i="34"/>
  <c r="O2187" i="34"/>
  <c r="O2186" i="34"/>
  <c r="O2185" i="34"/>
  <c r="O2184" i="34"/>
  <c r="O2183" i="34"/>
  <c r="O2182" i="34"/>
  <c r="P2181" i="34"/>
  <c r="O2181" i="34"/>
  <c r="P2180" i="34"/>
  <c r="O2180" i="34"/>
  <c r="P2179" i="34"/>
  <c r="O2179" i="34"/>
  <c r="O2178" i="34"/>
  <c r="P2177" i="34"/>
  <c r="O2177" i="34"/>
  <c r="P2176" i="34"/>
  <c r="O2176" i="34"/>
  <c r="O2169" i="34"/>
  <c r="O2168" i="34"/>
  <c r="O2167" i="34"/>
  <c r="O2166" i="34"/>
  <c r="O2165" i="34"/>
  <c r="O2164" i="34"/>
  <c r="O2163" i="34"/>
  <c r="J2161" i="34"/>
  <c r="O2158" i="34"/>
  <c r="O2157" i="34"/>
  <c r="O2156" i="34"/>
  <c r="O2155" i="34"/>
  <c r="O2154" i="34"/>
  <c r="O2153" i="34"/>
  <c r="O2152" i="34"/>
  <c r="J2150" i="34"/>
  <c r="O2147" i="34"/>
  <c r="P2146" i="34"/>
  <c r="M2146" i="34"/>
  <c r="O2146" i="34" s="1"/>
  <c r="O2148" i="34" s="1"/>
  <c r="L2146" i="34"/>
  <c r="J2146" i="34"/>
  <c r="J2144" i="34"/>
  <c r="O2141" i="34"/>
  <c r="O2140" i="34"/>
  <c r="O2139" i="34"/>
  <c r="O2138" i="34"/>
  <c r="O2137" i="34"/>
  <c r="O2136" i="34"/>
  <c r="O2135" i="34"/>
  <c r="O2134" i="34"/>
  <c r="O2133" i="34"/>
  <c r="P2132" i="34"/>
  <c r="O2132" i="34"/>
  <c r="O2127" i="34"/>
  <c r="O2126" i="34"/>
  <c r="O2125" i="34"/>
  <c r="O2124" i="34"/>
  <c r="O2123" i="34"/>
  <c r="O2122" i="34"/>
  <c r="O2121" i="34"/>
  <c r="O2120" i="34"/>
  <c r="P2119" i="34"/>
  <c r="O2119" i="34"/>
  <c r="P2118" i="34"/>
  <c r="O2118" i="34"/>
  <c r="P2117" i="34"/>
  <c r="M2117" i="34"/>
  <c r="O2117" i="34" s="1"/>
  <c r="J2117" i="34"/>
  <c r="O2116" i="34"/>
  <c r="P2115" i="34"/>
  <c r="O2115" i="34"/>
  <c r="L2115" i="34"/>
  <c r="J2115" i="34"/>
  <c r="P2114" i="34"/>
  <c r="M2114" i="34"/>
  <c r="O2114" i="34" s="1"/>
  <c r="L2114" i="34"/>
  <c r="J2114" i="34"/>
  <c r="J1650" i="34"/>
  <c r="P1622" i="34"/>
  <c r="P1621" i="34"/>
  <c r="O1611" i="34"/>
  <c r="O1610" i="34"/>
  <c r="O1609" i="34"/>
  <c r="O1608" i="34"/>
  <c r="O1607" i="34"/>
  <c r="O1606" i="34"/>
  <c r="O1605" i="34"/>
  <c r="J1603" i="34"/>
  <c r="O1600" i="34"/>
  <c r="O1599" i="34"/>
  <c r="O1598" i="34"/>
  <c r="O1597" i="34"/>
  <c r="O1596" i="34"/>
  <c r="O1595" i="34"/>
  <c r="O1594" i="34"/>
  <c r="J1592" i="34"/>
  <c r="O1589" i="34"/>
  <c r="P1588" i="34"/>
  <c r="M1588" i="34"/>
  <c r="O1588" i="34" s="1"/>
  <c r="L1588" i="34"/>
  <c r="J1588" i="34"/>
  <c r="J1586" i="34"/>
  <c r="O1583" i="34"/>
  <c r="O1582" i="34"/>
  <c r="O1581" i="34"/>
  <c r="O1580" i="34"/>
  <c r="O1579" i="34"/>
  <c r="O1578" i="34"/>
  <c r="O1577" i="34"/>
  <c r="O1576" i="34"/>
  <c r="O1575" i="34"/>
  <c r="P1574" i="34"/>
  <c r="O1574" i="34"/>
  <c r="O1569" i="34"/>
  <c r="O1568" i="34"/>
  <c r="O1567" i="34"/>
  <c r="O1566" i="34"/>
  <c r="O1565" i="34"/>
  <c r="O1564" i="34"/>
  <c r="O1563" i="34"/>
  <c r="O1562" i="34"/>
  <c r="P1561" i="34"/>
  <c r="O1561" i="34"/>
  <c r="P1560" i="34"/>
  <c r="O1560" i="34"/>
  <c r="P1559" i="34"/>
  <c r="O1559" i="34"/>
  <c r="P1558" i="34"/>
  <c r="O1558" i="34"/>
  <c r="P1557" i="34"/>
  <c r="O1557" i="34"/>
  <c r="P1556" i="34"/>
  <c r="O1556" i="34"/>
  <c r="O1549" i="34"/>
  <c r="O1548" i="34"/>
  <c r="O1547" i="34"/>
  <c r="O1546" i="34"/>
  <c r="O1545" i="34"/>
  <c r="O1544" i="34"/>
  <c r="O1543" i="34"/>
  <c r="J1541" i="34"/>
  <c r="O1538" i="34"/>
  <c r="O1537" i="34"/>
  <c r="O1536" i="34"/>
  <c r="O1535" i="34"/>
  <c r="O1534" i="34"/>
  <c r="O1533" i="34"/>
  <c r="O1532" i="34"/>
  <c r="J1530" i="34"/>
  <c r="O1527" i="34"/>
  <c r="P1526" i="34"/>
  <c r="M1526" i="34"/>
  <c r="O1526" i="34" s="1"/>
  <c r="L1526" i="34"/>
  <c r="J1526" i="34"/>
  <c r="J1524" i="34"/>
  <c r="O1521" i="34"/>
  <c r="O1520" i="34"/>
  <c r="O1519" i="34"/>
  <c r="O1518" i="34"/>
  <c r="O1517" i="34"/>
  <c r="O1516" i="34"/>
  <c r="O1515" i="34"/>
  <c r="O1514" i="34"/>
  <c r="O1513" i="34"/>
  <c r="P1512" i="34"/>
  <c r="O1512" i="34"/>
  <c r="O1507" i="34"/>
  <c r="O1506" i="34"/>
  <c r="O1505" i="34"/>
  <c r="O1504" i="34"/>
  <c r="O1503" i="34"/>
  <c r="O1502" i="34"/>
  <c r="O1501" i="34"/>
  <c r="O1500" i="34"/>
  <c r="P1499" i="34"/>
  <c r="O1499" i="34"/>
  <c r="P1498" i="34"/>
  <c r="O1498" i="34"/>
  <c r="P1497" i="34"/>
  <c r="O1497" i="34"/>
  <c r="P1496" i="34"/>
  <c r="O1496" i="34"/>
  <c r="P1495" i="34"/>
  <c r="O1495" i="34"/>
  <c r="P1494" i="34"/>
  <c r="O1494" i="34"/>
  <c r="O1487" i="34"/>
  <c r="O1486" i="34"/>
  <c r="O1485" i="34"/>
  <c r="O1484" i="34"/>
  <c r="O1483" i="34"/>
  <c r="O1482" i="34"/>
  <c r="O1481" i="34"/>
  <c r="J1479" i="34"/>
  <c r="O1476" i="34"/>
  <c r="O1475" i="34"/>
  <c r="O1474" i="34"/>
  <c r="O1473" i="34"/>
  <c r="O1472" i="34"/>
  <c r="O1471" i="34"/>
  <c r="O1470" i="34"/>
  <c r="J1468" i="34"/>
  <c r="O1465" i="34"/>
  <c r="P1464" i="34"/>
  <c r="M1464" i="34"/>
  <c r="O1464" i="34" s="1"/>
  <c r="O1466" i="34" s="1"/>
  <c r="L1464" i="34"/>
  <c r="J1464" i="34"/>
  <c r="J1462" i="34"/>
  <c r="O1459" i="34"/>
  <c r="O1458" i="34"/>
  <c r="O1457" i="34"/>
  <c r="O1456" i="34"/>
  <c r="O1455" i="34"/>
  <c r="O1454" i="34"/>
  <c r="O1453" i="34"/>
  <c r="O1452" i="34"/>
  <c r="O1451" i="34"/>
  <c r="P1450" i="34"/>
  <c r="O1450" i="34"/>
  <c r="O1445" i="34"/>
  <c r="O1444" i="34"/>
  <c r="O1443" i="34"/>
  <c r="O1442" i="34"/>
  <c r="O1441" i="34"/>
  <c r="O1440" i="34"/>
  <c r="O1439" i="34"/>
  <c r="O1438" i="34"/>
  <c r="P1437" i="34"/>
  <c r="O1437" i="34"/>
  <c r="P1436" i="34"/>
  <c r="O1436" i="34"/>
  <c r="P1435" i="34"/>
  <c r="O1435" i="34"/>
  <c r="P1434" i="34"/>
  <c r="O1434" i="34"/>
  <c r="P1433" i="34"/>
  <c r="O1433" i="34"/>
  <c r="P1432" i="34"/>
  <c r="O1432" i="34"/>
  <c r="J1402" i="34"/>
  <c r="O1373" i="34"/>
  <c r="P1373" i="34"/>
  <c r="O1374" i="34"/>
  <c r="P1374" i="34"/>
  <c r="O1375" i="34"/>
  <c r="P1375" i="34"/>
  <c r="J1371" i="34"/>
  <c r="O1363" i="34"/>
  <c r="O1362" i="34"/>
  <c r="O1361" i="34"/>
  <c r="O1360" i="34"/>
  <c r="O1359" i="34"/>
  <c r="O1358" i="34"/>
  <c r="O1357" i="34"/>
  <c r="J1355" i="34"/>
  <c r="O1352" i="34"/>
  <c r="O1351" i="34"/>
  <c r="O1350" i="34"/>
  <c r="O1349" i="34"/>
  <c r="O1348" i="34"/>
  <c r="O1347" i="34"/>
  <c r="O1346" i="34"/>
  <c r="O1341" i="34"/>
  <c r="P1340" i="34"/>
  <c r="O1340" i="34"/>
  <c r="O1335" i="34"/>
  <c r="O1334" i="34"/>
  <c r="O1333" i="34"/>
  <c r="O1332" i="34"/>
  <c r="O1331" i="34"/>
  <c r="O1330" i="34"/>
  <c r="O1329" i="34"/>
  <c r="O1328" i="34"/>
  <c r="O1327" i="34"/>
  <c r="P1326" i="34"/>
  <c r="O1326" i="34"/>
  <c r="O1321" i="34"/>
  <c r="O1320" i="34"/>
  <c r="O1319" i="34"/>
  <c r="O1318" i="34"/>
  <c r="O1317" i="34"/>
  <c r="O1316" i="34"/>
  <c r="O1315" i="34"/>
  <c r="O1314" i="34"/>
  <c r="P1313" i="34"/>
  <c r="O1313" i="34"/>
  <c r="O1312" i="34"/>
  <c r="P1311" i="34"/>
  <c r="O1311" i="34"/>
  <c r="P1310" i="34"/>
  <c r="O1310" i="34"/>
  <c r="P1309" i="34"/>
  <c r="O1309" i="34"/>
  <c r="P1308" i="34"/>
  <c r="O1308" i="34"/>
  <c r="O1301" i="34"/>
  <c r="O1300" i="34"/>
  <c r="O1299" i="34"/>
  <c r="O1298" i="34"/>
  <c r="O1297" i="34"/>
  <c r="O1296" i="34"/>
  <c r="O1295" i="34"/>
  <c r="J1293" i="34"/>
  <c r="O1290" i="34"/>
  <c r="O1289" i="34"/>
  <c r="O1288" i="34"/>
  <c r="O1287" i="34"/>
  <c r="O1286" i="34"/>
  <c r="O1285" i="34"/>
  <c r="O1284" i="34"/>
  <c r="O1279" i="34"/>
  <c r="P1278" i="34"/>
  <c r="O1278" i="34"/>
  <c r="O1280" i="34" s="1"/>
  <c r="O1273" i="34"/>
  <c r="O1272" i="34"/>
  <c r="O1271" i="34"/>
  <c r="O1270" i="34"/>
  <c r="O1269" i="34"/>
  <c r="O1268" i="34"/>
  <c r="O1267" i="34"/>
  <c r="O1266" i="34"/>
  <c r="O1265" i="34"/>
  <c r="P1264" i="34"/>
  <c r="O1264" i="34"/>
  <c r="O1259" i="34"/>
  <c r="O1258" i="34"/>
  <c r="O1257" i="34"/>
  <c r="O1256" i="34"/>
  <c r="O1255" i="34"/>
  <c r="O1254" i="34"/>
  <c r="O1253" i="34"/>
  <c r="P1252" i="34"/>
  <c r="O1252" i="34"/>
  <c r="P1251" i="34"/>
  <c r="O1251" i="34"/>
  <c r="P1250" i="34"/>
  <c r="O1250" i="34"/>
  <c r="P1249" i="34"/>
  <c r="O1249" i="34"/>
  <c r="P1248" i="34"/>
  <c r="O1248" i="34"/>
  <c r="P1247" i="34"/>
  <c r="O1247" i="34"/>
  <c r="P1246" i="34"/>
  <c r="O1246" i="34"/>
  <c r="O1239" i="34"/>
  <c r="O1238" i="34"/>
  <c r="O1237" i="34"/>
  <c r="O1236" i="34"/>
  <c r="O1235" i="34"/>
  <c r="O1234" i="34"/>
  <c r="O1233" i="34"/>
  <c r="J1231" i="34"/>
  <c r="O1228" i="34"/>
  <c r="O1227" i="34"/>
  <c r="O1226" i="34"/>
  <c r="O1225" i="34"/>
  <c r="O1224" i="34"/>
  <c r="O1223" i="34"/>
  <c r="O1222" i="34"/>
  <c r="O1217" i="34"/>
  <c r="P1216" i="34"/>
  <c r="O1216" i="34"/>
  <c r="O1211" i="34"/>
  <c r="O1210" i="34"/>
  <c r="O1209" i="34"/>
  <c r="O1208" i="34"/>
  <c r="O1207" i="34"/>
  <c r="O1206" i="34"/>
  <c r="O1205" i="34"/>
  <c r="O1204" i="34"/>
  <c r="O1203" i="34"/>
  <c r="P1202" i="34"/>
  <c r="O1202" i="34"/>
  <c r="O1197" i="34"/>
  <c r="O1196" i="34"/>
  <c r="O1195" i="34"/>
  <c r="O1194" i="34"/>
  <c r="O1193" i="34"/>
  <c r="O1192" i="34"/>
  <c r="O1191" i="34"/>
  <c r="P1190" i="34"/>
  <c r="O1190" i="34"/>
  <c r="P1189" i="34"/>
  <c r="O1189" i="34"/>
  <c r="P1188" i="34"/>
  <c r="O1188" i="34"/>
  <c r="P1187" i="34"/>
  <c r="O1187" i="34"/>
  <c r="P1186" i="34"/>
  <c r="O1186" i="34"/>
  <c r="P1185" i="34"/>
  <c r="O1185" i="34"/>
  <c r="P1184" i="34"/>
  <c r="O1184" i="34"/>
  <c r="P1128" i="34"/>
  <c r="P1125" i="34"/>
  <c r="P1126" i="34"/>
  <c r="P1127" i="34"/>
  <c r="O1838" i="34" l="1"/>
  <c r="O2266" i="34"/>
  <c r="O1900" i="34"/>
  <c r="O1590" i="34"/>
  <c r="O1860" i="34"/>
  <c r="O1342" i="34"/>
  <c r="O2210" i="34"/>
  <c r="O1477" i="34"/>
  <c r="O2159" i="34"/>
  <c r="O2283" i="34"/>
  <c r="O1894" i="34"/>
  <c r="O1218" i="34"/>
  <c r="O1274" i="34"/>
  <c r="O1539" i="34"/>
  <c r="O1832" i="34"/>
  <c r="O1336" i="34"/>
  <c r="O1522" i="34"/>
  <c r="O1212" i="34"/>
  <c r="O1291" i="34"/>
  <c r="O1353" i="34"/>
  <c r="O1460" i="34"/>
  <c r="O1601" i="34"/>
  <c r="O2142" i="34"/>
  <c r="O2272" i="34"/>
  <c r="O1584" i="34"/>
  <c r="O1229" i="34"/>
  <c r="O1528" i="34"/>
  <c r="O2204" i="34"/>
  <c r="O1911" i="34"/>
  <c r="O2190" i="34"/>
  <c r="O2128" i="34"/>
  <c r="O1818" i="34"/>
  <c r="O1880" i="34"/>
  <c r="O1849" i="34"/>
  <c r="O2252" i="34"/>
  <c r="O1570" i="34"/>
  <c r="O1508" i="34"/>
  <c r="O1446" i="34"/>
  <c r="O1322" i="34"/>
  <c r="O1260" i="34"/>
  <c r="O1198" i="34"/>
  <c r="C43" i="4" l="1"/>
  <c r="A43" i="4"/>
  <c r="M1760" i="34" l="1"/>
  <c r="L1760" i="34"/>
  <c r="M1791" i="34"/>
  <c r="L1791" i="34"/>
  <c r="P1791" i="34"/>
  <c r="P1780" i="34"/>
  <c r="P1760" i="34"/>
  <c r="R81" i="36" l="1"/>
  <c r="Q81" i="36"/>
  <c r="R80" i="36"/>
  <c r="Q80" i="36"/>
  <c r="R68" i="36"/>
  <c r="R66" i="36"/>
  <c r="Q66" i="36"/>
  <c r="R65" i="36"/>
  <c r="Q65" i="36"/>
  <c r="BD1" i="32" l="1"/>
  <c r="BE1" i="32" s="1"/>
  <c r="BF1" i="32" s="1"/>
  <c r="BG1" i="32" s="1"/>
  <c r="BH1" i="32" s="1"/>
  <c r="BI1" i="32" s="1"/>
  <c r="BJ1" i="32" s="1"/>
  <c r="BK1" i="32" s="1"/>
  <c r="BL1" i="32" s="1"/>
  <c r="BM1" i="32" s="1"/>
  <c r="BN1" i="32" s="1"/>
  <c r="BO1" i="32" s="1"/>
  <c r="BP1" i="32" s="1"/>
  <c r="BQ1" i="32" s="1"/>
  <c r="BR1" i="32" s="1"/>
  <c r="BS1" i="32" s="1"/>
  <c r="BT1" i="32" s="1"/>
  <c r="BU1" i="32" s="1"/>
  <c r="BV1" i="32" s="1"/>
  <c r="BW1" i="32" s="1"/>
  <c r="BX1" i="32" s="1"/>
  <c r="BY1" i="32" s="1"/>
  <c r="BZ1" i="32" s="1"/>
  <c r="CA1" i="32" s="1"/>
  <c r="CB1" i="32" s="1"/>
  <c r="CC1" i="32" s="1"/>
  <c r="CD1" i="32" s="1"/>
  <c r="CE1" i="32" s="1"/>
  <c r="CF1" i="32" s="1"/>
  <c r="CG1" i="32" s="1"/>
  <c r="CH1" i="32" s="1"/>
  <c r="CI1" i="32" s="1"/>
  <c r="CJ1" i="32" s="1"/>
  <c r="CK1" i="32" s="1"/>
  <c r="CL1" i="32" s="1"/>
  <c r="CM1" i="32" s="1"/>
  <c r="CN1" i="32" s="1"/>
  <c r="CO1" i="32" s="1"/>
  <c r="CP1" i="32" s="1"/>
  <c r="CQ1" i="32" s="1"/>
  <c r="CR1" i="32" s="1"/>
  <c r="CS1" i="32" s="1"/>
  <c r="CT1" i="32" s="1"/>
  <c r="CU1" i="32" s="1"/>
  <c r="CV1" i="32" s="1"/>
  <c r="CW1" i="32" s="1"/>
  <c r="CX1" i="32" s="1"/>
  <c r="CY1" i="32" s="1"/>
  <c r="CZ1" i="32" s="1"/>
  <c r="E1" i="32"/>
  <c r="F1" i="32" s="1"/>
  <c r="G1" i="32" s="1"/>
  <c r="H1" i="32" s="1"/>
  <c r="I1" i="32" s="1"/>
  <c r="J1" i="32" s="1"/>
  <c r="K1" i="32" s="1"/>
  <c r="L1" i="32" s="1"/>
  <c r="M1" i="32" s="1"/>
  <c r="N1" i="32" s="1"/>
  <c r="O1" i="32" s="1"/>
  <c r="P1" i="32" s="1"/>
  <c r="Q1" i="32" s="1"/>
  <c r="R1" i="32" s="1"/>
  <c r="S1" i="32" s="1"/>
  <c r="T1" i="32" s="1"/>
  <c r="U1" i="32" s="1"/>
  <c r="V1" i="32" s="1"/>
  <c r="W1" i="32" s="1"/>
  <c r="X1" i="32" s="1"/>
  <c r="Y1" i="32" s="1"/>
  <c r="Z1" i="32" s="1"/>
  <c r="AA1" i="32" s="1"/>
  <c r="AB1" i="32" s="1"/>
  <c r="AC1" i="32" s="1"/>
  <c r="AD1" i="32" s="1"/>
  <c r="AE1" i="32" l="1"/>
  <c r="AF1" i="32" s="1"/>
  <c r="AG1" i="32" s="1"/>
  <c r="AH1" i="32" s="1"/>
  <c r="AI1" i="32" s="1"/>
  <c r="AJ1" i="32" s="1"/>
  <c r="AK1" i="32" s="1"/>
  <c r="AL1" i="32" s="1"/>
  <c r="AM1" i="32" s="1"/>
  <c r="AN1" i="32" s="1"/>
  <c r="AO1" i="32" s="1"/>
  <c r="AP1" i="32" s="1"/>
  <c r="AQ1" i="32" s="1"/>
  <c r="AR1" i="32" s="1"/>
  <c r="AS1" i="32" s="1"/>
  <c r="AT1" i="32" s="1"/>
  <c r="AU1" i="32" s="1"/>
  <c r="AV1" i="32" s="1"/>
  <c r="AW1" i="32" s="1"/>
  <c r="AX1" i="32" s="1"/>
  <c r="AY1" i="32" s="1"/>
  <c r="AZ1" i="32" s="1"/>
  <c r="BA1" i="32" s="1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0" i="20"/>
  <c r="N59" i="20"/>
  <c r="N58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O2355" i="34" l="1"/>
  <c r="O2354" i="34"/>
  <c r="P2353" i="34"/>
  <c r="M2353" i="34"/>
  <c r="O2353" i="34" s="1"/>
  <c r="L2353" i="34"/>
  <c r="P2352" i="34"/>
  <c r="M2352" i="34"/>
  <c r="O2352" i="34" s="1"/>
  <c r="L2352" i="34"/>
  <c r="P2351" i="34"/>
  <c r="M2351" i="34"/>
  <c r="O2351" i="34" s="1"/>
  <c r="L2351" i="34"/>
  <c r="P2350" i="34"/>
  <c r="M2350" i="34"/>
  <c r="O2350" i="34" s="1"/>
  <c r="L2350" i="34"/>
  <c r="P2349" i="34"/>
  <c r="M2349" i="34"/>
  <c r="O2349" i="34" s="1"/>
  <c r="L2349" i="34"/>
  <c r="O2344" i="34"/>
  <c r="O2343" i="34"/>
  <c r="O2342" i="34"/>
  <c r="O2327" i="34"/>
  <c r="P2326" i="34"/>
  <c r="M2326" i="34"/>
  <c r="O2326" i="34" s="1"/>
  <c r="L2326" i="34"/>
  <c r="P2325" i="34"/>
  <c r="M2325" i="34"/>
  <c r="O2325" i="34" s="1"/>
  <c r="L2325" i="34"/>
  <c r="P2324" i="34"/>
  <c r="M2324" i="34"/>
  <c r="O2324" i="34" s="1"/>
  <c r="L2324" i="34"/>
  <c r="P2323" i="34"/>
  <c r="M2323" i="34"/>
  <c r="O2323" i="34" s="1"/>
  <c r="L2323" i="34"/>
  <c r="P2322" i="34"/>
  <c r="M2322" i="34"/>
  <c r="O2322" i="34" s="1"/>
  <c r="L2322" i="34"/>
  <c r="P2321" i="34"/>
  <c r="M2321" i="34"/>
  <c r="O2321" i="34" s="1"/>
  <c r="L2321" i="34"/>
  <c r="P2320" i="34"/>
  <c r="M2320" i="34"/>
  <c r="O2320" i="34" s="1"/>
  <c r="L2320" i="34"/>
  <c r="P2319" i="34"/>
  <c r="M2319" i="34"/>
  <c r="O2319" i="34" s="1"/>
  <c r="L2319" i="34"/>
  <c r="P2318" i="34"/>
  <c r="M2318" i="34"/>
  <c r="O2318" i="34" s="1"/>
  <c r="L2318" i="34"/>
  <c r="P577" i="34"/>
  <c r="O515" i="34"/>
  <c r="P514" i="34"/>
  <c r="O514" i="34"/>
  <c r="P513" i="34"/>
  <c r="O513" i="34"/>
  <c r="P512" i="34"/>
  <c r="O512" i="34"/>
  <c r="P511" i="34"/>
  <c r="O511" i="34"/>
  <c r="P510" i="34"/>
  <c r="O510" i="34"/>
  <c r="P509" i="34"/>
  <c r="O509" i="34"/>
  <c r="P508" i="34"/>
  <c r="O508" i="34"/>
  <c r="P507" i="34"/>
  <c r="O507" i="34"/>
  <c r="P506" i="34"/>
  <c r="O506" i="34"/>
  <c r="P505" i="34"/>
  <c r="O505" i="34"/>
  <c r="P504" i="34"/>
  <c r="O504" i="34"/>
  <c r="P503" i="34"/>
  <c r="O503" i="34"/>
  <c r="P502" i="34"/>
  <c r="O502" i="34"/>
  <c r="P452" i="34"/>
  <c r="O452" i="34"/>
  <c r="P451" i="34"/>
  <c r="O451" i="34"/>
  <c r="P450" i="34"/>
  <c r="O450" i="34"/>
  <c r="P449" i="34"/>
  <c r="O449" i="34"/>
  <c r="P448" i="34"/>
  <c r="O448" i="34"/>
  <c r="P447" i="34"/>
  <c r="O447" i="34"/>
  <c r="P446" i="34"/>
  <c r="O446" i="34"/>
  <c r="P445" i="34"/>
  <c r="O445" i="34"/>
  <c r="P444" i="34"/>
  <c r="O444" i="34"/>
  <c r="P443" i="34"/>
  <c r="O443" i="34"/>
  <c r="P442" i="34"/>
  <c r="O442" i="34"/>
  <c r="P441" i="34"/>
  <c r="O441" i="34"/>
  <c r="P440" i="34"/>
  <c r="O440" i="34"/>
  <c r="P390" i="34"/>
  <c r="O390" i="34"/>
  <c r="P389" i="34"/>
  <c r="O389" i="34"/>
  <c r="P388" i="34"/>
  <c r="O388" i="34"/>
  <c r="P387" i="34"/>
  <c r="O387" i="34"/>
  <c r="P386" i="34"/>
  <c r="O386" i="34"/>
  <c r="P385" i="34"/>
  <c r="O385" i="34"/>
  <c r="P384" i="34"/>
  <c r="O384" i="34"/>
  <c r="P383" i="34"/>
  <c r="O383" i="34"/>
  <c r="P382" i="34"/>
  <c r="O382" i="34"/>
  <c r="P381" i="34"/>
  <c r="O381" i="34"/>
  <c r="P380" i="34"/>
  <c r="O380" i="34"/>
  <c r="P379" i="34"/>
  <c r="O379" i="34"/>
  <c r="P378" i="34"/>
  <c r="O378" i="34"/>
  <c r="P266" i="34"/>
  <c r="O266" i="34"/>
  <c r="P265" i="34"/>
  <c r="O265" i="34"/>
  <c r="P264" i="34"/>
  <c r="O264" i="34"/>
  <c r="P263" i="34"/>
  <c r="O263" i="34"/>
  <c r="P262" i="34"/>
  <c r="O262" i="34"/>
  <c r="P261" i="34"/>
  <c r="O261" i="34"/>
  <c r="P260" i="34"/>
  <c r="O260" i="34"/>
  <c r="P259" i="34"/>
  <c r="O259" i="34"/>
  <c r="P258" i="34"/>
  <c r="O258" i="34"/>
  <c r="P257" i="34"/>
  <c r="O257" i="34"/>
  <c r="P256" i="34"/>
  <c r="O256" i="34"/>
  <c r="P255" i="34"/>
  <c r="O255" i="34"/>
  <c r="P254" i="34"/>
  <c r="O254" i="34"/>
  <c r="P752" i="34" l="1"/>
  <c r="O752" i="34"/>
  <c r="P751" i="34"/>
  <c r="O751" i="34"/>
  <c r="P690" i="34"/>
  <c r="O690" i="34"/>
  <c r="P689" i="34"/>
  <c r="O689" i="34"/>
  <c r="P628" i="34"/>
  <c r="P629" i="34"/>
  <c r="O629" i="34"/>
  <c r="B24" i="9" l="1"/>
  <c r="P2611" i="34" l="1"/>
  <c r="P2487" i="34"/>
  <c r="P341" i="34"/>
  <c r="B35" i="43" l="1"/>
  <c r="B12" i="43"/>
  <c r="D18" i="43" s="1"/>
  <c r="F18" i="43" s="1"/>
  <c r="P2549" i="34" l="1"/>
  <c r="P2550" i="34"/>
  <c r="P2425" i="34"/>
  <c r="P2426" i="34"/>
  <c r="P1061" i="34"/>
  <c r="P813" i="34"/>
  <c r="P814" i="34"/>
  <c r="P2614" i="34"/>
  <c r="P2613" i="34"/>
  <c r="P2612" i="34"/>
  <c r="P2610" i="34"/>
  <c r="P2566" i="34"/>
  <c r="P2554" i="34"/>
  <c r="P2553" i="34"/>
  <c r="P2551" i="34"/>
  <c r="P2548" i="34"/>
  <c r="P2519" i="34"/>
  <c r="P2518" i="34"/>
  <c r="P2504" i="34"/>
  <c r="P2490" i="34"/>
  <c r="P2489" i="34"/>
  <c r="P2488" i="34"/>
  <c r="P2486" i="34"/>
  <c r="P2457" i="34"/>
  <c r="P2456" i="34"/>
  <c r="P2442" i="34"/>
  <c r="P2430" i="34"/>
  <c r="P2429" i="34"/>
  <c r="P2427" i="34"/>
  <c r="P2424" i="34"/>
  <c r="P2070" i="34"/>
  <c r="P2056" i="34"/>
  <c r="P2008" i="34"/>
  <c r="P1994" i="34"/>
  <c r="P1946" i="34"/>
  <c r="P1932" i="34"/>
  <c r="P1744" i="34"/>
  <c r="P1743" i="34"/>
  <c r="P1712" i="34"/>
  <c r="P1682" i="34"/>
  <c r="P1681" i="34"/>
  <c r="P1680" i="34"/>
  <c r="P1650" i="34"/>
  <c r="P1636" i="34"/>
  <c r="P1623" i="34"/>
  <c r="P1619" i="34"/>
  <c r="P1618" i="34"/>
  <c r="P1402" i="34"/>
  <c r="P1388" i="34"/>
  <c r="P1372" i="34"/>
  <c r="P1371" i="34"/>
  <c r="P1370" i="34"/>
  <c r="P1154" i="34"/>
  <c r="P1140" i="34"/>
  <c r="P1124" i="34"/>
  <c r="P1123" i="34"/>
  <c r="P1122" i="34"/>
  <c r="P1092" i="34"/>
  <c r="P1079" i="34"/>
  <c r="P1078" i="34"/>
  <c r="P1062" i="34"/>
  <c r="P1002" i="34"/>
  <c r="P1001" i="34"/>
  <c r="P1000" i="34"/>
  <c r="P999" i="34"/>
  <c r="P998" i="34"/>
  <c r="P954" i="34"/>
  <c r="P906" i="34"/>
  <c r="P892" i="34"/>
  <c r="P878" i="34"/>
  <c r="P877" i="34"/>
  <c r="P876" i="34"/>
  <c r="P875" i="34"/>
  <c r="P874" i="34"/>
  <c r="P844" i="34"/>
  <c r="P830" i="34"/>
  <c r="P815" i="34"/>
  <c r="P812" i="34"/>
  <c r="P644" i="34"/>
  <c r="P617" i="34"/>
  <c r="P616" i="34"/>
  <c r="P615" i="34"/>
  <c r="P614" i="34"/>
  <c r="P613" i="34"/>
  <c r="P602" i="34"/>
  <c r="P590" i="34"/>
  <c r="P589" i="34"/>
  <c r="P588" i="34"/>
  <c r="P587" i="34"/>
  <c r="P586" i="34"/>
  <c r="P585" i="34"/>
  <c r="P584" i="34"/>
  <c r="P583" i="34"/>
  <c r="P582" i="34"/>
  <c r="P576" i="34"/>
  <c r="P573" i="34"/>
  <c r="P570" i="34"/>
  <c r="P569" i="34"/>
  <c r="P565" i="34"/>
  <c r="P555" i="34"/>
  <c r="P554" i="34"/>
  <c r="P553" i="34"/>
  <c r="P552" i="34"/>
  <c r="P551" i="34"/>
  <c r="P542" i="34"/>
  <c r="P541" i="34"/>
  <c r="P540" i="34"/>
  <c r="P526" i="34"/>
  <c r="P525" i="34"/>
  <c r="P524" i="34"/>
  <c r="P523" i="34"/>
  <c r="P522" i="34"/>
  <c r="P521" i="34"/>
  <c r="P520" i="34"/>
  <c r="P493" i="34"/>
  <c r="P492" i="34"/>
  <c r="P491" i="34"/>
  <c r="P490" i="34"/>
  <c r="P489" i="34"/>
  <c r="P478" i="34"/>
  <c r="P464" i="34"/>
  <c r="P463" i="34"/>
  <c r="P462" i="34"/>
  <c r="P461" i="34"/>
  <c r="P460" i="34"/>
  <c r="P459" i="34"/>
  <c r="P458" i="34"/>
  <c r="P431" i="34"/>
  <c r="P430" i="34"/>
  <c r="P429" i="34"/>
  <c r="P428" i="34"/>
  <c r="P427" i="34"/>
  <c r="P416" i="34"/>
  <c r="P402" i="34"/>
  <c r="P401" i="34"/>
  <c r="P400" i="34"/>
  <c r="P399" i="34"/>
  <c r="P398" i="34"/>
  <c r="P397" i="34"/>
  <c r="P396" i="34"/>
  <c r="P369" i="34"/>
  <c r="P368" i="34"/>
  <c r="P367" i="34"/>
  <c r="P366" i="34"/>
  <c r="P365" i="34"/>
  <c r="P356" i="34"/>
  <c r="P355" i="34"/>
  <c r="P354" i="34"/>
  <c r="P340" i="34"/>
  <c r="P339" i="34"/>
  <c r="P338" i="34"/>
  <c r="P337" i="34"/>
  <c r="P336" i="34"/>
  <c r="P335" i="34"/>
  <c r="P334" i="34"/>
  <c r="P327" i="34"/>
  <c r="P324" i="34"/>
  <c r="P322" i="34"/>
  <c r="P321" i="34"/>
  <c r="P317" i="34"/>
  <c r="P307" i="34"/>
  <c r="P306" i="34"/>
  <c r="P305" i="34"/>
  <c r="P304" i="34"/>
  <c r="P303" i="34"/>
  <c r="P292" i="34"/>
  <c r="P278" i="34"/>
  <c r="P277" i="34"/>
  <c r="P276" i="34"/>
  <c r="P275" i="34"/>
  <c r="P274" i="34"/>
  <c r="P273" i="34"/>
  <c r="P272" i="34"/>
  <c r="P245" i="34"/>
  <c r="P244" i="34"/>
  <c r="P243" i="34"/>
  <c r="P242" i="34"/>
  <c r="P241" i="34"/>
  <c r="P230" i="34"/>
  <c r="P216" i="34"/>
  <c r="P215" i="34"/>
  <c r="P214" i="34"/>
  <c r="P213" i="34"/>
  <c r="P212" i="34"/>
  <c r="P211" i="34"/>
  <c r="P210" i="34"/>
  <c r="P2055" i="34"/>
  <c r="P1993" i="34"/>
  <c r="P1931" i="34"/>
  <c r="P328" i="34"/>
  <c r="P204" i="34"/>
  <c r="P2552" i="34"/>
  <c r="P2428" i="34"/>
  <c r="P2054" i="34"/>
  <c r="P2053" i="34"/>
  <c r="P2052" i="34"/>
  <c r="P1992" i="34"/>
  <c r="P1991" i="34"/>
  <c r="P1990" i="34"/>
  <c r="P1930" i="34"/>
  <c r="P1929" i="34"/>
  <c r="P1928" i="34"/>
  <c r="P1782" i="34"/>
  <c r="P1781" i="34"/>
  <c r="P1063" i="34"/>
  <c r="P1060" i="34"/>
  <c r="P750" i="34"/>
  <c r="P688" i="34"/>
  <c r="P627" i="34"/>
  <c r="P626" i="34"/>
  <c r="P575" i="34"/>
  <c r="P574" i="34"/>
  <c r="P571" i="34"/>
  <c r="P568" i="34"/>
  <c r="P567" i="34"/>
  <c r="P566" i="34"/>
  <c r="P564" i="34"/>
  <c r="P326" i="34"/>
  <c r="P325" i="34"/>
  <c r="P323" i="34"/>
  <c r="P320" i="34"/>
  <c r="P319" i="34"/>
  <c r="P318" i="34"/>
  <c r="P316" i="34"/>
  <c r="P202" i="34"/>
  <c r="P201" i="34"/>
  <c r="P199" i="34"/>
  <c r="P196" i="34"/>
  <c r="P195" i="34"/>
  <c r="P194" i="34"/>
  <c r="P203" i="34"/>
  <c r="P200" i="34"/>
  <c r="P198" i="34"/>
  <c r="P197" i="34"/>
  <c r="P192" i="34"/>
  <c r="P193" i="34"/>
  <c r="P133" i="34"/>
  <c r="P132" i="34"/>
  <c r="P131" i="34"/>
  <c r="P130" i="34"/>
  <c r="P71" i="34"/>
  <c r="P70" i="34"/>
  <c r="P69" i="34"/>
  <c r="P68" i="34"/>
  <c r="P9" i="34"/>
  <c r="P8" i="34"/>
  <c r="P7" i="34"/>
  <c r="P6" i="34"/>
  <c r="C3" i="42" l="1"/>
  <c r="C7" i="4" s="1"/>
  <c r="C7" i="19" s="1"/>
  <c r="B12" i="19"/>
  <c r="B11" i="19"/>
  <c r="B10" i="19"/>
  <c r="B9" i="19"/>
  <c r="B8" i="19"/>
  <c r="B7" i="19"/>
  <c r="C7" i="42"/>
  <c r="C11" i="4" s="1"/>
  <c r="C11" i="19" s="1"/>
  <c r="E6" i="42"/>
  <c r="E10" i="4" s="1"/>
  <c r="E10" i="19" s="1"/>
  <c r="C6" i="42"/>
  <c r="C10" i="4" s="1"/>
  <c r="C10" i="19" s="1"/>
  <c r="B6" i="42"/>
  <c r="A10" i="4" s="1"/>
  <c r="A10" i="19" s="1"/>
  <c r="E5" i="42"/>
  <c r="E9" i="4" s="1"/>
  <c r="E9" i="19" s="1"/>
  <c r="C5" i="42"/>
  <c r="C9" i="4" s="1"/>
  <c r="C9" i="19" s="1"/>
  <c r="B5" i="42"/>
  <c r="A9" i="4" s="1"/>
  <c r="A9" i="19" s="1"/>
  <c r="E4" i="42"/>
  <c r="E8" i="4" s="1"/>
  <c r="E8" i="19" s="1"/>
  <c r="C4" i="42"/>
  <c r="C8" i="4" s="1"/>
  <c r="C8" i="19" s="1"/>
  <c r="B4" i="42"/>
  <c r="A8" i="4" s="1"/>
  <c r="A8" i="19" s="1"/>
  <c r="B3" i="42"/>
  <c r="A7" i="4" s="1"/>
  <c r="A7" i="19" s="1"/>
  <c r="J24" i="9" l="1"/>
  <c r="A6" i="20" l="1"/>
  <c r="A5" i="20"/>
  <c r="A2" i="20"/>
  <c r="Y12" i="11" l="1"/>
  <c r="M2056" i="34" l="1"/>
  <c r="L2056" i="34"/>
  <c r="M2055" i="34"/>
  <c r="L2055" i="34"/>
  <c r="M2054" i="34"/>
  <c r="L2054" i="34"/>
  <c r="M2053" i="34"/>
  <c r="L2053" i="34"/>
  <c r="M2052" i="34"/>
  <c r="L2052" i="34"/>
  <c r="M2070" i="34"/>
  <c r="L2070" i="34"/>
  <c r="M2008" i="34" l="1"/>
  <c r="L2008" i="34"/>
  <c r="M1994" i="34"/>
  <c r="L1994" i="34"/>
  <c r="M1993" i="34"/>
  <c r="L1993" i="34"/>
  <c r="M1992" i="34"/>
  <c r="L1992" i="34"/>
  <c r="M1991" i="34"/>
  <c r="L1991" i="34"/>
  <c r="M1990" i="34"/>
  <c r="L1990" i="34"/>
  <c r="L1946" i="34" l="1"/>
  <c r="M1946" i="34"/>
  <c r="M1929" i="34"/>
  <c r="L1932" i="34"/>
  <c r="L1931" i="34"/>
  <c r="L1930" i="34"/>
  <c r="L1929" i="34"/>
  <c r="L1928" i="34"/>
  <c r="M1932" i="34"/>
  <c r="M1931" i="34"/>
  <c r="M1930" i="34"/>
  <c r="M1928" i="34"/>
  <c r="L2487" i="34" l="1"/>
  <c r="M2487" i="34"/>
  <c r="L2554" i="34"/>
  <c r="M2554" i="34"/>
  <c r="L2611" i="34"/>
  <c r="M2611" i="34"/>
  <c r="L2553" i="34" l="1"/>
  <c r="M2553" i="34"/>
  <c r="L2552" i="34"/>
  <c r="M2552" i="34"/>
  <c r="M2519" i="34" l="1"/>
  <c r="L2519" i="34"/>
  <c r="M2457" i="34" l="1"/>
  <c r="L2457" i="34"/>
  <c r="L2430" i="34"/>
  <c r="M2430" i="34"/>
  <c r="L2428" i="34"/>
  <c r="M2428" i="34"/>
  <c r="L2429" i="34"/>
  <c r="M2429" i="34"/>
  <c r="L2427" i="34" l="1"/>
  <c r="L2426" i="34"/>
  <c r="L2425" i="34"/>
  <c r="L2424" i="34"/>
  <c r="L2442" i="34"/>
  <c r="L2456" i="34"/>
  <c r="L2490" i="34"/>
  <c r="L2489" i="34"/>
  <c r="L2488" i="34"/>
  <c r="L2486" i="34"/>
  <c r="L2504" i="34"/>
  <c r="L2518" i="34"/>
  <c r="L2551" i="34"/>
  <c r="L2550" i="34"/>
  <c r="L2549" i="34"/>
  <c r="L2548" i="34"/>
  <c r="L2566" i="34"/>
  <c r="L2614" i="34"/>
  <c r="L2613" i="34"/>
  <c r="L2612" i="34"/>
  <c r="L2610" i="34"/>
  <c r="M2614" i="34"/>
  <c r="M2613" i="34"/>
  <c r="M2612" i="34"/>
  <c r="M2610" i="34"/>
  <c r="M2566" i="34"/>
  <c r="M2551" i="34"/>
  <c r="M2550" i="34"/>
  <c r="M2549" i="34"/>
  <c r="M2548" i="34"/>
  <c r="M2518" i="34"/>
  <c r="M2504" i="34"/>
  <c r="M2490" i="34"/>
  <c r="M2489" i="34"/>
  <c r="M2488" i="34"/>
  <c r="M2486" i="34"/>
  <c r="M2456" i="34"/>
  <c r="M2442" i="34"/>
  <c r="M2427" i="34"/>
  <c r="M2426" i="34"/>
  <c r="M2425" i="34"/>
  <c r="M2424" i="34"/>
  <c r="J3040" i="34" l="1"/>
  <c r="J2978" i="34"/>
  <c r="J2916" i="34"/>
  <c r="J2854" i="34"/>
  <c r="J2792" i="34"/>
  <c r="J2730" i="34"/>
  <c r="J2668" i="34"/>
  <c r="J2606" i="34"/>
  <c r="J2544" i="34"/>
  <c r="J2482" i="34"/>
  <c r="J2420" i="34"/>
  <c r="J2358" i="34"/>
  <c r="J2296" i="34"/>
  <c r="J2234" i="34"/>
  <c r="J2172" i="34"/>
  <c r="O3099" i="34"/>
  <c r="O3098" i="34"/>
  <c r="O3097" i="34"/>
  <c r="O3096" i="34"/>
  <c r="O3095" i="34"/>
  <c r="O3094" i="34"/>
  <c r="O3093" i="34"/>
  <c r="J3091" i="34"/>
  <c r="O3088" i="34"/>
  <c r="O3087" i="34"/>
  <c r="O3086" i="34"/>
  <c r="O3085" i="34"/>
  <c r="O3084" i="34"/>
  <c r="O3083" i="34"/>
  <c r="O3082" i="34"/>
  <c r="J3080" i="34"/>
  <c r="O3077" i="34"/>
  <c r="O3076" i="34"/>
  <c r="O3078" i="34" s="1"/>
  <c r="J3074" i="34"/>
  <c r="O3071" i="34"/>
  <c r="O3070" i="34"/>
  <c r="O3069" i="34"/>
  <c r="O3068" i="34"/>
  <c r="O3067" i="34"/>
  <c r="O3066" i="34"/>
  <c r="O3065" i="34"/>
  <c r="O3064" i="34"/>
  <c r="O3063" i="34"/>
  <c r="O3062" i="34"/>
  <c r="O3057" i="34"/>
  <c r="O3056" i="34"/>
  <c r="O3055" i="34"/>
  <c r="O3054" i="34"/>
  <c r="O3053" i="34"/>
  <c r="O3052" i="34"/>
  <c r="O3051" i="34"/>
  <c r="O3050" i="34"/>
  <c r="O3049" i="34"/>
  <c r="O3048" i="34"/>
  <c r="O3047" i="34"/>
  <c r="O3046" i="34"/>
  <c r="O3045" i="34"/>
  <c r="O3044" i="34"/>
  <c r="O3037" i="34"/>
  <c r="O3036" i="34"/>
  <c r="O3035" i="34"/>
  <c r="O3034" i="34"/>
  <c r="O3033" i="34"/>
  <c r="O3032" i="34"/>
  <c r="O3031" i="34"/>
  <c r="J3029" i="34"/>
  <c r="O3026" i="34"/>
  <c r="O3025" i="34"/>
  <c r="O3024" i="34"/>
  <c r="O3023" i="34"/>
  <c r="O3022" i="34"/>
  <c r="O3021" i="34"/>
  <c r="O3020" i="34"/>
  <c r="J3018" i="34"/>
  <c r="O3015" i="34"/>
  <c r="O3014" i="34"/>
  <c r="J3012" i="34"/>
  <c r="O3009" i="34"/>
  <c r="O3008" i="34"/>
  <c r="O3007" i="34"/>
  <c r="O3006" i="34"/>
  <c r="O3005" i="34"/>
  <c r="O3004" i="34"/>
  <c r="O3003" i="34"/>
  <c r="O3002" i="34"/>
  <c r="O3001" i="34"/>
  <c r="O3000" i="34"/>
  <c r="O2995" i="34"/>
  <c r="O2994" i="34"/>
  <c r="O2993" i="34"/>
  <c r="O2992" i="34"/>
  <c r="O2991" i="34"/>
  <c r="O2990" i="34"/>
  <c r="O2989" i="34"/>
  <c r="O2988" i="34"/>
  <c r="O2987" i="34"/>
  <c r="O2986" i="34"/>
  <c r="O2985" i="34"/>
  <c r="O2984" i="34"/>
  <c r="O2983" i="34"/>
  <c r="O2982" i="34"/>
  <c r="O2975" i="34"/>
  <c r="O2974" i="34"/>
  <c r="O2973" i="34"/>
  <c r="O2972" i="34"/>
  <c r="O2971" i="34"/>
  <c r="O2970" i="34"/>
  <c r="O2969" i="34"/>
  <c r="J2967" i="34"/>
  <c r="O2964" i="34"/>
  <c r="O2963" i="34"/>
  <c r="O2962" i="34"/>
  <c r="O2961" i="34"/>
  <c r="O2960" i="34"/>
  <c r="O2959" i="34"/>
  <c r="O2958" i="34"/>
  <c r="J2956" i="34"/>
  <c r="O2953" i="34"/>
  <c r="O2952" i="34"/>
  <c r="J2950" i="34"/>
  <c r="O2947" i="34"/>
  <c r="O2946" i="34"/>
  <c r="O2945" i="34"/>
  <c r="O2944" i="34"/>
  <c r="O2943" i="34"/>
  <c r="O2942" i="34"/>
  <c r="O2941" i="34"/>
  <c r="O2940" i="34"/>
  <c r="O2939" i="34"/>
  <c r="O2938" i="34"/>
  <c r="O2933" i="34"/>
  <c r="O2932" i="34"/>
  <c r="O2931" i="34"/>
  <c r="O2930" i="34"/>
  <c r="O2929" i="34"/>
  <c r="O2928" i="34"/>
  <c r="O2927" i="34"/>
  <c r="O2926" i="34"/>
  <c r="O2925" i="34"/>
  <c r="O2924" i="34"/>
  <c r="O2923" i="34"/>
  <c r="O2922" i="34"/>
  <c r="O2921" i="34"/>
  <c r="O2920" i="34"/>
  <c r="O2913" i="34"/>
  <c r="O2912" i="34"/>
  <c r="O2911" i="34"/>
  <c r="O2910" i="34"/>
  <c r="O2909" i="34"/>
  <c r="O2908" i="34"/>
  <c r="O2907" i="34"/>
  <c r="J2905" i="34"/>
  <c r="O2902" i="34"/>
  <c r="O2901" i="34"/>
  <c r="O2900" i="34"/>
  <c r="O2899" i="34"/>
  <c r="O2898" i="34"/>
  <c r="O2897" i="34"/>
  <c r="O2896" i="34"/>
  <c r="J2894" i="34"/>
  <c r="O2891" i="34"/>
  <c r="O2890" i="34"/>
  <c r="J2888" i="34"/>
  <c r="O2885" i="34"/>
  <c r="O2884" i="34"/>
  <c r="O2883" i="34"/>
  <c r="O2882" i="34"/>
  <c r="O2881" i="34"/>
  <c r="O2880" i="34"/>
  <c r="O2879" i="34"/>
  <c r="O2878" i="34"/>
  <c r="O2877" i="34"/>
  <c r="O2876" i="34"/>
  <c r="O2871" i="34"/>
  <c r="O2870" i="34"/>
  <c r="O2869" i="34"/>
  <c r="O2868" i="34"/>
  <c r="O2867" i="34"/>
  <c r="O2866" i="34"/>
  <c r="O2865" i="34"/>
  <c r="O2864" i="34"/>
  <c r="O2863" i="34"/>
  <c r="O2862" i="34"/>
  <c r="O2861" i="34"/>
  <c r="O2860" i="34"/>
  <c r="O2859" i="34"/>
  <c r="O2858" i="34"/>
  <c r="O2851" i="34"/>
  <c r="O2850" i="34"/>
  <c r="O2849" i="34"/>
  <c r="O2848" i="34"/>
  <c r="O2847" i="34"/>
  <c r="O2846" i="34"/>
  <c r="O2845" i="34"/>
  <c r="J2843" i="34"/>
  <c r="O2840" i="34"/>
  <c r="O2839" i="34"/>
  <c r="O2838" i="34"/>
  <c r="O2837" i="34"/>
  <c r="O2836" i="34"/>
  <c r="O2835" i="34"/>
  <c r="O2834" i="34"/>
  <c r="J2832" i="34"/>
  <c r="O2829" i="34"/>
  <c r="O2828" i="34"/>
  <c r="J2826" i="34"/>
  <c r="O2823" i="34"/>
  <c r="O2822" i="34"/>
  <c r="O2821" i="34"/>
  <c r="O2820" i="34"/>
  <c r="O2819" i="34"/>
  <c r="O2818" i="34"/>
  <c r="O2817" i="34"/>
  <c r="O2816" i="34"/>
  <c r="O2815" i="34"/>
  <c r="O2814" i="34"/>
  <c r="O2809" i="34"/>
  <c r="O2808" i="34"/>
  <c r="O2807" i="34"/>
  <c r="O2806" i="34"/>
  <c r="O2805" i="34"/>
  <c r="O2804" i="34"/>
  <c r="O2803" i="34"/>
  <c r="O2802" i="34"/>
  <c r="O2801" i="34"/>
  <c r="O2800" i="34"/>
  <c r="O2799" i="34"/>
  <c r="O2798" i="34"/>
  <c r="O2797" i="34"/>
  <c r="O2796" i="34"/>
  <c r="O2789" i="34"/>
  <c r="O2788" i="34"/>
  <c r="O2787" i="34"/>
  <c r="O2786" i="34"/>
  <c r="O2785" i="34"/>
  <c r="O2784" i="34"/>
  <c r="O2783" i="34"/>
  <c r="J2781" i="34"/>
  <c r="O2778" i="34"/>
  <c r="O2777" i="34"/>
  <c r="O2776" i="34"/>
  <c r="O2775" i="34"/>
  <c r="O2774" i="34"/>
  <c r="O2773" i="34"/>
  <c r="O2772" i="34"/>
  <c r="J2770" i="34"/>
  <c r="O2767" i="34"/>
  <c r="O2766" i="34"/>
  <c r="J2764" i="34"/>
  <c r="O2761" i="34"/>
  <c r="O2760" i="34"/>
  <c r="O2759" i="34"/>
  <c r="O2758" i="34"/>
  <c r="O2757" i="34"/>
  <c r="O2756" i="34"/>
  <c r="O2755" i="34"/>
  <c r="O2754" i="34"/>
  <c r="O2753" i="34"/>
  <c r="O2752" i="34"/>
  <c r="O2747" i="34"/>
  <c r="O2746" i="34"/>
  <c r="O2745" i="34"/>
  <c r="O2744" i="34"/>
  <c r="O2743" i="34"/>
  <c r="O2742" i="34"/>
  <c r="O2741" i="34"/>
  <c r="O2740" i="34"/>
  <c r="O2739" i="34"/>
  <c r="O2738" i="34"/>
  <c r="O2737" i="34"/>
  <c r="O2736" i="34"/>
  <c r="O2735" i="34"/>
  <c r="O2734" i="34"/>
  <c r="O2727" i="34"/>
  <c r="O2726" i="34"/>
  <c r="O2725" i="34"/>
  <c r="O2724" i="34"/>
  <c r="O2723" i="34"/>
  <c r="O2722" i="34"/>
  <c r="O2721" i="34"/>
  <c r="J2719" i="34"/>
  <c r="O2716" i="34"/>
  <c r="O2715" i="34"/>
  <c r="O2714" i="34"/>
  <c r="O2713" i="34"/>
  <c r="O2712" i="34"/>
  <c r="O2711" i="34"/>
  <c r="O2710" i="34"/>
  <c r="J2708" i="34"/>
  <c r="O2705" i="34"/>
  <c r="O2704" i="34"/>
  <c r="J2702" i="34"/>
  <c r="O2699" i="34"/>
  <c r="O2698" i="34"/>
  <c r="O2697" i="34"/>
  <c r="O2696" i="34"/>
  <c r="O2695" i="34"/>
  <c r="O2694" i="34"/>
  <c r="O2693" i="34"/>
  <c r="O2692" i="34"/>
  <c r="O2691" i="34"/>
  <c r="O2690" i="34"/>
  <c r="O2685" i="34"/>
  <c r="O2684" i="34"/>
  <c r="O2683" i="34"/>
  <c r="O2682" i="34"/>
  <c r="O2681" i="34"/>
  <c r="O2680" i="34"/>
  <c r="O2679" i="34"/>
  <c r="O2678" i="34"/>
  <c r="O2677" i="34"/>
  <c r="O2676" i="34"/>
  <c r="O2675" i="34"/>
  <c r="O2674" i="34"/>
  <c r="O2673" i="34"/>
  <c r="O2672" i="34"/>
  <c r="O2665" i="34"/>
  <c r="O2664" i="34"/>
  <c r="O2663" i="34"/>
  <c r="O2662" i="34"/>
  <c r="O2661" i="34"/>
  <c r="O2660" i="34"/>
  <c r="O2659" i="34"/>
  <c r="J2657" i="34"/>
  <c r="O2654" i="34"/>
  <c r="O2653" i="34"/>
  <c r="O2652" i="34"/>
  <c r="O2651" i="34"/>
  <c r="O2650" i="34"/>
  <c r="O2649" i="34"/>
  <c r="O2648" i="34"/>
  <c r="J2646" i="34"/>
  <c r="O2643" i="34"/>
  <c r="O2642" i="34"/>
  <c r="O2644" i="34" s="1"/>
  <c r="J2640" i="34"/>
  <c r="O2637" i="34"/>
  <c r="O2636" i="34"/>
  <c r="O2635" i="34"/>
  <c r="O2634" i="34"/>
  <c r="O2633" i="34"/>
  <c r="O2632" i="34"/>
  <c r="O2631" i="34"/>
  <c r="O2630" i="34"/>
  <c r="O2629" i="34"/>
  <c r="O2623" i="34"/>
  <c r="O2622" i="34"/>
  <c r="O2621" i="34"/>
  <c r="O2620" i="34"/>
  <c r="O2619" i="34"/>
  <c r="O2618" i="34"/>
  <c r="O2617" i="34"/>
  <c r="O2616" i="34"/>
  <c r="O2615" i="34"/>
  <c r="O2614" i="34"/>
  <c r="O2613" i="34"/>
  <c r="O2612" i="34"/>
  <c r="O2611" i="34"/>
  <c r="O2610" i="34"/>
  <c r="O2603" i="34"/>
  <c r="O2602" i="34"/>
  <c r="O2601" i="34"/>
  <c r="O2600" i="34"/>
  <c r="O2599" i="34"/>
  <c r="O2598" i="34"/>
  <c r="O2597" i="34"/>
  <c r="J2595" i="34"/>
  <c r="O2592" i="34"/>
  <c r="O2591" i="34"/>
  <c r="O2590" i="34"/>
  <c r="O2589" i="34"/>
  <c r="O2588" i="34"/>
  <c r="O2587" i="34"/>
  <c r="O2586" i="34"/>
  <c r="J2584" i="34"/>
  <c r="O2581" i="34"/>
  <c r="O2580" i="34"/>
  <c r="O2582" i="34" s="1"/>
  <c r="J2578" i="34"/>
  <c r="O2575" i="34"/>
  <c r="O2574" i="34"/>
  <c r="O2573" i="34"/>
  <c r="O2572" i="34"/>
  <c r="O2571" i="34"/>
  <c r="O2570" i="34"/>
  <c r="O2569" i="34"/>
  <c r="O2568" i="34"/>
  <c r="O2567" i="34"/>
  <c r="O2566" i="34"/>
  <c r="O2561" i="34"/>
  <c r="O2560" i="34"/>
  <c r="O2559" i="34"/>
  <c r="O2558" i="34"/>
  <c r="O2557" i="34"/>
  <c r="O2556" i="34"/>
  <c r="O2555" i="34"/>
  <c r="O2554" i="34"/>
  <c r="O2553" i="34"/>
  <c r="O2552" i="34"/>
  <c r="O2551" i="34"/>
  <c r="O2550" i="34"/>
  <c r="O2549" i="34"/>
  <c r="O2548" i="34"/>
  <c r="O2541" i="34"/>
  <c r="O2540" i="34"/>
  <c r="O2539" i="34"/>
  <c r="O2538" i="34"/>
  <c r="O2537" i="34"/>
  <c r="O2536" i="34"/>
  <c r="O2535" i="34"/>
  <c r="J2533" i="34"/>
  <c r="O2530" i="34"/>
  <c r="O2529" i="34"/>
  <c r="O2528" i="34"/>
  <c r="O2527" i="34"/>
  <c r="O2526" i="34"/>
  <c r="O2525" i="34"/>
  <c r="O2524" i="34"/>
  <c r="J2522" i="34"/>
  <c r="O2519" i="34"/>
  <c r="O2518" i="34"/>
  <c r="J2516" i="34"/>
  <c r="O2513" i="34"/>
  <c r="O2512" i="34"/>
  <c r="O2511" i="34"/>
  <c r="O2510" i="34"/>
  <c r="O2509" i="34"/>
  <c r="O2508" i="34"/>
  <c r="O2507" i="34"/>
  <c r="O2506" i="34"/>
  <c r="O2505" i="34"/>
  <c r="O2504" i="34"/>
  <c r="O2499" i="34"/>
  <c r="O2498" i="34"/>
  <c r="O2497" i="34"/>
  <c r="O2496" i="34"/>
  <c r="O2495" i="34"/>
  <c r="O2494" i="34"/>
  <c r="O2493" i="34"/>
  <c r="O2492" i="34"/>
  <c r="O2491" i="34"/>
  <c r="O2490" i="34"/>
  <c r="O2489" i="34"/>
  <c r="O2488" i="34"/>
  <c r="O2487" i="34"/>
  <c r="O2486" i="34"/>
  <c r="O2479" i="34"/>
  <c r="O2478" i="34"/>
  <c r="O2477" i="34"/>
  <c r="O2476" i="34"/>
  <c r="O2475" i="34"/>
  <c r="O2474" i="34"/>
  <c r="O2473" i="34"/>
  <c r="J2471" i="34"/>
  <c r="O2468" i="34"/>
  <c r="O2467" i="34"/>
  <c r="O2466" i="34"/>
  <c r="O2465" i="34"/>
  <c r="O2464" i="34"/>
  <c r="O2463" i="34"/>
  <c r="O2462" i="34"/>
  <c r="J2460" i="34"/>
  <c r="O2457" i="34"/>
  <c r="O2456" i="34"/>
  <c r="J2454" i="34"/>
  <c r="O2451" i="34"/>
  <c r="O2450" i="34"/>
  <c r="O2449" i="34"/>
  <c r="O2448" i="34"/>
  <c r="O2447" i="34"/>
  <c r="O2446" i="34"/>
  <c r="O2445" i="34"/>
  <c r="O2444" i="34"/>
  <c r="O2443" i="34"/>
  <c r="O2442" i="34"/>
  <c r="O2437" i="34"/>
  <c r="O2436" i="34"/>
  <c r="O2435" i="34"/>
  <c r="O2434" i="34"/>
  <c r="O2433" i="34"/>
  <c r="O2432" i="34"/>
  <c r="O2431" i="34"/>
  <c r="O2430" i="34"/>
  <c r="O2428" i="34"/>
  <c r="O2427" i="34"/>
  <c r="O2426" i="34"/>
  <c r="O2425" i="34"/>
  <c r="O2424" i="34"/>
  <c r="O2417" i="34"/>
  <c r="O2416" i="34"/>
  <c r="O2415" i="34"/>
  <c r="O2414" i="34"/>
  <c r="O2413" i="34"/>
  <c r="O2412" i="34"/>
  <c r="O2411" i="34"/>
  <c r="J2409" i="34"/>
  <c r="O2406" i="34"/>
  <c r="O2405" i="34"/>
  <c r="O2404" i="34"/>
  <c r="O2403" i="34"/>
  <c r="O2402" i="34"/>
  <c r="O2401" i="34"/>
  <c r="O2400" i="34"/>
  <c r="J2398" i="34"/>
  <c r="O2395" i="34"/>
  <c r="O2394" i="34"/>
  <c r="J2392" i="34"/>
  <c r="O2389" i="34"/>
  <c r="O2388" i="34"/>
  <c r="O2387" i="34"/>
  <c r="O2386" i="34"/>
  <c r="O2385" i="34"/>
  <c r="O2384" i="34"/>
  <c r="O2383" i="34"/>
  <c r="O2382" i="34"/>
  <c r="O2381" i="34"/>
  <c r="O2380" i="34"/>
  <c r="O2375" i="34"/>
  <c r="O2374" i="34"/>
  <c r="O2373" i="34"/>
  <c r="O2372" i="34"/>
  <c r="O2371" i="34"/>
  <c r="O2370" i="34"/>
  <c r="O2369" i="34"/>
  <c r="O2368" i="34"/>
  <c r="O2367" i="34"/>
  <c r="O2366" i="34"/>
  <c r="O2365" i="34"/>
  <c r="O2364" i="34"/>
  <c r="O2363" i="34"/>
  <c r="O2362" i="34"/>
  <c r="J2347" i="34"/>
  <c r="J2336" i="34"/>
  <c r="O2333" i="34"/>
  <c r="O2332" i="34"/>
  <c r="J2330" i="34"/>
  <c r="O2520" i="34" l="1"/>
  <c r="O2542" i="34"/>
  <c r="O2841" i="34"/>
  <c r="O3038" i="34"/>
  <c r="O2768" i="34"/>
  <c r="O3016" i="34"/>
  <c r="O2872" i="34"/>
  <c r="O2514" i="34"/>
  <c r="O2748" i="34"/>
  <c r="O2334" i="34"/>
  <c r="O2779" i="34"/>
  <c r="O2407" i="34"/>
  <c r="O2810" i="34"/>
  <c r="O2356" i="34"/>
  <c r="O2396" i="34"/>
  <c r="O2700" i="34"/>
  <c r="O2892" i="34"/>
  <c r="O3089" i="34"/>
  <c r="O2624" i="34"/>
  <c r="O2655" i="34"/>
  <c r="O2948" i="34"/>
  <c r="O2452" i="34"/>
  <c r="O2706" i="34"/>
  <c r="O2903" i="34"/>
  <c r="O2376" i="34"/>
  <c r="O2576" i="34"/>
  <c r="O2762" i="34"/>
  <c r="O2996" i="34"/>
  <c r="O3027" i="34"/>
  <c r="O3058" i="34"/>
  <c r="O2232" i="34"/>
  <c r="O2390" i="34"/>
  <c r="O2469" i="34"/>
  <c r="O2562" i="34"/>
  <c r="O2314" i="34"/>
  <c r="O2345" i="34"/>
  <c r="O2790" i="34"/>
  <c r="O2500" i="34"/>
  <c r="O2531" i="34"/>
  <c r="O3010" i="34"/>
  <c r="O2294" i="34"/>
  <c r="O2852" i="34"/>
  <c r="O2965" i="34"/>
  <c r="O2328" i="34"/>
  <c r="O2418" i="34"/>
  <c r="O2458" i="34"/>
  <c r="O2604" i="34"/>
  <c r="O2824" i="34"/>
  <c r="O2954" i="34"/>
  <c r="O3100" i="34"/>
  <c r="O2480" i="34"/>
  <c r="O2976" i="34"/>
  <c r="O2593" i="34"/>
  <c r="O2638" i="34"/>
  <c r="O2717" i="34"/>
  <c r="O2830" i="34"/>
  <c r="O2886" i="34"/>
  <c r="O2934" i="34"/>
  <c r="O2666" i="34"/>
  <c r="O2686" i="34"/>
  <c r="O2728" i="34"/>
  <c r="O2914" i="34"/>
  <c r="O3072" i="34"/>
  <c r="B48" i="41"/>
  <c r="D52" i="41"/>
  <c r="D53" i="41"/>
  <c r="B54" i="41"/>
  <c r="J1789" i="34"/>
  <c r="J1778" i="34"/>
  <c r="J1772" i="34"/>
  <c r="CZ3" i="32" l="1"/>
  <c r="CY3" i="32"/>
  <c r="CX3" i="32"/>
  <c r="CW3" i="32"/>
  <c r="CV3" i="32"/>
  <c r="CU3" i="32"/>
  <c r="CT3" i="32"/>
  <c r="CS3" i="32"/>
  <c r="CR3" i="32"/>
  <c r="CQ3" i="32"/>
  <c r="CP3" i="32"/>
  <c r="CO3" i="32"/>
  <c r="CN3" i="32"/>
  <c r="CM3" i="32"/>
  <c r="CL3" i="32"/>
  <c r="R31" i="27" l="1"/>
  <c r="Q38" i="27" l="1"/>
  <c r="R38" i="27"/>
  <c r="R36" i="27" l="1"/>
  <c r="Q36" i="27"/>
  <c r="I22" i="9"/>
  <c r="L9" i="9"/>
  <c r="L6" i="9"/>
  <c r="L5" i="9"/>
  <c r="L4" i="9"/>
  <c r="I9" i="9"/>
  <c r="I6" i="9"/>
  <c r="I5" i="9"/>
  <c r="I4" i="9"/>
  <c r="D2" i="32" l="1"/>
  <c r="E122" i="32"/>
  <c r="F122" i="32" s="1"/>
  <c r="BC35" i="32" l="1"/>
  <c r="BC18" i="32"/>
  <c r="G122" i="32"/>
  <c r="F2" i="32"/>
  <c r="E2" i="32"/>
  <c r="BD35" i="32" l="1"/>
  <c r="BD18" i="32"/>
  <c r="BE35" i="32"/>
  <c r="BE18" i="32"/>
  <c r="H122" i="32"/>
  <c r="G2" i="32"/>
  <c r="C7" i="10"/>
  <c r="BF35" i="32" l="1"/>
  <c r="BF18" i="32"/>
  <c r="I122" i="32"/>
  <c r="H2" i="32"/>
  <c r="BG35" i="32" l="1"/>
  <c r="BG18" i="32"/>
  <c r="J122" i="32"/>
  <c r="I2" i="32"/>
  <c r="O1775" i="34"/>
  <c r="O1774" i="34"/>
  <c r="A17" i="4"/>
  <c r="J2088" i="34"/>
  <c r="J2026" i="34"/>
  <c r="J1964" i="34"/>
  <c r="J1716" i="34"/>
  <c r="J1654" i="34"/>
  <c r="J1406" i="34"/>
  <c r="J1158" i="34"/>
  <c r="J1096" i="34"/>
  <c r="J1034" i="34"/>
  <c r="J972" i="34"/>
  <c r="J910" i="34"/>
  <c r="J848" i="34"/>
  <c r="J786" i="34"/>
  <c r="J724" i="34"/>
  <c r="J662" i="34"/>
  <c r="J600" i="34"/>
  <c r="J538" i="34"/>
  <c r="J476" i="34"/>
  <c r="J414" i="34"/>
  <c r="J352" i="34"/>
  <c r="J290" i="34"/>
  <c r="J228" i="34"/>
  <c r="J166" i="34"/>
  <c r="J104" i="34"/>
  <c r="J42" i="34"/>
  <c r="A42" i="34"/>
  <c r="A48" i="5"/>
  <c r="J2082" i="34"/>
  <c r="J2020" i="34"/>
  <c r="J1958" i="34"/>
  <c r="J1710" i="34"/>
  <c r="J1648" i="34"/>
  <c r="J1400" i="34"/>
  <c r="J1152" i="34"/>
  <c r="J1090" i="34"/>
  <c r="J1028" i="34"/>
  <c r="J966" i="34"/>
  <c r="J904" i="34"/>
  <c r="J842" i="34"/>
  <c r="J780" i="34"/>
  <c r="J718" i="34"/>
  <c r="J656" i="34"/>
  <c r="J594" i="34"/>
  <c r="J532" i="34"/>
  <c r="J470" i="34"/>
  <c r="J408" i="34"/>
  <c r="J346" i="34"/>
  <c r="J284" i="34"/>
  <c r="J222" i="34"/>
  <c r="J160" i="34"/>
  <c r="J98" i="34"/>
  <c r="J36" i="34"/>
  <c r="A36" i="34"/>
  <c r="A42" i="5"/>
  <c r="A16" i="4"/>
  <c r="A13" i="15" l="1"/>
  <c r="BH35" i="32"/>
  <c r="BH18" i="32"/>
  <c r="K122" i="32"/>
  <c r="J2" i="32"/>
  <c r="BI35" i="32" l="1"/>
  <c r="BI18" i="32"/>
  <c r="L122" i="32"/>
  <c r="K2" i="32"/>
  <c r="BJ35" i="32" l="1"/>
  <c r="BJ18" i="32"/>
  <c r="M122" i="32"/>
  <c r="L2" i="32"/>
  <c r="BK35" i="32" l="1"/>
  <c r="BK18" i="32"/>
  <c r="N122" i="32"/>
  <c r="M2" i="32"/>
  <c r="BL35" i="32" l="1"/>
  <c r="BL18" i="32"/>
  <c r="O122" i="32"/>
  <c r="N2" i="32"/>
  <c r="BM35" i="32" l="1"/>
  <c r="BM18" i="32"/>
  <c r="P122" i="32"/>
  <c r="O2" i="32"/>
  <c r="BN35" i="32" l="1"/>
  <c r="BN18" i="32"/>
  <c r="Q122" i="32"/>
  <c r="P2" i="32"/>
  <c r="C56" i="25"/>
  <c r="BO35" i="32" l="1"/>
  <c r="BO18" i="32"/>
  <c r="R122" i="32"/>
  <c r="Q2" i="32"/>
  <c r="E7" i="42"/>
  <c r="E11" i="4" s="1"/>
  <c r="E11" i="19" s="1"/>
  <c r="BP35" i="32" l="1"/>
  <c r="BP18" i="32"/>
  <c r="S122" i="32"/>
  <c r="R2" i="32"/>
  <c r="BQ35" i="32" l="1"/>
  <c r="BQ18" i="32"/>
  <c r="T122" i="32"/>
  <c r="S2" i="32"/>
  <c r="B7" i="42"/>
  <c r="A11" i="4" s="1"/>
  <c r="A11" i="19" s="1"/>
  <c r="BR35" i="32" l="1"/>
  <c r="BR18" i="32"/>
  <c r="U122" i="32"/>
  <c r="T2" i="32"/>
  <c r="BS35" i="32" l="1"/>
  <c r="BS18" i="32"/>
  <c r="V122" i="32"/>
  <c r="U2" i="32"/>
  <c r="BT35" i="32" l="1"/>
  <c r="BT18" i="32"/>
  <c r="W122" i="32"/>
  <c r="V2" i="32"/>
  <c r="BU35" i="32" l="1"/>
  <c r="BU18" i="32"/>
  <c r="X122" i="32"/>
  <c r="W2" i="32"/>
  <c r="BV35" i="32" l="1"/>
  <c r="BV18" i="32"/>
  <c r="Y122" i="32"/>
  <c r="X2" i="32"/>
  <c r="BW35" i="32" l="1"/>
  <c r="BW18" i="32"/>
  <c r="Z122" i="32"/>
  <c r="Y2" i="32"/>
  <c r="BX35" i="32" l="1"/>
  <c r="BX18" i="32"/>
  <c r="AA122" i="32"/>
  <c r="Z2" i="32"/>
  <c r="BY35" i="32" l="1"/>
  <c r="BY18" i="32"/>
  <c r="AB122" i="32"/>
  <c r="AA2" i="32"/>
  <c r="BZ35" i="32" l="1"/>
  <c r="BZ18" i="32"/>
  <c r="AC122" i="32"/>
  <c r="AB2" i="32"/>
  <c r="CA35" i="32" l="1"/>
  <c r="CA18" i="32"/>
  <c r="AD122" i="32"/>
  <c r="AC2" i="32"/>
  <c r="M192" i="34"/>
  <c r="L192" i="34"/>
  <c r="CB35" i="32" l="1"/>
  <c r="CB18" i="32"/>
  <c r="AE122" i="32"/>
  <c r="AD2" i="32"/>
  <c r="CC35" i="32" l="1"/>
  <c r="CC18" i="32"/>
  <c r="AF122" i="32"/>
  <c r="AE2" i="32"/>
  <c r="CD35" i="32" l="1"/>
  <c r="CD18" i="32"/>
  <c r="AG122" i="32"/>
  <c r="AF2" i="32"/>
  <c r="L1712" i="34"/>
  <c r="M1712" i="34"/>
  <c r="L1682" i="34"/>
  <c r="M1682" i="34"/>
  <c r="L1650" i="34"/>
  <c r="M1650" i="34"/>
  <c r="L1402" i="34"/>
  <c r="M1402" i="34"/>
  <c r="L1371" i="34"/>
  <c r="L1370" i="34"/>
  <c r="M1371" i="34"/>
  <c r="M1370" i="34"/>
  <c r="L1092" i="34"/>
  <c r="M1092" i="34"/>
  <c r="L1079" i="34"/>
  <c r="L1078" i="34"/>
  <c r="M1079" i="34"/>
  <c r="M1078" i="34"/>
  <c r="L1063" i="34"/>
  <c r="L1062" i="34"/>
  <c r="L1061" i="34"/>
  <c r="L1060" i="34"/>
  <c r="M1063" i="34"/>
  <c r="M1062" i="34"/>
  <c r="M1061" i="34"/>
  <c r="M1060" i="34"/>
  <c r="O1005" i="34"/>
  <c r="O1004" i="34"/>
  <c r="O1003" i="34"/>
  <c r="O878" i="34"/>
  <c r="L626" i="34"/>
  <c r="M626" i="34"/>
  <c r="L6" i="34"/>
  <c r="M6" i="34"/>
  <c r="O590" i="34"/>
  <c r="O589" i="34"/>
  <c r="O577" i="34"/>
  <c r="O576" i="34"/>
  <c r="O575" i="34"/>
  <c r="O573" i="34"/>
  <c r="O574" i="34"/>
  <c r="O570" i="34"/>
  <c r="O619" i="34"/>
  <c r="O618" i="34"/>
  <c r="O617" i="34"/>
  <c r="O616" i="34"/>
  <c r="O615" i="34"/>
  <c r="O614" i="34"/>
  <c r="O613" i="34"/>
  <c r="J611" i="34"/>
  <c r="O608" i="34"/>
  <c r="O607" i="34"/>
  <c r="O606" i="34"/>
  <c r="O602" i="34"/>
  <c r="O597" i="34"/>
  <c r="O596" i="34"/>
  <c r="O591" i="34"/>
  <c r="O588" i="34"/>
  <c r="O587" i="34"/>
  <c r="O586" i="34"/>
  <c r="O585" i="34"/>
  <c r="O584" i="34"/>
  <c r="O583" i="34"/>
  <c r="O582" i="34"/>
  <c r="O571" i="34"/>
  <c r="O569" i="34"/>
  <c r="O568" i="34"/>
  <c r="O567" i="34"/>
  <c r="O566" i="34"/>
  <c r="O565" i="34"/>
  <c r="O564" i="34"/>
  <c r="O557" i="34"/>
  <c r="O556" i="34"/>
  <c r="O555" i="34"/>
  <c r="O554" i="34"/>
  <c r="O553" i="34"/>
  <c r="O552" i="34"/>
  <c r="O551" i="34"/>
  <c r="J549" i="34"/>
  <c r="O546" i="34"/>
  <c r="O545" i="34"/>
  <c r="O544" i="34"/>
  <c r="O543" i="34"/>
  <c r="O542" i="34"/>
  <c r="O541" i="34"/>
  <c r="O540" i="34"/>
  <c r="O535" i="34"/>
  <c r="O534" i="34"/>
  <c r="O529" i="34"/>
  <c r="O528" i="34"/>
  <c r="O527" i="34"/>
  <c r="O526" i="34"/>
  <c r="O525" i="34"/>
  <c r="O524" i="34"/>
  <c r="O523" i="34"/>
  <c r="O522" i="34"/>
  <c r="O521" i="34"/>
  <c r="O520" i="34"/>
  <c r="O495" i="34"/>
  <c r="O494" i="34"/>
  <c r="O493" i="34"/>
  <c r="O492" i="34"/>
  <c r="O491" i="34"/>
  <c r="O490" i="34"/>
  <c r="O489" i="34"/>
  <c r="J487" i="34"/>
  <c r="O484" i="34"/>
  <c r="O483" i="34"/>
  <c r="O482" i="34"/>
  <c r="O478" i="34"/>
  <c r="O473" i="34"/>
  <c r="O472" i="34"/>
  <c r="O467" i="34"/>
  <c r="O466" i="34"/>
  <c r="O465" i="34"/>
  <c r="O464" i="34"/>
  <c r="O463" i="34"/>
  <c r="O462" i="34"/>
  <c r="O461" i="34"/>
  <c r="O460" i="34"/>
  <c r="O459" i="34"/>
  <c r="O458" i="34"/>
  <c r="O433" i="34"/>
  <c r="O432" i="34"/>
  <c r="O431" i="34"/>
  <c r="O430" i="34"/>
  <c r="O429" i="34"/>
  <c r="O428" i="34"/>
  <c r="O427" i="34"/>
  <c r="J425" i="34"/>
  <c r="O422" i="34"/>
  <c r="O421" i="34"/>
  <c r="O420" i="34"/>
  <c r="O416" i="34"/>
  <c r="O411" i="34"/>
  <c r="O410" i="34"/>
  <c r="O405" i="34"/>
  <c r="O404" i="34"/>
  <c r="O403" i="34"/>
  <c r="O402" i="34"/>
  <c r="O401" i="34"/>
  <c r="O400" i="34"/>
  <c r="M399" i="34"/>
  <c r="O399" i="34" s="1"/>
  <c r="L399" i="34"/>
  <c r="M398" i="34"/>
  <c r="O398" i="34" s="1"/>
  <c r="L398" i="34"/>
  <c r="M397" i="34"/>
  <c r="O397" i="34" s="1"/>
  <c r="L397" i="34"/>
  <c r="M396" i="34"/>
  <c r="O396" i="34" s="1"/>
  <c r="L396" i="34"/>
  <c r="CE35" i="32" l="1"/>
  <c r="CE18" i="32"/>
  <c r="AH122" i="32"/>
  <c r="AG2" i="32"/>
  <c r="O412" i="34"/>
  <c r="O598" i="34"/>
  <c r="O474" i="34"/>
  <c r="O536" i="34"/>
  <c r="O468" i="34"/>
  <c r="O547" i="34"/>
  <c r="O578" i="34"/>
  <c r="O609" i="34"/>
  <c r="O592" i="34"/>
  <c r="O530" i="34"/>
  <c r="O516" i="34"/>
  <c r="O406" i="34"/>
  <c r="O454" i="34"/>
  <c r="O485" i="34"/>
  <c r="O392" i="34"/>
  <c r="O423" i="34"/>
  <c r="CF35" i="32" l="1"/>
  <c r="CF18" i="32"/>
  <c r="AI122" i="32"/>
  <c r="AH2" i="32"/>
  <c r="CG35" i="32" l="1"/>
  <c r="CG18" i="32"/>
  <c r="AJ122" i="32"/>
  <c r="AI2" i="32"/>
  <c r="L242" i="34"/>
  <c r="L241" i="34"/>
  <c r="L230" i="34"/>
  <c r="L214" i="34"/>
  <c r="L213" i="34"/>
  <c r="L212" i="34"/>
  <c r="L211" i="34"/>
  <c r="L210" i="34"/>
  <c r="O371" i="34"/>
  <c r="O370" i="34"/>
  <c r="O369" i="34"/>
  <c r="O368" i="34"/>
  <c r="O367" i="34"/>
  <c r="O366" i="34"/>
  <c r="O365" i="34"/>
  <c r="J363" i="34"/>
  <c r="O360" i="34"/>
  <c r="O359" i="34"/>
  <c r="O358" i="34"/>
  <c r="O357" i="34"/>
  <c r="O356" i="34"/>
  <c r="O355" i="34"/>
  <c r="O354" i="34"/>
  <c r="O349" i="34"/>
  <c r="O348" i="34"/>
  <c r="O343" i="34"/>
  <c r="O342" i="34"/>
  <c r="O341" i="34"/>
  <c r="O340" i="34"/>
  <c r="O339" i="34"/>
  <c r="O338" i="34"/>
  <c r="O337" i="34"/>
  <c r="O336" i="34"/>
  <c r="O335" i="34"/>
  <c r="O334" i="34"/>
  <c r="O329" i="34"/>
  <c r="O328" i="34"/>
  <c r="O327" i="34"/>
  <c r="O326" i="34"/>
  <c r="O325" i="34"/>
  <c r="O324" i="34"/>
  <c r="O323" i="34"/>
  <c r="O322" i="34"/>
  <c r="O321" i="34"/>
  <c r="O320" i="34"/>
  <c r="O319" i="34"/>
  <c r="O318" i="34"/>
  <c r="O317" i="34"/>
  <c r="O316" i="34"/>
  <c r="O309" i="34"/>
  <c r="O308" i="34"/>
  <c r="O307" i="34"/>
  <c r="O306" i="34"/>
  <c r="O305" i="34"/>
  <c r="O304" i="34"/>
  <c r="O303" i="34"/>
  <c r="J301" i="34"/>
  <c r="O298" i="34"/>
  <c r="O297" i="34"/>
  <c r="O296" i="34"/>
  <c r="O292" i="34"/>
  <c r="O287" i="34"/>
  <c r="O286" i="34"/>
  <c r="O281" i="34"/>
  <c r="O280" i="34"/>
  <c r="O279" i="34"/>
  <c r="O278" i="34"/>
  <c r="O277" i="34"/>
  <c r="O276" i="34"/>
  <c r="O275" i="34"/>
  <c r="O274" i="34"/>
  <c r="O273" i="34"/>
  <c r="O272" i="34"/>
  <c r="CH35" i="32" l="1"/>
  <c r="CH18" i="32"/>
  <c r="AK122" i="32"/>
  <c r="AJ2" i="32"/>
  <c r="O288" i="34"/>
  <c r="O350" i="34"/>
  <c r="O282" i="34"/>
  <c r="O299" i="34"/>
  <c r="O361" i="34"/>
  <c r="O344" i="34"/>
  <c r="O330" i="34"/>
  <c r="O268" i="34"/>
  <c r="M242" i="34"/>
  <c r="M241" i="34"/>
  <c r="M230" i="34"/>
  <c r="M214" i="34"/>
  <c r="M213" i="34"/>
  <c r="M212" i="34"/>
  <c r="M211" i="34"/>
  <c r="M210" i="34"/>
  <c r="CI35" i="32" l="1"/>
  <c r="CI18" i="32"/>
  <c r="AL122" i="32"/>
  <c r="AK2" i="32"/>
  <c r="CJ35" i="32" l="1"/>
  <c r="CJ18" i="32"/>
  <c r="AM122" i="32"/>
  <c r="AL2" i="32"/>
  <c r="CK35" i="32" l="1"/>
  <c r="CK18" i="32"/>
  <c r="AN122" i="32"/>
  <c r="AM2" i="32"/>
  <c r="F63" i="38"/>
  <c r="F62" i="38"/>
  <c r="F61" i="38"/>
  <c r="F60" i="38"/>
  <c r="AF62" i="39"/>
  <c r="V62" i="39"/>
  <c r="Y12" i="39"/>
  <c r="AL11" i="39"/>
  <c r="AJ11" i="39"/>
  <c r="AI11" i="39"/>
  <c r="I7" i="39"/>
  <c r="CL35" i="32" l="1"/>
  <c r="CL18" i="32"/>
  <c r="CL112" i="32"/>
  <c r="CL114" i="32"/>
  <c r="CL106" i="32"/>
  <c r="CL95" i="32"/>
  <c r="CL83" i="32"/>
  <c r="CL75" i="32"/>
  <c r="CL67" i="32"/>
  <c r="CL116" i="32"/>
  <c r="CL104" i="32"/>
  <c r="CL87" i="32"/>
  <c r="CL72" i="32"/>
  <c r="CL66" i="32"/>
  <c r="CL111" i="32"/>
  <c r="CL96" i="32"/>
  <c r="CL118" i="32"/>
  <c r="CL113" i="32"/>
  <c r="CL108" i="32"/>
  <c r="CL102" i="32"/>
  <c r="CL85" i="32"/>
  <c r="CL81" i="32"/>
  <c r="CL70" i="32"/>
  <c r="CL60" i="32"/>
  <c r="CL52" i="32"/>
  <c r="CL39" i="32"/>
  <c r="CL26" i="32"/>
  <c r="CL15" i="32"/>
  <c r="CL5" i="32"/>
  <c r="CL105" i="32"/>
  <c r="CL103" i="32"/>
  <c r="CL97" i="32"/>
  <c r="CL117" i="32"/>
  <c r="CL80" i="32"/>
  <c r="CL88" i="32"/>
  <c r="CL61" i="32"/>
  <c r="CL59" i="32"/>
  <c r="CL45" i="32"/>
  <c r="CL101" i="32"/>
  <c r="CL79" i="32"/>
  <c r="CL86" i="32"/>
  <c r="CL73" i="32"/>
  <c r="CL71" i="32"/>
  <c r="CL64" i="32"/>
  <c r="CL57" i="32"/>
  <c r="CL28" i="32"/>
  <c r="CL24" i="32"/>
  <c r="CL110" i="32"/>
  <c r="CL89" i="32"/>
  <c r="CL76" i="32"/>
  <c r="CL54" i="32"/>
  <c r="CL42" i="32"/>
  <c r="CL38" i="32"/>
  <c r="CL20" i="32"/>
  <c r="CL6" i="32"/>
  <c r="CL107" i="32"/>
  <c r="CL91" i="32"/>
  <c r="CL44" i="32"/>
  <c r="CL115" i="32"/>
  <c r="CL69" i="32"/>
  <c r="CL43" i="32"/>
  <c r="CL33" i="32"/>
  <c r="CL77" i="32"/>
  <c r="CL55" i="32"/>
  <c r="CL30" i="32"/>
  <c r="CL19" i="32"/>
  <c r="CL11" i="32"/>
  <c r="CL51" i="32"/>
  <c r="CL37" i="32"/>
  <c r="CL23" i="32"/>
  <c r="CL13" i="32"/>
  <c r="CL4" i="32"/>
  <c r="CL78" i="32"/>
  <c r="CL68" i="32"/>
  <c r="CL48" i="32"/>
  <c r="CL46" i="32"/>
  <c r="CL34" i="32"/>
  <c r="CL17" i="32"/>
  <c r="CL58" i="32"/>
  <c r="CL62" i="32"/>
  <c r="CL12" i="32"/>
  <c r="CL90" i="32"/>
  <c r="CL65" i="32"/>
  <c r="CL82" i="32"/>
  <c r="CL9" i="32"/>
  <c r="CL56" i="32"/>
  <c r="CL74" i="32"/>
  <c r="CL53" i="32"/>
  <c r="CL31" i="32"/>
  <c r="CL16" i="32"/>
  <c r="CL10" i="32"/>
  <c r="CL109" i="32"/>
  <c r="CL25" i="32"/>
  <c r="CL2" i="32"/>
  <c r="CL14" i="32"/>
  <c r="CL63" i="32"/>
  <c r="AO122" i="32"/>
  <c r="AN2" i="32"/>
  <c r="C6" i="37"/>
  <c r="CM35" i="32" l="1"/>
  <c r="CM18" i="32"/>
  <c r="CM113" i="32"/>
  <c r="CM105" i="32"/>
  <c r="CM115" i="32"/>
  <c r="CM107" i="32"/>
  <c r="CM96" i="32"/>
  <c r="CM85" i="32"/>
  <c r="CM76" i="32"/>
  <c r="CM68" i="32"/>
  <c r="CM111" i="32"/>
  <c r="CM106" i="32"/>
  <c r="CM90" i="32"/>
  <c r="CM78" i="32"/>
  <c r="CM75" i="32"/>
  <c r="CM118" i="32"/>
  <c r="CM108" i="32"/>
  <c r="CM102" i="32"/>
  <c r="CM88" i="32"/>
  <c r="CM73" i="32"/>
  <c r="CM61" i="32"/>
  <c r="CM53" i="32"/>
  <c r="CM42" i="32"/>
  <c r="CM28" i="32"/>
  <c r="CM16" i="32"/>
  <c r="CM6" i="32"/>
  <c r="CM104" i="32"/>
  <c r="CM101" i="32"/>
  <c r="CM110" i="32"/>
  <c r="CM109" i="32"/>
  <c r="CM89" i="32"/>
  <c r="CM79" i="32"/>
  <c r="CM83" i="32"/>
  <c r="CM74" i="32"/>
  <c r="CM66" i="32"/>
  <c r="CM54" i="32"/>
  <c r="CM51" i="32"/>
  <c r="CM116" i="32"/>
  <c r="CM114" i="32"/>
  <c r="CM97" i="32"/>
  <c r="CM87" i="32"/>
  <c r="CM72" i="32"/>
  <c r="CM70" i="32"/>
  <c r="CM69" i="32"/>
  <c r="CM63" i="32"/>
  <c r="CM48" i="32"/>
  <c r="CM33" i="32"/>
  <c r="CM91" i="32"/>
  <c r="CM77" i="32"/>
  <c r="CM67" i="32"/>
  <c r="CM62" i="32"/>
  <c r="CM44" i="32"/>
  <c r="CM30" i="32"/>
  <c r="CM25" i="32"/>
  <c r="CM11" i="32"/>
  <c r="CM45" i="32"/>
  <c r="CM43" i="32"/>
  <c r="CM81" i="32"/>
  <c r="CM60" i="32"/>
  <c r="CM59" i="32"/>
  <c r="CM58" i="32"/>
  <c r="CM117" i="32"/>
  <c r="CM95" i="32"/>
  <c r="CM82" i="32"/>
  <c r="CM71" i="32"/>
  <c r="CM65" i="32"/>
  <c r="CM64" i="32"/>
  <c r="CM24" i="32"/>
  <c r="CM80" i="32"/>
  <c r="CM46" i="32"/>
  <c r="CM34" i="32"/>
  <c r="CM17" i="32"/>
  <c r="CM15" i="32"/>
  <c r="CM86" i="32"/>
  <c r="CM10" i="32"/>
  <c r="CM103" i="32"/>
  <c r="CM57" i="32"/>
  <c r="CM23" i="32"/>
  <c r="CM12" i="32"/>
  <c r="CM112" i="32"/>
  <c r="CM52" i="32"/>
  <c r="CM2" i="32"/>
  <c r="CM56" i="32"/>
  <c r="CM37" i="32"/>
  <c r="CM31" i="32"/>
  <c r="CM20" i="32"/>
  <c r="CM13" i="32"/>
  <c r="CM26" i="32"/>
  <c r="CM38" i="32"/>
  <c r="CM19" i="32"/>
  <c r="CM9" i="32"/>
  <c r="CM4" i="32"/>
  <c r="CM5" i="32"/>
  <c r="CM55" i="32"/>
  <c r="CM39" i="32"/>
  <c r="CM14" i="32"/>
  <c r="AP122" i="32"/>
  <c r="AO2" i="32"/>
  <c r="CN35" i="32" l="1"/>
  <c r="CN18" i="32"/>
  <c r="CN114" i="32"/>
  <c r="CN106" i="32"/>
  <c r="CN116" i="32"/>
  <c r="CN108" i="32"/>
  <c r="CN97" i="32"/>
  <c r="CN86" i="32"/>
  <c r="CN77" i="32"/>
  <c r="CN69" i="32"/>
  <c r="CN118" i="32"/>
  <c r="CN102" i="32"/>
  <c r="CN96" i="32"/>
  <c r="CN81" i="32"/>
  <c r="CN70" i="32"/>
  <c r="CN67" i="32"/>
  <c r="CN60" i="32"/>
  <c r="CN113" i="32"/>
  <c r="CN115" i="32"/>
  <c r="CN110" i="32"/>
  <c r="CN91" i="32"/>
  <c r="CN79" i="32"/>
  <c r="CN76" i="32"/>
  <c r="CN62" i="32"/>
  <c r="CN54" i="32"/>
  <c r="CN43" i="32"/>
  <c r="CN30" i="32"/>
  <c r="CN17" i="32"/>
  <c r="CN9" i="32"/>
  <c r="CN75" i="32"/>
  <c r="CN112" i="32"/>
  <c r="CN111" i="32"/>
  <c r="CN103" i="32"/>
  <c r="CN82" i="32"/>
  <c r="CN78" i="32"/>
  <c r="CN63" i="32"/>
  <c r="CN57" i="32"/>
  <c r="CN104" i="32"/>
  <c r="CN95" i="32"/>
  <c r="CN80" i="32"/>
  <c r="CN88" i="32"/>
  <c r="CN74" i="32"/>
  <c r="CN68" i="32"/>
  <c r="CN59" i="32"/>
  <c r="CN52" i="32"/>
  <c r="CN38" i="32"/>
  <c r="CN117" i="32"/>
  <c r="CN90" i="32"/>
  <c r="CN56" i="32"/>
  <c r="CN46" i="32"/>
  <c r="CN34" i="32"/>
  <c r="CN14" i="32"/>
  <c r="CN83" i="32"/>
  <c r="CN73" i="32"/>
  <c r="CN58" i="32"/>
  <c r="CN101" i="32"/>
  <c r="CN89" i="32"/>
  <c r="CN61" i="32"/>
  <c r="CN42" i="32"/>
  <c r="CN39" i="32"/>
  <c r="CN85" i="32"/>
  <c r="CN66" i="32"/>
  <c r="CN53" i="32"/>
  <c r="CN37" i="32"/>
  <c r="CN23" i="32"/>
  <c r="CN13" i="32"/>
  <c r="CN4" i="32"/>
  <c r="CN105" i="32"/>
  <c r="CN72" i="32"/>
  <c r="CN48" i="32"/>
  <c r="CN28" i="32"/>
  <c r="CN10" i="32"/>
  <c r="CN6" i="32"/>
  <c r="CN107" i="32"/>
  <c r="CN45" i="32"/>
  <c r="CN44" i="32"/>
  <c r="CN26" i="32"/>
  <c r="CN20" i="32"/>
  <c r="CN12" i="32"/>
  <c r="CN2" i="32"/>
  <c r="CN33" i="32"/>
  <c r="CN11" i="32"/>
  <c r="CN65" i="32"/>
  <c r="CN71" i="32"/>
  <c r="CN16" i="32"/>
  <c r="CN5" i="32"/>
  <c r="CN19" i="32"/>
  <c r="CN15" i="32"/>
  <c r="CN24" i="32"/>
  <c r="CN109" i="32"/>
  <c r="CN55" i="32"/>
  <c r="CN25" i="32"/>
  <c r="CN64" i="32"/>
  <c r="CN51" i="32"/>
  <c r="CN87" i="32"/>
  <c r="AQ122" i="32"/>
  <c r="AP2" i="32"/>
  <c r="CO35" i="32" s="1"/>
  <c r="CO115" i="32" l="1"/>
  <c r="CO107" i="32"/>
  <c r="CO117" i="32"/>
  <c r="CO109" i="32"/>
  <c r="CO101" i="32"/>
  <c r="CO87" i="32"/>
  <c r="CO78" i="32"/>
  <c r="CO70" i="32"/>
  <c r="CO113" i="32"/>
  <c r="CO108" i="32"/>
  <c r="CO88" i="32"/>
  <c r="CO85" i="32"/>
  <c r="CO73" i="32"/>
  <c r="CO61" i="32"/>
  <c r="CO110" i="32"/>
  <c r="CO91" i="32"/>
  <c r="CO105" i="32"/>
  <c r="CO103" i="32"/>
  <c r="CO97" i="32"/>
  <c r="CO82" i="32"/>
  <c r="CO71" i="32"/>
  <c r="CO68" i="32"/>
  <c r="CO63" i="32"/>
  <c r="CO55" i="32"/>
  <c r="CO44" i="32"/>
  <c r="CO19" i="32"/>
  <c r="CO10" i="32"/>
  <c r="CO114" i="32"/>
  <c r="CO118" i="32"/>
  <c r="CO83" i="32"/>
  <c r="CO74" i="32"/>
  <c r="CO104" i="32"/>
  <c r="CO69" i="32"/>
  <c r="CO46" i="32"/>
  <c r="CO43" i="32"/>
  <c r="CO81" i="32"/>
  <c r="CO112" i="32"/>
  <c r="CO89" i="32"/>
  <c r="CO42" i="32"/>
  <c r="CO25" i="32"/>
  <c r="CO66" i="32"/>
  <c r="CO58" i="32"/>
  <c r="CO23" i="32"/>
  <c r="CO17" i="32"/>
  <c r="CO4" i="32"/>
  <c r="CO96" i="32"/>
  <c r="CO76" i="32"/>
  <c r="CO60" i="32"/>
  <c r="CO59" i="32"/>
  <c r="CO39" i="32"/>
  <c r="CO62" i="32"/>
  <c r="CO57" i="32"/>
  <c r="CO56" i="32"/>
  <c r="CO111" i="32"/>
  <c r="CO90" i="32"/>
  <c r="CO52" i="32"/>
  <c r="CO51" i="32"/>
  <c r="CO15" i="32"/>
  <c r="CO102" i="32"/>
  <c r="CO86" i="32"/>
  <c r="CO45" i="32"/>
  <c r="CO26" i="32"/>
  <c r="CO20" i="32"/>
  <c r="CO12" i="32"/>
  <c r="CO2" i="32"/>
  <c r="CO116" i="32"/>
  <c r="CO33" i="32"/>
  <c r="CO106" i="32"/>
  <c r="CO53" i="32"/>
  <c r="CO72" i="32"/>
  <c r="CO65" i="32"/>
  <c r="CO80" i="32"/>
  <c r="CO37" i="32"/>
  <c r="CO30" i="32"/>
  <c r="CO24" i="32"/>
  <c r="CO14" i="32"/>
  <c r="CO13" i="32"/>
  <c r="CO79" i="32"/>
  <c r="CO75" i="32"/>
  <c r="CO95" i="32"/>
  <c r="CO16" i="32"/>
  <c r="CO5" i="32"/>
  <c r="CO48" i="32"/>
  <c r="CO38" i="32"/>
  <c r="CO9" i="32"/>
  <c r="CO67" i="32"/>
  <c r="CO64" i="32"/>
  <c r="CO28" i="32"/>
  <c r="CO77" i="32"/>
  <c r="CO54" i="32"/>
  <c r="CO34" i="32"/>
  <c r="CO11" i="32"/>
  <c r="CO6" i="32"/>
  <c r="AR122" i="32"/>
  <c r="AQ2" i="32"/>
  <c r="A17" i="32"/>
  <c r="A16" i="32"/>
  <c r="A15" i="32"/>
  <c r="A14" i="32"/>
  <c r="CP35" i="32" l="1"/>
  <c r="CP18" i="32"/>
  <c r="C12" i="19"/>
  <c r="C8" i="42"/>
  <c r="C12" i="4" s="1"/>
  <c r="A19" i="32"/>
  <c r="B8" i="42"/>
  <c r="CP116" i="32"/>
  <c r="CP108" i="32"/>
  <c r="CP118" i="32"/>
  <c r="CP110" i="32"/>
  <c r="CP102" i="32"/>
  <c r="CP88" i="32"/>
  <c r="CP79" i="32"/>
  <c r="CP71" i="32"/>
  <c r="CP91" i="32"/>
  <c r="CP76" i="32"/>
  <c r="CP62" i="32"/>
  <c r="CP115" i="32"/>
  <c r="CP105" i="32"/>
  <c r="CP103" i="32"/>
  <c r="CP97" i="32"/>
  <c r="CP117" i="32"/>
  <c r="CP112" i="32"/>
  <c r="CP89" i="32"/>
  <c r="CP86" i="32"/>
  <c r="CP74" i="32"/>
  <c r="CP64" i="32"/>
  <c r="CP56" i="32"/>
  <c r="CP45" i="32"/>
  <c r="CP33" i="32"/>
  <c r="CP20" i="32"/>
  <c r="CP11" i="32"/>
  <c r="CP107" i="32"/>
  <c r="CP106" i="32"/>
  <c r="CP111" i="32"/>
  <c r="CP101" i="32"/>
  <c r="CP95" i="32"/>
  <c r="CP87" i="32"/>
  <c r="CP77" i="32"/>
  <c r="CP73" i="32"/>
  <c r="CP65" i="32"/>
  <c r="CP52" i="32"/>
  <c r="CP113" i="32"/>
  <c r="CP82" i="32"/>
  <c r="CP90" i="32"/>
  <c r="CP75" i="32"/>
  <c r="CP67" i="32"/>
  <c r="CP54" i="32"/>
  <c r="CP44" i="32"/>
  <c r="CP34" i="32"/>
  <c r="CP30" i="32"/>
  <c r="CP80" i="32"/>
  <c r="CP78" i="32"/>
  <c r="CP51" i="32"/>
  <c r="CP39" i="32"/>
  <c r="CP26" i="32"/>
  <c r="CP12" i="32"/>
  <c r="CP9" i="32"/>
  <c r="CP81" i="32"/>
  <c r="CP69" i="32"/>
  <c r="CP61" i="32"/>
  <c r="CP57" i="32"/>
  <c r="CP109" i="32"/>
  <c r="CP55" i="32"/>
  <c r="CP38" i="32"/>
  <c r="CP114" i="32"/>
  <c r="CP72" i="32"/>
  <c r="CP48" i="32"/>
  <c r="CP28" i="32"/>
  <c r="CP6" i="32"/>
  <c r="CP68" i="32"/>
  <c r="CP104" i="32"/>
  <c r="CP96" i="32"/>
  <c r="CP83" i="32"/>
  <c r="CP60" i="32"/>
  <c r="CP59" i="32"/>
  <c r="CP58" i="32"/>
  <c r="CP43" i="32"/>
  <c r="CP14" i="32"/>
  <c r="CP5" i="32"/>
  <c r="CP42" i="32"/>
  <c r="CP31" i="32"/>
  <c r="CP37" i="32"/>
  <c r="CP24" i="32"/>
  <c r="CP13" i="32"/>
  <c r="CP2" i="32"/>
  <c r="CP85" i="32"/>
  <c r="CP66" i="32"/>
  <c r="CP25" i="32"/>
  <c r="CP10" i="32"/>
  <c r="CP53" i="32"/>
  <c r="CP4" i="32"/>
  <c r="CP46" i="32"/>
  <c r="CP16" i="32"/>
  <c r="CP70" i="32"/>
  <c r="CP17" i="32"/>
  <c r="CP63" i="32"/>
  <c r="CP23" i="32"/>
  <c r="CP19" i="32"/>
  <c r="CP15" i="32"/>
  <c r="AS122" i="32"/>
  <c r="AR2" i="32"/>
  <c r="A12" i="19" l="1"/>
  <c r="A12" i="4"/>
  <c r="CQ35" i="32"/>
  <c r="CQ18" i="32"/>
  <c r="CQ117" i="32"/>
  <c r="CQ109" i="32"/>
  <c r="CQ111" i="32"/>
  <c r="CQ103" i="32"/>
  <c r="CQ89" i="32"/>
  <c r="CQ80" i="32"/>
  <c r="CQ72" i="32"/>
  <c r="CQ115" i="32"/>
  <c r="CQ110" i="32"/>
  <c r="CQ105" i="32"/>
  <c r="CQ97" i="32"/>
  <c r="CQ82" i="32"/>
  <c r="CQ79" i="32"/>
  <c r="CQ68" i="32"/>
  <c r="CQ63" i="32"/>
  <c r="CQ112" i="32"/>
  <c r="CQ107" i="32"/>
  <c r="CQ95" i="32"/>
  <c r="CQ77" i="32"/>
  <c r="CQ65" i="32"/>
  <c r="CQ57" i="32"/>
  <c r="CQ46" i="32"/>
  <c r="CQ34" i="32"/>
  <c r="CQ23" i="32"/>
  <c r="CQ12" i="32"/>
  <c r="CQ2" i="32"/>
  <c r="CQ104" i="32"/>
  <c r="CQ88" i="32"/>
  <c r="CQ78" i="32"/>
  <c r="CQ114" i="32"/>
  <c r="CQ113" i="32"/>
  <c r="CQ102" i="32"/>
  <c r="CQ96" i="32"/>
  <c r="CQ81" i="32"/>
  <c r="CQ60" i="32"/>
  <c r="CQ58" i="32"/>
  <c r="CQ55" i="32"/>
  <c r="CQ39" i="32"/>
  <c r="CQ83" i="32"/>
  <c r="CQ76" i="32"/>
  <c r="CQ66" i="32"/>
  <c r="CQ62" i="32"/>
  <c r="CQ56" i="32"/>
  <c r="CQ108" i="32"/>
  <c r="CQ106" i="32"/>
  <c r="CQ101" i="32"/>
  <c r="CQ61" i="32"/>
  <c r="CQ53" i="32"/>
  <c r="CQ37" i="32"/>
  <c r="CQ31" i="32"/>
  <c r="CQ15" i="32"/>
  <c r="CQ38" i="32"/>
  <c r="CQ118" i="32"/>
  <c r="CQ87" i="32"/>
  <c r="CQ70" i="32"/>
  <c r="CQ64" i="32"/>
  <c r="CQ75" i="32"/>
  <c r="CQ67" i="32"/>
  <c r="CQ17" i="32"/>
  <c r="CQ10" i="32"/>
  <c r="CQ116" i="32"/>
  <c r="CQ59" i="32"/>
  <c r="CQ44" i="32"/>
  <c r="CQ43" i="32"/>
  <c r="CQ33" i="32"/>
  <c r="CQ14" i="32"/>
  <c r="CQ5" i="32"/>
  <c r="CQ91" i="32"/>
  <c r="CQ73" i="32"/>
  <c r="CQ69" i="32"/>
  <c r="CQ42" i="32"/>
  <c r="CQ25" i="32"/>
  <c r="CQ16" i="32"/>
  <c r="CQ86" i="32"/>
  <c r="CQ52" i="32"/>
  <c r="CQ30" i="32"/>
  <c r="CQ90" i="32"/>
  <c r="CQ85" i="32"/>
  <c r="CQ71" i="32"/>
  <c r="CQ54" i="32"/>
  <c r="CQ20" i="32"/>
  <c r="CQ13" i="32"/>
  <c r="CQ28" i="32"/>
  <c r="CQ24" i="32"/>
  <c r="CQ51" i="32"/>
  <c r="CQ45" i="32"/>
  <c r="CQ11" i="32"/>
  <c r="CQ6" i="32"/>
  <c r="CQ19" i="32"/>
  <c r="CQ48" i="32"/>
  <c r="CQ26" i="32"/>
  <c r="CQ9" i="32"/>
  <c r="CQ4" i="32"/>
  <c r="CQ74" i="32"/>
  <c r="AT122" i="32"/>
  <c r="AS2" i="32"/>
  <c r="E56" i="25"/>
  <c r="CR35" i="32" l="1"/>
  <c r="CR18" i="32"/>
  <c r="CR118" i="32"/>
  <c r="CR110" i="32"/>
  <c r="CR112" i="32"/>
  <c r="CR104" i="32"/>
  <c r="CR90" i="32"/>
  <c r="CR81" i="32"/>
  <c r="CR73" i="32"/>
  <c r="CR103" i="32"/>
  <c r="CR86" i="32"/>
  <c r="CR74" i="32"/>
  <c r="CR71" i="32"/>
  <c r="CR64" i="32"/>
  <c r="CR117" i="32"/>
  <c r="CR107" i="32"/>
  <c r="CR95" i="32"/>
  <c r="CR114" i="32"/>
  <c r="CR101" i="32"/>
  <c r="CR83" i="32"/>
  <c r="CR80" i="32"/>
  <c r="CR69" i="32"/>
  <c r="CR66" i="32"/>
  <c r="CR58" i="32"/>
  <c r="CR48" i="32"/>
  <c r="CR37" i="32"/>
  <c r="CR24" i="32"/>
  <c r="CR13" i="32"/>
  <c r="CR116" i="32"/>
  <c r="CR115" i="32"/>
  <c r="CR87" i="32"/>
  <c r="CR82" i="32"/>
  <c r="CR106" i="32"/>
  <c r="CR105" i="32"/>
  <c r="CR97" i="32"/>
  <c r="CR91" i="32"/>
  <c r="CR72" i="32"/>
  <c r="CR68" i="32"/>
  <c r="CR44" i="32"/>
  <c r="CR111" i="32"/>
  <c r="CR109" i="32"/>
  <c r="CR96" i="32"/>
  <c r="CR85" i="32"/>
  <c r="CR77" i="32"/>
  <c r="CR51" i="32"/>
  <c r="CR46" i="32"/>
  <c r="CR26" i="32"/>
  <c r="CR23" i="32"/>
  <c r="CR79" i="32"/>
  <c r="CR65" i="32"/>
  <c r="CR43" i="32"/>
  <c r="CR19" i="32"/>
  <c r="CR5" i="32"/>
  <c r="CR89" i="32"/>
  <c r="CR70" i="32"/>
  <c r="CR62" i="32"/>
  <c r="CR56" i="32"/>
  <c r="CR55" i="32"/>
  <c r="CR63" i="32"/>
  <c r="CR54" i="32"/>
  <c r="CR53" i="32"/>
  <c r="CR108" i="32"/>
  <c r="CR45" i="32"/>
  <c r="CR34" i="32"/>
  <c r="CR20" i="32"/>
  <c r="CR2" i="32"/>
  <c r="CR113" i="32"/>
  <c r="CR78" i="32"/>
  <c r="CR60" i="32"/>
  <c r="CR42" i="32"/>
  <c r="CR25" i="32"/>
  <c r="CR16" i="32"/>
  <c r="CR76" i="32"/>
  <c r="CR61" i="32"/>
  <c r="CR57" i="32"/>
  <c r="CR39" i="32"/>
  <c r="CR38" i="32"/>
  <c r="CR31" i="32"/>
  <c r="CR9" i="32"/>
  <c r="CR88" i="32"/>
  <c r="CR33" i="32"/>
  <c r="CR14" i="32"/>
  <c r="CR102" i="32"/>
  <c r="CR75" i="32"/>
  <c r="CR59" i="32"/>
  <c r="CR15" i="32"/>
  <c r="CR4" i="32"/>
  <c r="CR52" i="32"/>
  <c r="CR28" i="32"/>
  <c r="CR10" i="32"/>
  <c r="CR67" i="32"/>
  <c r="CR12" i="32"/>
  <c r="CR17" i="32"/>
  <c r="CR11" i="32"/>
  <c r="CR6" i="32"/>
  <c r="CR30" i="32"/>
  <c r="AT2" i="32"/>
  <c r="AU122" i="32"/>
  <c r="F56" i="25"/>
  <c r="CS35" i="32" l="1"/>
  <c r="CS18" i="32"/>
  <c r="AU2" i="32"/>
  <c r="AV122" i="32"/>
  <c r="CS111" i="32"/>
  <c r="CS113" i="32"/>
  <c r="CS105" i="32"/>
  <c r="CS91" i="32"/>
  <c r="CS82" i="32"/>
  <c r="CS74" i="32"/>
  <c r="CS117" i="32"/>
  <c r="CS112" i="32"/>
  <c r="CS107" i="32"/>
  <c r="CS95" i="32"/>
  <c r="CS89" i="32"/>
  <c r="CS77" i="32"/>
  <c r="CS65" i="32"/>
  <c r="CS114" i="32"/>
  <c r="CS101" i="32"/>
  <c r="CS109" i="32"/>
  <c r="CS104" i="32"/>
  <c r="CS87" i="32"/>
  <c r="CS75" i="32"/>
  <c r="CS72" i="32"/>
  <c r="CS59" i="32"/>
  <c r="CS51" i="32"/>
  <c r="CS38" i="32"/>
  <c r="CS25" i="32"/>
  <c r="CS14" i="32"/>
  <c r="CS4" i="32"/>
  <c r="CS108" i="32"/>
  <c r="CS102" i="32"/>
  <c r="CS96" i="32"/>
  <c r="CS73" i="32"/>
  <c r="CS90" i="32"/>
  <c r="CS86" i="32"/>
  <c r="CS76" i="32"/>
  <c r="CS67" i="32"/>
  <c r="CS62" i="32"/>
  <c r="CS53" i="32"/>
  <c r="CS48" i="32"/>
  <c r="CS103" i="32"/>
  <c r="CS78" i="32"/>
  <c r="CS61" i="32"/>
  <c r="CS58" i="32"/>
  <c r="CS39" i="32"/>
  <c r="CS31" i="32"/>
  <c r="CS115" i="32"/>
  <c r="CS81" i="32"/>
  <c r="CS60" i="32"/>
  <c r="CS55" i="32"/>
  <c r="CS45" i="32"/>
  <c r="CS28" i="32"/>
  <c r="CS24" i="32"/>
  <c r="CS10" i="32"/>
  <c r="CS118" i="32"/>
  <c r="CS64" i="32"/>
  <c r="CS63" i="32"/>
  <c r="CS54" i="32"/>
  <c r="CS106" i="32"/>
  <c r="CS85" i="32"/>
  <c r="CS79" i="32"/>
  <c r="CS71" i="32"/>
  <c r="CS52" i="32"/>
  <c r="CS37" i="32"/>
  <c r="CS97" i="32"/>
  <c r="CS88" i="32"/>
  <c r="CS80" i="32"/>
  <c r="CS46" i="32"/>
  <c r="CS33" i="32"/>
  <c r="CS26" i="32"/>
  <c r="CS12" i="32"/>
  <c r="CS116" i="32"/>
  <c r="CS83" i="32"/>
  <c r="CS69" i="32"/>
  <c r="CS57" i="32"/>
  <c r="CS9" i="32"/>
  <c r="CS110" i="32"/>
  <c r="CS70" i="32"/>
  <c r="CS56" i="32"/>
  <c r="CS19" i="32"/>
  <c r="CS11" i="32"/>
  <c r="CS30" i="32"/>
  <c r="CS66" i="32"/>
  <c r="CS44" i="32"/>
  <c r="CS15" i="32"/>
  <c r="CS68" i="32"/>
  <c r="CS16" i="32"/>
  <c r="CS42" i="32"/>
  <c r="CS17" i="32"/>
  <c r="CS6" i="32"/>
  <c r="CS43" i="32"/>
  <c r="CS20" i="32"/>
  <c r="CS13" i="32"/>
  <c r="CS5" i="32"/>
  <c r="CS2" i="32"/>
  <c r="CS34" i="32"/>
  <c r="CS23" i="32"/>
  <c r="CT35" i="32" l="1"/>
  <c r="CT18" i="32"/>
  <c r="AW122" i="32"/>
  <c r="AV2" i="32"/>
  <c r="CT112" i="32"/>
  <c r="CT104" i="32"/>
  <c r="CT114" i="32"/>
  <c r="CT106" i="32"/>
  <c r="CT95" i="32"/>
  <c r="CT83" i="32"/>
  <c r="CT75" i="32"/>
  <c r="CT67" i="32"/>
  <c r="CT101" i="32"/>
  <c r="CT80" i="32"/>
  <c r="CT69" i="32"/>
  <c r="CT66" i="32"/>
  <c r="CT109" i="32"/>
  <c r="CT116" i="32"/>
  <c r="CT96" i="32"/>
  <c r="CT90" i="32"/>
  <c r="CT78" i="32"/>
  <c r="CT60" i="32"/>
  <c r="CT52" i="32"/>
  <c r="CT39" i="32"/>
  <c r="CT26" i="32"/>
  <c r="CT15" i="32"/>
  <c r="CT5" i="32"/>
  <c r="CT113" i="32"/>
  <c r="CT103" i="32"/>
  <c r="CT97" i="32"/>
  <c r="CT81" i="32"/>
  <c r="CT77" i="32"/>
  <c r="CT115" i="32"/>
  <c r="CT85" i="32"/>
  <c r="CT56" i="32"/>
  <c r="CT42" i="32"/>
  <c r="CT118" i="32"/>
  <c r="CT102" i="32"/>
  <c r="CT86" i="32"/>
  <c r="CT110" i="32"/>
  <c r="CT108" i="32"/>
  <c r="CT91" i="32"/>
  <c r="CT79" i="32"/>
  <c r="CT53" i="32"/>
  <c r="CT43" i="32"/>
  <c r="CT37" i="32"/>
  <c r="CT64" i="32"/>
  <c r="CT57" i="32"/>
  <c r="CT33" i="32"/>
  <c r="CT16" i="32"/>
  <c r="CT13" i="32"/>
  <c r="CT2" i="32"/>
  <c r="CT87" i="32"/>
  <c r="CT71" i="32"/>
  <c r="CT74" i="32"/>
  <c r="CT65" i="32"/>
  <c r="CT105" i="32"/>
  <c r="CT68" i="32"/>
  <c r="CT59" i="32"/>
  <c r="CT44" i="32"/>
  <c r="CT14" i="32"/>
  <c r="CT107" i="32"/>
  <c r="CT76" i="32"/>
  <c r="CT73" i="32"/>
  <c r="CT70" i="32"/>
  <c r="CT61" i="32"/>
  <c r="CT58" i="32"/>
  <c r="CT38" i="32"/>
  <c r="CT31" i="32"/>
  <c r="CT19" i="32"/>
  <c r="CT11" i="32"/>
  <c r="CT89" i="32"/>
  <c r="CT63" i="32"/>
  <c r="CT62" i="32"/>
  <c r="CT55" i="32"/>
  <c r="CT54" i="32"/>
  <c r="CT30" i="32"/>
  <c r="CT24" i="32"/>
  <c r="CT82" i="32"/>
  <c r="CT4" i="32"/>
  <c r="CT46" i="32"/>
  <c r="CT25" i="32"/>
  <c r="CT17" i="32"/>
  <c r="CT6" i="32"/>
  <c r="CT111" i="32"/>
  <c r="CT117" i="32"/>
  <c r="CT72" i="32"/>
  <c r="CT51" i="32"/>
  <c r="CT45" i="32"/>
  <c r="CT20" i="32"/>
  <c r="CT28" i="32"/>
  <c r="CT10" i="32"/>
  <c r="CT34" i="32"/>
  <c r="CT23" i="32"/>
  <c r="CT88" i="32"/>
  <c r="CT48" i="32"/>
  <c r="CT9" i="32"/>
  <c r="CT12" i="32"/>
  <c r="C5" i="27"/>
  <c r="CU35" i="32" l="1"/>
  <c r="CU18" i="32"/>
  <c r="G8" i="27"/>
  <c r="K5" i="27"/>
  <c r="CU113" i="32"/>
  <c r="CU105" i="32"/>
  <c r="CU115" i="32"/>
  <c r="CU107" i="32"/>
  <c r="CU96" i="32"/>
  <c r="CU85" i="32"/>
  <c r="CU76" i="32"/>
  <c r="CU68" i="32"/>
  <c r="CU114" i="32"/>
  <c r="CU109" i="32"/>
  <c r="CU87" i="32"/>
  <c r="CU83" i="32"/>
  <c r="CU72" i="32"/>
  <c r="CU59" i="32"/>
  <c r="CU116" i="32"/>
  <c r="CU104" i="32"/>
  <c r="CU111" i="32"/>
  <c r="CU106" i="32"/>
  <c r="CU102" i="32"/>
  <c r="CU81" i="32"/>
  <c r="CU70" i="32"/>
  <c r="CU67" i="32"/>
  <c r="CU61" i="32"/>
  <c r="CU53" i="32"/>
  <c r="CU42" i="32"/>
  <c r="CU28" i="32"/>
  <c r="CU16" i="32"/>
  <c r="CU6" i="32"/>
  <c r="CU118" i="32"/>
  <c r="CU117" i="32"/>
  <c r="CU112" i="32"/>
  <c r="CU101" i="32"/>
  <c r="CU91" i="32"/>
  <c r="CU86" i="32"/>
  <c r="CU108" i="32"/>
  <c r="CU80" i="32"/>
  <c r="CU71" i="32"/>
  <c r="CU64" i="32"/>
  <c r="CU45" i="32"/>
  <c r="CU88" i="32"/>
  <c r="CU65" i="32"/>
  <c r="CU55" i="32"/>
  <c r="CU24" i="32"/>
  <c r="CU95" i="32"/>
  <c r="CU82" i="32"/>
  <c r="CU48" i="32"/>
  <c r="CU38" i="32"/>
  <c r="CU20" i="32"/>
  <c r="CU79" i="32"/>
  <c r="CU74" i="32"/>
  <c r="CU52" i="32"/>
  <c r="CU37" i="32"/>
  <c r="CU66" i="32"/>
  <c r="CU51" i="32"/>
  <c r="CU34" i="32"/>
  <c r="CU43" i="32"/>
  <c r="CU25" i="32"/>
  <c r="CU9" i="32"/>
  <c r="CU5" i="32"/>
  <c r="CU110" i="32"/>
  <c r="CU89" i="32"/>
  <c r="CU63" i="32"/>
  <c r="CU62" i="32"/>
  <c r="CU56" i="32"/>
  <c r="CU54" i="32"/>
  <c r="CU39" i="32"/>
  <c r="CU30" i="32"/>
  <c r="CU13" i="32"/>
  <c r="CU4" i="32"/>
  <c r="CU77" i="32"/>
  <c r="CU73" i="32"/>
  <c r="CU90" i="32"/>
  <c r="CU75" i="32"/>
  <c r="CU46" i="32"/>
  <c r="CU17" i="32"/>
  <c r="CU60" i="32"/>
  <c r="CU31" i="32"/>
  <c r="CU23" i="32"/>
  <c r="CU11" i="32"/>
  <c r="CU2" i="32"/>
  <c r="CU57" i="32"/>
  <c r="CU33" i="32"/>
  <c r="CU10" i="32"/>
  <c r="CU14" i="32"/>
  <c r="CU78" i="32"/>
  <c r="CU19" i="32"/>
  <c r="CU69" i="32"/>
  <c r="CU58" i="32"/>
  <c r="CU44" i="32"/>
  <c r="CU26" i="32"/>
  <c r="CU15" i="32"/>
  <c r="CU12" i="32"/>
  <c r="CU103" i="32"/>
  <c r="CU97" i="32"/>
  <c r="AX122" i="32"/>
  <c r="AW2" i="32"/>
  <c r="CV35" i="32" s="1"/>
  <c r="B55" i="10"/>
  <c r="CV114" i="32" l="1"/>
  <c r="CV106" i="32"/>
  <c r="CV116" i="32"/>
  <c r="CV108" i="32"/>
  <c r="CV97" i="32"/>
  <c r="CV86" i="32"/>
  <c r="CV77" i="32"/>
  <c r="CV69" i="32"/>
  <c r="CV104" i="32"/>
  <c r="CV90" i="32"/>
  <c r="CV78" i="32"/>
  <c r="CV75" i="32"/>
  <c r="CV60" i="32"/>
  <c r="CV111" i="32"/>
  <c r="CV102" i="32"/>
  <c r="CV96" i="32"/>
  <c r="CV118" i="32"/>
  <c r="CV88" i="32"/>
  <c r="CV85" i="32"/>
  <c r="CV73" i="32"/>
  <c r="CV62" i="32"/>
  <c r="CV54" i="32"/>
  <c r="CV43" i="32"/>
  <c r="CV30" i="32"/>
  <c r="CV17" i="32"/>
  <c r="CV9" i="32"/>
  <c r="CV110" i="32"/>
  <c r="CV109" i="32"/>
  <c r="CV105" i="32"/>
  <c r="CV95" i="32"/>
  <c r="CV76" i="32"/>
  <c r="CV72" i="32"/>
  <c r="CV107" i="32"/>
  <c r="CV89" i="32"/>
  <c r="CV79" i="32"/>
  <c r="CV59" i="32"/>
  <c r="CV51" i="32"/>
  <c r="CV87" i="32"/>
  <c r="CV117" i="32"/>
  <c r="CV80" i="32"/>
  <c r="CV57" i="32"/>
  <c r="CV45" i="32"/>
  <c r="CV33" i="32"/>
  <c r="CV28" i="32"/>
  <c r="CV113" i="32"/>
  <c r="CV83" i="32"/>
  <c r="CV71" i="32"/>
  <c r="CV70" i="32"/>
  <c r="CV63" i="32"/>
  <c r="CV52" i="32"/>
  <c r="CV25" i="32"/>
  <c r="CV11" i="32"/>
  <c r="CV6" i="32"/>
  <c r="CV115" i="32"/>
  <c r="CV101" i="32"/>
  <c r="CV66" i="32"/>
  <c r="CV65" i="32"/>
  <c r="CV53" i="32"/>
  <c r="CV112" i="32"/>
  <c r="CV103" i="32"/>
  <c r="CV48" i="32"/>
  <c r="CV46" i="32"/>
  <c r="CV58" i="32"/>
  <c r="CV42" i="32"/>
  <c r="CV31" i="32"/>
  <c r="CV19" i="32"/>
  <c r="CV16" i="32"/>
  <c r="CV91" i="32"/>
  <c r="CV55" i="32"/>
  <c r="CV24" i="32"/>
  <c r="CV13" i="32"/>
  <c r="CV4" i="32"/>
  <c r="CV81" i="32"/>
  <c r="CV74" i="32"/>
  <c r="CV64" i="32"/>
  <c r="CV37" i="32"/>
  <c r="CV23" i="32"/>
  <c r="CV15" i="32"/>
  <c r="CV34" i="32"/>
  <c r="CV68" i="32"/>
  <c r="CV39" i="32"/>
  <c r="CV5" i="32"/>
  <c r="CV67" i="32"/>
  <c r="CV2" i="32"/>
  <c r="CV14" i="32"/>
  <c r="CV61" i="32"/>
  <c r="CV82" i="32"/>
  <c r="CV56" i="32"/>
  <c r="CV44" i="32"/>
  <c r="CV26" i="32"/>
  <c r="CV12" i="32"/>
  <c r="CV38" i="32"/>
  <c r="CV20" i="32"/>
  <c r="CV10" i="32"/>
  <c r="AY122" i="32"/>
  <c r="AX2" i="32"/>
  <c r="CW35" i="32" s="1"/>
  <c r="R35" i="27"/>
  <c r="CW115" i="32" l="1"/>
  <c r="CW107" i="32"/>
  <c r="CW117" i="32"/>
  <c r="CW109" i="32"/>
  <c r="CW101" i="32"/>
  <c r="CW87" i="32"/>
  <c r="CW78" i="32"/>
  <c r="CW70" i="32"/>
  <c r="CW116" i="32"/>
  <c r="CW111" i="32"/>
  <c r="CW102" i="32"/>
  <c r="CW96" i="32"/>
  <c r="CW81" i="32"/>
  <c r="CW67" i="32"/>
  <c r="CW61" i="32"/>
  <c r="CW118" i="32"/>
  <c r="CW106" i="32"/>
  <c r="CW113" i="32"/>
  <c r="CW108" i="32"/>
  <c r="CW91" i="32"/>
  <c r="CW79" i="32"/>
  <c r="CW76" i="32"/>
  <c r="CW63" i="32"/>
  <c r="CW55" i="32"/>
  <c r="CW44" i="32"/>
  <c r="CW31" i="32"/>
  <c r="CW19" i="32"/>
  <c r="CW10" i="32"/>
  <c r="CW90" i="32"/>
  <c r="CW80" i="32"/>
  <c r="CW71" i="32"/>
  <c r="CW75" i="32"/>
  <c r="CW66" i="32"/>
  <c r="CW57" i="32"/>
  <c r="CW54" i="32"/>
  <c r="CW38" i="32"/>
  <c r="CW89" i="32"/>
  <c r="CW82" i="32"/>
  <c r="CW64" i="32"/>
  <c r="CW60" i="32"/>
  <c r="CW48" i="32"/>
  <c r="CW20" i="32"/>
  <c r="CW104" i="32"/>
  <c r="CW85" i="32"/>
  <c r="CW59" i="32"/>
  <c r="CW42" i="32"/>
  <c r="CW34" i="32"/>
  <c r="CW30" i="32"/>
  <c r="CW14" i="32"/>
  <c r="CW112" i="32"/>
  <c r="CW103" i="32"/>
  <c r="CW51" i="32"/>
  <c r="CW46" i="32"/>
  <c r="CW77" i="32"/>
  <c r="CW86" i="32"/>
  <c r="CW73" i="32"/>
  <c r="CW69" i="32"/>
  <c r="CW56" i="32"/>
  <c r="CW39" i="32"/>
  <c r="CW11" i="32"/>
  <c r="CW110" i="32"/>
  <c r="CW74" i="32"/>
  <c r="CW37" i="32"/>
  <c r="CW23" i="32"/>
  <c r="CW15" i="32"/>
  <c r="CW65" i="32"/>
  <c r="CW53" i="32"/>
  <c r="CW52" i="32"/>
  <c r="CW17" i="32"/>
  <c r="CW6" i="32"/>
  <c r="CW95" i="32"/>
  <c r="CW114" i="32"/>
  <c r="CW62" i="32"/>
  <c r="CW25" i="32"/>
  <c r="CW16" i="32"/>
  <c r="CW5" i="32"/>
  <c r="CW26" i="32"/>
  <c r="CW97" i="32"/>
  <c r="CW72" i="32"/>
  <c r="CW45" i="32"/>
  <c r="CW28" i="32"/>
  <c r="CW13" i="32"/>
  <c r="CW2" i="32"/>
  <c r="CW88" i="32"/>
  <c r="CW12" i="32"/>
  <c r="CW58" i="32"/>
  <c r="CW9" i="32"/>
  <c r="CW105" i="32"/>
  <c r="CW4" i="32"/>
  <c r="CW68" i="32"/>
  <c r="CW43" i="32"/>
  <c r="CW33" i="32"/>
  <c r="CW24" i="32"/>
  <c r="CW83" i="32"/>
  <c r="AZ122" i="32"/>
  <c r="AY2" i="32"/>
  <c r="CX35" i="32" s="1"/>
  <c r="C47" i="10"/>
  <c r="G47" i="10"/>
  <c r="M47" i="10"/>
  <c r="C48" i="10"/>
  <c r="G48" i="10"/>
  <c r="M48" i="10"/>
  <c r="C49" i="10"/>
  <c r="M49" i="10"/>
  <c r="C50" i="10"/>
  <c r="M50" i="10"/>
  <c r="C51" i="10"/>
  <c r="M51" i="10"/>
  <c r="C52" i="10"/>
  <c r="M52" i="10"/>
  <c r="A55" i="10"/>
  <c r="C57" i="10"/>
  <c r="B60" i="10"/>
  <c r="C60" i="10"/>
  <c r="F60" i="10" s="1"/>
  <c r="M60" i="10"/>
  <c r="B61" i="10"/>
  <c r="C61" i="10"/>
  <c r="F61" i="10" s="1"/>
  <c r="M61" i="10"/>
  <c r="B65" i="10"/>
  <c r="C65" i="10"/>
  <c r="D65" i="10"/>
  <c r="E65" i="10"/>
  <c r="F65" i="10"/>
  <c r="G65" i="10"/>
  <c r="C75" i="10"/>
  <c r="D75" i="10"/>
  <c r="E75" i="10"/>
  <c r="F75" i="10"/>
  <c r="G75" i="10"/>
  <c r="D77" i="10"/>
  <c r="E77" i="10"/>
  <c r="F77" i="10"/>
  <c r="A81" i="10"/>
  <c r="B81" i="10"/>
  <c r="C81" i="10"/>
  <c r="CX116" i="32" l="1"/>
  <c r="CX108" i="32"/>
  <c r="CX118" i="32"/>
  <c r="CX110" i="32"/>
  <c r="CX102" i="32"/>
  <c r="CX88" i="32"/>
  <c r="CX79" i="32"/>
  <c r="CX71" i="32"/>
  <c r="CX106" i="32"/>
  <c r="CX85" i="32"/>
  <c r="CX73" i="32"/>
  <c r="CX70" i="32"/>
  <c r="CX62" i="32"/>
  <c r="CX113" i="32"/>
  <c r="CX91" i="32"/>
  <c r="CX103" i="32"/>
  <c r="CX97" i="32"/>
  <c r="CX82" i="32"/>
  <c r="CX68" i="32"/>
  <c r="CX64" i="32"/>
  <c r="CX56" i="32"/>
  <c r="CX45" i="32"/>
  <c r="CX33" i="32"/>
  <c r="CX20" i="32"/>
  <c r="CX11" i="32"/>
  <c r="CX115" i="32"/>
  <c r="CX114" i="32"/>
  <c r="CX89" i="32"/>
  <c r="CX117" i="32"/>
  <c r="CX83" i="32"/>
  <c r="CX74" i="32"/>
  <c r="CX61" i="32"/>
  <c r="CX46" i="32"/>
  <c r="CX43" i="32"/>
  <c r="CX107" i="32"/>
  <c r="CX105" i="32"/>
  <c r="CX75" i="32"/>
  <c r="CX101" i="32"/>
  <c r="CX95" i="32"/>
  <c r="CX81" i="32"/>
  <c r="CX52" i="32"/>
  <c r="CX38" i="32"/>
  <c r="CX25" i="32"/>
  <c r="CX111" i="32"/>
  <c r="CX86" i="32"/>
  <c r="CX72" i="32"/>
  <c r="CX69" i="32"/>
  <c r="CX54" i="32"/>
  <c r="CX44" i="32"/>
  <c r="CX23" i="32"/>
  <c r="CX17" i="32"/>
  <c r="CX4" i="32"/>
  <c r="CX109" i="32"/>
  <c r="CX77" i="32"/>
  <c r="CX48" i="32"/>
  <c r="CX90" i="32"/>
  <c r="CX67" i="32"/>
  <c r="CX78" i="32"/>
  <c r="CX60" i="32"/>
  <c r="CX57" i="32"/>
  <c r="CX24" i="32"/>
  <c r="CX13" i="32"/>
  <c r="CX104" i="32"/>
  <c r="CX96" i="32"/>
  <c r="CX65" i="32"/>
  <c r="CX53" i="32"/>
  <c r="CX6" i="32"/>
  <c r="CX112" i="32"/>
  <c r="CX87" i="32"/>
  <c r="CX66" i="32"/>
  <c r="CX51" i="32"/>
  <c r="CX34" i="32"/>
  <c r="CX28" i="32"/>
  <c r="CX12" i="32"/>
  <c r="CX10" i="32"/>
  <c r="CX2" i="32"/>
  <c r="CX63" i="32"/>
  <c r="CX55" i="32"/>
  <c r="CX80" i="32"/>
  <c r="CX59" i="32"/>
  <c r="CX39" i="32"/>
  <c r="CX26" i="32"/>
  <c r="CX19" i="32"/>
  <c r="CX9" i="32"/>
  <c r="CX42" i="32"/>
  <c r="CX37" i="32"/>
  <c r="CX14" i="32"/>
  <c r="CX16" i="32"/>
  <c r="CX5" i="32"/>
  <c r="CX31" i="32"/>
  <c r="CX58" i="32"/>
  <c r="CX30" i="32"/>
  <c r="CX15" i="32"/>
  <c r="CX76" i="32"/>
  <c r="BA122" i="32"/>
  <c r="BA2" i="32" s="1"/>
  <c r="CZ35" i="32" s="1"/>
  <c r="AZ2" i="32"/>
  <c r="CY35" i="32" s="1"/>
  <c r="L2" i="34"/>
  <c r="B2" i="32" l="1"/>
  <c r="CY117" i="32"/>
  <c r="CY109" i="32"/>
  <c r="CY111" i="32"/>
  <c r="CY103" i="32"/>
  <c r="CY89" i="32"/>
  <c r="CY80" i="32"/>
  <c r="CY72" i="32"/>
  <c r="CY118" i="32"/>
  <c r="CY113" i="32"/>
  <c r="CY91" i="32"/>
  <c r="CY88" i="32"/>
  <c r="CY76" i="32"/>
  <c r="CY63" i="32"/>
  <c r="CY108" i="32"/>
  <c r="CY97" i="32"/>
  <c r="CY115" i="32"/>
  <c r="CY110" i="32"/>
  <c r="CY105" i="32"/>
  <c r="CY86" i="32"/>
  <c r="CY74" i="32"/>
  <c r="CY71" i="32"/>
  <c r="CY65" i="32"/>
  <c r="CY57" i="32"/>
  <c r="CY46" i="32"/>
  <c r="CY34" i="32"/>
  <c r="CY23" i="32"/>
  <c r="CY12" i="32"/>
  <c r="CY2" i="32"/>
  <c r="CY112" i="32"/>
  <c r="CY107" i="32"/>
  <c r="CY106" i="32"/>
  <c r="CY85" i="32"/>
  <c r="CY75" i="32"/>
  <c r="CY116" i="32"/>
  <c r="CY70" i="32"/>
  <c r="CY52" i="32"/>
  <c r="CY90" i="32"/>
  <c r="CY77" i="32"/>
  <c r="CY104" i="32"/>
  <c r="CY83" i="32"/>
  <c r="CY59" i="32"/>
  <c r="CY42" i="32"/>
  <c r="CY30" i="32"/>
  <c r="CY96" i="32"/>
  <c r="CY87" i="32"/>
  <c r="CY73" i="32"/>
  <c r="CY68" i="32"/>
  <c r="CY58" i="32"/>
  <c r="CY56" i="32"/>
  <c r="CY26" i="32"/>
  <c r="CY9" i="32"/>
  <c r="CY67" i="32"/>
  <c r="CY95" i="32"/>
  <c r="CY82" i="32"/>
  <c r="CY45" i="32"/>
  <c r="CY44" i="32"/>
  <c r="CY33" i="32"/>
  <c r="CY102" i="32"/>
  <c r="CY62" i="32"/>
  <c r="CY61" i="32"/>
  <c r="CY55" i="32"/>
  <c r="CY38" i="32"/>
  <c r="CY37" i="32"/>
  <c r="CY15" i="32"/>
  <c r="CY4" i="32"/>
  <c r="CY81" i="32"/>
  <c r="CY66" i="32"/>
  <c r="CY64" i="32"/>
  <c r="CY51" i="32"/>
  <c r="CY28" i="32"/>
  <c r="CY17" i="32"/>
  <c r="CY10" i="32"/>
  <c r="CY101" i="32"/>
  <c r="CY79" i="32"/>
  <c r="CY48" i="32"/>
  <c r="CY69" i="32"/>
  <c r="CY60" i="32"/>
  <c r="CY54" i="32"/>
  <c r="CY19" i="32"/>
  <c r="CY6" i="32"/>
  <c r="CY43" i="32"/>
  <c r="CY31" i="32"/>
  <c r="CY20" i="32"/>
  <c r="CY25" i="32"/>
  <c r="CY11" i="32"/>
  <c r="CY114" i="32"/>
  <c r="CY14" i="32"/>
  <c r="CY78" i="32"/>
  <c r="CY39" i="32"/>
  <c r="CY24" i="32"/>
  <c r="CY53" i="32"/>
  <c r="CY16" i="32"/>
  <c r="CY13" i="32"/>
  <c r="CY5" i="32"/>
  <c r="CZ118" i="32"/>
  <c r="CZ110" i="32"/>
  <c r="CZ112" i="32"/>
  <c r="CZ104" i="32"/>
  <c r="CZ90" i="32"/>
  <c r="CZ81" i="32"/>
  <c r="CZ73" i="32"/>
  <c r="CZ108" i="32"/>
  <c r="CZ97" i="32"/>
  <c r="CZ82" i="32"/>
  <c r="CZ79" i="32"/>
  <c r="CZ68" i="32"/>
  <c r="CZ64" i="32"/>
  <c r="CZ115" i="32"/>
  <c r="CZ105" i="32"/>
  <c r="CZ103" i="32"/>
  <c r="CZ95" i="32"/>
  <c r="CZ89" i="32"/>
  <c r="CZ77" i="32"/>
  <c r="CZ66" i="32"/>
  <c r="CZ58" i="32"/>
  <c r="CZ48" i="32"/>
  <c r="CZ37" i="32"/>
  <c r="CZ24" i="32"/>
  <c r="CZ13" i="32"/>
  <c r="CZ111" i="32"/>
  <c r="CZ101" i="32"/>
  <c r="CZ83" i="32"/>
  <c r="CZ109" i="32"/>
  <c r="CZ88" i="32"/>
  <c r="CZ78" i="32"/>
  <c r="CZ69" i="32"/>
  <c r="CZ63" i="32"/>
  <c r="CZ55" i="32"/>
  <c r="CZ39" i="32"/>
  <c r="CZ116" i="32"/>
  <c r="CZ114" i="32"/>
  <c r="CZ76" i="32"/>
  <c r="CZ106" i="32"/>
  <c r="CZ54" i="32"/>
  <c r="CZ44" i="32"/>
  <c r="CZ34" i="32"/>
  <c r="CZ102" i="32"/>
  <c r="CZ74" i="32"/>
  <c r="CZ67" i="32"/>
  <c r="CZ62" i="32"/>
  <c r="CZ51" i="32"/>
  <c r="CZ46" i="32"/>
  <c r="CZ31" i="32"/>
  <c r="CZ15" i="32"/>
  <c r="CZ12" i="32"/>
  <c r="CZ85" i="32"/>
  <c r="CZ45" i="32"/>
  <c r="CZ33" i="32"/>
  <c r="CZ75" i="32"/>
  <c r="CZ72" i="32"/>
  <c r="CZ43" i="32"/>
  <c r="CZ53" i="32"/>
  <c r="CZ30" i="32"/>
  <c r="CZ6" i="32"/>
  <c r="CZ113" i="32"/>
  <c r="CZ107" i="32"/>
  <c r="CZ87" i="32"/>
  <c r="CZ52" i="32"/>
  <c r="CZ2" i="32"/>
  <c r="CZ71" i="32"/>
  <c r="CZ26" i="32"/>
  <c r="CZ20" i="32"/>
  <c r="CZ14" i="32"/>
  <c r="CZ5" i="32"/>
  <c r="CZ117" i="32"/>
  <c r="CZ9" i="32"/>
  <c r="CZ56" i="32"/>
  <c r="CZ10" i="32"/>
  <c r="CZ61" i="32"/>
  <c r="CZ23" i="32"/>
  <c r="CZ17" i="32"/>
  <c r="CZ80" i="32"/>
  <c r="CZ65" i="32"/>
  <c r="CZ59" i="32"/>
  <c r="CZ96" i="32"/>
  <c r="CZ60" i="32"/>
  <c r="CZ42" i="32"/>
  <c r="CZ25" i="32"/>
  <c r="CZ11" i="32"/>
  <c r="CZ91" i="32"/>
  <c r="CZ70" i="32"/>
  <c r="CZ19" i="32"/>
  <c r="CZ4" i="32"/>
  <c r="CZ38" i="32"/>
  <c r="CZ16" i="32"/>
  <c r="CZ86" i="32"/>
  <c r="CZ57" i="32"/>
  <c r="CZ28" i="32"/>
  <c r="J2110" i="34"/>
  <c r="J2048" i="34"/>
  <c r="J1986" i="34"/>
  <c r="J1924" i="34"/>
  <c r="J1862" i="34"/>
  <c r="J1800" i="34"/>
  <c r="J1738" i="34"/>
  <c r="J1676" i="34"/>
  <c r="J1614" i="34"/>
  <c r="J1552" i="34"/>
  <c r="J1490" i="34"/>
  <c r="J1428" i="34"/>
  <c r="J1366" i="34"/>
  <c r="J1304" i="34"/>
  <c r="J1242" i="34"/>
  <c r="J1180" i="34"/>
  <c r="J1118" i="34"/>
  <c r="J1056" i="34"/>
  <c r="J994" i="34"/>
  <c r="J932" i="34"/>
  <c r="J870" i="34"/>
  <c r="J808" i="34"/>
  <c r="J746" i="34"/>
  <c r="J684" i="34"/>
  <c r="J622" i="34"/>
  <c r="J560" i="34"/>
  <c r="J498" i="34"/>
  <c r="J436" i="34"/>
  <c r="J374" i="34"/>
  <c r="J312" i="34"/>
  <c r="J250" i="34"/>
  <c r="J188" i="34"/>
  <c r="J126" i="34"/>
  <c r="J64" i="34"/>
  <c r="J2" i="34"/>
  <c r="B35" i="32" l="1"/>
  <c r="E36" i="4" s="1"/>
  <c r="B18" i="32"/>
  <c r="B40" i="32"/>
  <c r="A1" i="34"/>
  <c r="O2052" i="34"/>
  <c r="O2053" i="34"/>
  <c r="O2054" i="34"/>
  <c r="O2055" i="34"/>
  <c r="O2056" i="34"/>
  <c r="O2057" i="34"/>
  <c r="O2058" i="34"/>
  <c r="O2059" i="34"/>
  <c r="O2060" i="34"/>
  <c r="O2061" i="34"/>
  <c r="O2062" i="34"/>
  <c r="O2063" i="34"/>
  <c r="O2064" i="34"/>
  <c r="O2065" i="34"/>
  <c r="O2070" i="34"/>
  <c r="O2071" i="34"/>
  <c r="O2072" i="34"/>
  <c r="O2073" i="34"/>
  <c r="O2074" i="34"/>
  <c r="O2075" i="34"/>
  <c r="O2076" i="34"/>
  <c r="O2077" i="34"/>
  <c r="O2078" i="34"/>
  <c r="O2079" i="34"/>
  <c r="O2084" i="34"/>
  <c r="O2085" i="34"/>
  <c r="O2090" i="34"/>
  <c r="O2091" i="34"/>
  <c r="O2092" i="34"/>
  <c r="O2093" i="34"/>
  <c r="O2094" i="34"/>
  <c r="O2095" i="34"/>
  <c r="O2096" i="34"/>
  <c r="J2099" i="34"/>
  <c r="O2101" i="34"/>
  <c r="O2102" i="34"/>
  <c r="O2103" i="34"/>
  <c r="O2104" i="34"/>
  <c r="O2105" i="34"/>
  <c r="O2106" i="34"/>
  <c r="O2107" i="34"/>
  <c r="O1990" i="34"/>
  <c r="O1991" i="34"/>
  <c r="O1992" i="34"/>
  <c r="O1993" i="34"/>
  <c r="O1994" i="34"/>
  <c r="O1995" i="34"/>
  <c r="O1996" i="34"/>
  <c r="O1997" i="34"/>
  <c r="O1998" i="34"/>
  <c r="O1999" i="34"/>
  <c r="O2000" i="34"/>
  <c r="O2001" i="34"/>
  <c r="O2002" i="34"/>
  <c r="O2003" i="34"/>
  <c r="O2008" i="34"/>
  <c r="O2009" i="34"/>
  <c r="O2010" i="34"/>
  <c r="O2011" i="34"/>
  <c r="O2012" i="34"/>
  <c r="O2013" i="34"/>
  <c r="O2014" i="34"/>
  <c r="O2015" i="34"/>
  <c r="O2016" i="34"/>
  <c r="O2017" i="34"/>
  <c r="O2022" i="34"/>
  <c r="O2023" i="34"/>
  <c r="O2028" i="34"/>
  <c r="O2029" i="34"/>
  <c r="O2030" i="34"/>
  <c r="O2031" i="34"/>
  <c r="O2032" i="34"/>
  <c r="O2033" i="34"/>
  <c r="O2034" i="34"/>
  <c r="J2037" i="34"/>
  <c r="O2039" i="34"/>
  <c r="O2040" i="34"/>
  <c r="O2041" i="34"/>
  <c r="O2042" i="34"/>
  <c r="O2043" i="34"/>
  <c r="O2044" i="34"/>
  <c r="O2045" i="34"/>
  <c r="O1928" i="34"/>
  <c r="O1929" i="34"/>
  <c r="O1930" i="34"/>
  <c r="O1931" i="34"/>
  <c r="O1932" i="34"/>
  <c r="O1933" i="34"/>
  <c r="O1934" i="34"/>
  <c r="O1935" i="34"/>
  <c r="O1936" i="34"/>
  <c r="O1937" i="34"/>
  <c r="O1938" i="34"/>
  <c r="O1939" i="34"/>
  <c r="O1940" i="34"/>
  <c r="O1941" i="34"/>
  <c r="O1946" i="34"/>
  <c r="O1947" i="34"/>
  <c r="O1948" i="34"/>
  <c r="O1949" i="34"/>
  <c r="O1950" i="34"/>
  <c r="O1951" i="34"/>
  <c r="O1952" i="34"/>
  <c r="O1953" i="34"/>
  <c r="O1954" i="34"/>
  <c r="O1955" i="34"/>
  <c r="O1960" i="34"/>
  <c r="O1961" i="34"/>
  <c r="O1966" i="34"/>
  <c r="O1967" i="34"/>
  <c r="O1968" i="34"/>
  <c r="O1969" i="34"/>
  <c r="O1970" i="34"/>
  <c r="O1971" i="34"/>
  <c r="O1972" i="34"/>
  <c r="J1975" i="34"/>
  <c r="O1977" i="34"/>
  <c r="O1978" i="34"/>
  <c r="O1979" i="34"/>
  <c r="O1980" i="34"/>
  <c r="O1981" i="34"/>
  <c r="O1982" i="34"/>
  <c r="O1983" i="34"/>
  <c r="O1742" i="34"/>
  <c r="O1743" i="34"/>
  <c r="O1744" i="34"/>
  <c r="O1745" i="34"/>
  <c r="O1746" i="34"/>
  <c r="O1747" i="34"/>
  <c r="O1748" i="34"/>
  <c r="O1749" i="34"/>
  <c r="O1750" i="34"/>
  <c r="O1751" i="34"/>
  <c r="O1752" i="34"/>
  <c r="O1753" i="34"/>
  <c r="O1754" i="34"/>
  <c r="O1755" i="34"/>
  <c r="O1760" i="34"/>
  <c r="O1761" i="34"/>
  <c r="O1762" i="34"/>
  <c r="O1763" i="34"/>
  <c r="O1764" i="34"/>
  <c r="O1765" i="34"/>
  <c r="O1766" i="34"/>
  <c r="O1767" i="34"/>
  <c r="O1768" i="34"/>
  <c r="O1769" i="34"/>
  <c r="O1780" i="34"/>
  <c r="O1781" i="34"/>
  <c r="O1782" i="34"/>
  <c r="O1783" i="34"/>
  <c r="O1784" i="34"/>
  <c r="O1785" i="34"/>
  <c r="O1786" i="34"/>
  <c r="O1791" i="34"/>
  <c r="O1792" i="34"/>
  <c r="O1793" i="34"/>
  <c r="O1794" i="34"/>
  <c r="O1795" i="34"/>
  <c r="O1796" i="34"/>
  <c r="O1797" i="34"/>
  <c r="CK3" i="32"/>
  <c r="CJ3" i="32"/>
  <c r="CI3" i="32"/>
  <c r="CH3" i="32"/>
  <c r="CG3" i="32"/>
  <c r="CF3" i="32"/>
  <c r="CE3" i="32"/>
  <c r="CD3" i="32"/>
  <c r="CC3" i="32"/>
  <c r="CK6" i="32"/>
  <c r="CJ6" i="32"/>
  <c r="CI6" i="32"/>
  <c r="CG6" i="32"/>
  <c r="CF6" i="32"/>
  <c r="CE6" i="32"/>
  <c r="CC6" i="32"/>
  <c r="D9" i="42" l="1"/>
  <c r="D13" i="4" s="1"/>
  <c r="I2974" i="34"/>
  <c r="I2962" i="34"/>
  <c r="I2946" i="34"/>
  <c r="I2938" i="34"/>
  <c r="I2926" i="34"/>
  <c r="I2850" i="34"/>
  <c r="I2838" i="34"/>
  <c r="I2822" i="34"/>
  <c r="I2814" i="34"/>
  <c r="I2802" i="34"/>
  <c r="I2972" i="34"/>
  <c r="I2973" i="34"/>
  <c r="I2961" i="34"/>
  <c r="I2945" i="34"/>
  <c r="I2933" i="34"/>
  <c r="I2925" i="34"/>
  <c r="I2849" i="34"/>
  <c r="I2837" i="34"/>
  <c r="I2821" i="34"/>
  <c r="I2809" i="34"/>
  <c r="I2801" i="34"/>
  <c r="I2960" i="34"/>
  <c r="I2971" i="34"/>
  <c r="I2959" i="34"/>
  <c r="I2943" i="34"/>
  <c r="I2931" i="34"/>
  <c r="I2923" i="34"/>
  <c r="I2847" i="34"/>
  <c r="I2835" i="34"/>
  <c r="I2819" i="34"/>
  <c r="I2807" i="34"/>
  <c r="I2799" i="34"/>
  <c r="I2983" i="34"/>
  <c r="I2984" i="34" s="1"/>
  <c r="I2985" i="34" s="1"/>
  <c r="I2986" i="34" s="1"/>
  <c r="I2987" i="34" s="1"/>
  <c r="I2988" i="34" s="1"/>
  <c r="I2989" i="34" s="1"/>
  <c r="I2990" i="34" s="1"/>
  <c r="I2991" i="34" s="1"/>
  <c r="I2992" i="34" s="1"/>
  <c r="I2993" i="34" s="1"/>
  <c r="I2994" i="34" s="1"/>
  <c r="I2995" i="34" s="1"/>
  <c r="I3000" i="34" s="1"/>
  <c r="I3001" i="34" s="1"/>
  <c r="I3002" i="34" s="1"/>
  <c r="I3003" i="34" s="1"/>
  <c r="I3004" i="34" s="1"/>
  <c r="I3005" i="34" s="1"/>
  <c r="I3006" i="34" s="1"/>
  <c r="I3007" i="34" s="1"/>
  <c r="I3008" i="34" s="1"/>
  <c r="I3009" i="34" s="1"/>
  <c r="I3014" i="34" s="1"/>
  <c r="I3015" i="34" s="1"/>
  <c r="I3020" i="34" s="1"/>
  <c r="I3021" i="34" s="1"/>
  <c r="I3022" i="34" s="1"/>
  <c r="I3023" i="34" s="1"/>
  <c r="I3024" i="34" s="1"/>
  <c r="I3025" i="34" s="1"/>
  <c r="I3026" i="34" s="1"/>
  <c r="I3031" i="34" s="1"/>
  <c r="I3032" i="34" s="1"/>
  <c r="I3033" i="34" s="1"/>
  <c r="I3034" i="34" s="1"/>
  <c r="I3035" i="34" s="1"/>
  <c r="I3036" i="34" s="1"/>
  <c r="I3037" i="34" s="1"/>
  <c r="I2969" i="34"/>
  <c r="I2953" i="34"/>
  <c r="I2941" i="34"/>
  <c r="I2929" i="34"/>
  <c r="I2921" i="34"/>
  <c r="I2859" i="34"/>
  <c r="I2860" i="34" s="1"/>
  <c r="I2861" i="34" s="1"/>
  <c r="I2862" i="34" s="1"/>
  <c r="I2863" i="34" s="1"/>
  <c r="I2864" i="34" s="1"/>
  <c r="I2865" i="34" s="1"/>
  <c r="I2866" i="34" s="1"/>
  <c r="I2867" i="34" s="1"/>
  <c r="I2868" i="34" s="1"/>
  <c r="I2869" i="34" s="1"/>
  <c r="I2870" i="34" s="1"/>
  <c r="I2871" i="34" s="1"/>
  <c r="I2876" i="34" s="1"/>
  <c r="I2877" i="34" s="1"/>
  <c r="I2878" i="34" s="1"/>
  <c r="I2879" i="34" s="1"/>
  <c r="I2880" i="34" s="1"/>
  <c r="I2881" i="34" s="1"/>
  <c r="I2882" i="34" s="1"/>
  <c r="I2883" i="34" s="1"/>
  <c r="I2884" i="34" s="1"/>
  <c r="I2885" i="34" s="1"/>
  <c r="I2890" i="34" s="1"/>
  <c r="I2891" i="34" s="1"/>
  <c r="I2896" i="34" s="1"/>
  <c r="I2897" i="34" s="1"/>
  <c r="I2898" i="34" s="1"/>
  <c r="I2899" i="34" s="1"/>
  <c r="I2900" i="34" s="1"/>
  <c r="I2901" i="34" s="1"/>
  <c r="I2902" i="34" s="1"/>
  <c r="I2907" i="34" s="1"/>
  <c r="I2908" i="34" s="1"/>
  <c r="I2909" i="34" s="1"/>
  <c r="I2910" i="34" s="1"/>
  <c r="I2911" i="34" s="1"/>
  <c r="I2912" i="34" s="1"/>
  <c r="I2913" i="34" s="1"/>
  <c r="I2845" i="34"/>
  <c r="I2829" i="34"/>
  <c r="I2817" i="34"/>
  <c r="I2805" i="34"/>
  <c r="I2797" i="34"/>
  <c r="I2177" i="34"/>
  <c r="I2178" i="34" s="1"/>
  <c r="I2179" i="34" s="1"/>
  <c r="I2180" i="34" s="1"/>
  <c r="I2181" i="34" s="1"/>
  <c r="I2182" i="34" s="1"/>
  <c r="I2183" i="34" s="1"/>
  <c r="I2184" i="34" s="1"/>
  <c r="I2185" i="34" s="1"/>
  <c r="I2186" i="34" s="1"/>
  <c r="I2187" i="34" s="1"/>
  <c r="I2188" i="34" s="1"/>
  <c r="I2189" i="34" s="1"/>
  <c r="I2194" i="34" s="1"/>
  <c r="I2195" i="34" s="1"/>
  <c r="I2196" i="34" s="1"/>
  <c r="I2197" i="34" s="1"/>
  <c r="I2198" i="34" s="1"/>
  <c r="I2199" i="34" s="1"/>
  <c r="I2200" i="34" s="1"/>
  <c r="I2201" i="34" s="1"/>
  <c r="I2202" i="34" s="1"/>
  <c r="I2203" i="34" s="1"/>
  <c r="I2208" i="34" s="1"/>
  <c r="I2209" i="34" s="1"/>
  <c r="I2214" i="34" s="1"/>
  <c r="I2215" i="34" s="1"/>
  <c r="I2216" i="34" s="1"/>
  <c r="I2217" i="34" s="1"/>
  <c r="I2218" i="34" s="1"/>
  <c r="I2219" i="34" s="1"/>
  <c r="I2220" i="34" s="1"/>
  <c r="I2225" i="34" s="1"/>
  <c r="I2226" i="34" s="1"/>
  <c r="I2227" i="34" s="1"/>
  <c r="I2228" i="34" s="1"/>
  <c r="I2229" i="34" s="1"/>
  <c r="I2230" i="34" s="1"/>
  <c r="I2231" i="34" s="1"/>
  <c r="I3044" i="34"/>
  <c r="I3045" i="34" s="1"/>
  <c r="I3046" i="34" s="1"/>
  <c r="I3047" i="34" s="1"/>
  <c r="I3048" i="34" s="1"/>
  <c r="I3049" i="34" s="1"/>
  <c r="I3050" i="34" s="1"/>
  <c r="I3051" i="34" s="1"/>
  <c r="I3052" i="34" s="1"/>
  <c r="I3053" i="34" s="1"/>
  <c r="I3054" i="34" s="1"/>
  <c r="I3055" i="34" s="1"/>
  <c r="I3056" i="34" s="1"/>
  <c r="I3057" i="34" s="1"/>
  <c r="I3062" i="34" s="1"/>
  <c r="I3063" i="34" s="1"/>
  <c r="I3064" i="34" s="1"/>
  <c r="I3065" i="34" s="1"/>
  <c r="I3066" i="34" s="1"/>
  <c r="I3067" i="34" s="1"/>
  <c r="I3068" i="34" s="1"/>
  <c r="I3069" i="34" s="1"/>
  <c r="I3070" i="34" s="1"/>
  <c r="I3071" i="34" s="1"/>
  <c r="I3076" i="34" s="1"/>
  <c r="I3077" i="34" s="1"/>
  <c r="I3082" i="34" s="1"/>
  <c r="I3083" i="34" s="1"/>
  <c r="I3084" i="34" s="1"/>
  <c r="I3085" i="34" s="1"/>
  <c r="I3086" i="34" s="1"/>
  <c r="I3087" i="34" s="1"/>
  <c r="I3088" i="34" s="1"/>
  <c r="I3093" i="34" s="1"/>
  <c r="I3094" i="34" s="1"/>
  <c r="I3095" i="34" s="1"/>
  <c r="I3096" i="34" s="1"/>
  <c r="I3097" i="34" s="1"/>
  <c r="I3098" i="34" s="1"/>
  <c r="I3099" i="34" s="1"/>
  <c r="I2982" i="34"/>
  <c r="I2964" i="34"/>
  <c r="I2952" i="34"/>
  <c r="I2940" i="34"/>
  <c r="I2928" i="34"/>
  <c r="I2920" i="34"/>
  <c r="I2858" i="34"/>
  <c r="I2840" i="34"/>
  <c r="I2828" i="34"/>
  <c r="I2816" i="34"/>
  <c r="I2804" i="34"/>
  <c r="I2796" i="34"/>
  <c r="I2939" i="34"/>
  <c r="I2839" i="34"/>
  <c r="I2806" i="34"/>
  <c r="I2672" i="34"/>
  <c r="I2673" i="34" s="1"/>
  <c r="I2674" i="34" s="1"/>
  <c r="I2675" i="34" s="1"/>
  <c r="I2676" i="34" s="1"/>
  <c r="I2677" i="34" s="1"/>
  <c r="I2678" i="34" s="1"/>
  <c r="I2679" i="34" s="1"/>
  <c r="I2680" i="34" s="1"/>
  <c r="I2681" i="34" s="1"/>
  <c r="I2682" i="34" s="1"/>
  <c r="I2683" i="34" s="1"/>
  <c r="I2684" i="34" s="1"/>
  <c r="I2685" i="34" s="1"/>
  <c r="I2690" i="34" s="1"/>
  <c r="I2691" i="34" s="1"/>
  <c r="I2692" i="34" s="1"/>
  <c r="I2693" i="34" s="1"/>
  <c r="I2694" i="34" s="1"/>
  <c r="I2695" i="34" s="1"/>
  <c r="I2696" i="34" s="1"/>
  <c r="I2697" i="34" s="1"/>
  <c r="I2698" i="34" s="1"/>
  <c r="I2699" i="34" s="1"/>
  <c r="I2704" i="34" s="1"/>
  <c r="I2705" i="34" s="1"/>
  <c r="I2710" i="34" s="1"/>
  <c r="I2711" i="34" s="1"/>
  <c r="I2712" i="34" s="1"/>
  <c r="I2713" i="34" s="1"/>
  <c r="I2714" i="34" s="1"/>
  <c r="I2715" i="34" s="1"/>
  <c r="I2716" i="34" s="1"/>
  <c r="I2721" i="34" s="1"/>
  <c r="I2722" i="34" s="1"/>
  <c r="I2723" i="34" s="1"/>
  <c r="I2724" i="34" s="1"/>
  <c r="I2725" i="34" s="1"/>
  <c r="I2726" i="34" s="1"/>
  <c r="I2727" i="34" s="1"/>
  <c r="I2548" i="34"/>
  <c r="I2549" i="34" s="1"/>
  <c r="I2550" i="34" s="1"/>
  <c r="I2551" i="34" s="1"/>
  <c r="I2552" i="34" s="1"/>
  <c r="I2553" i="34" s="1"/>
  <c r="I2554" i="34" s="1"/>
  <c r="I2555" i="34" s="1"/>
  <c r="I2556" i="34" s="1"/>
  <c r="I2557" i="34" s="1"/>
  <c r="I2558" i="34" s="1"/>
  <c r="I2559" i="34" s="1"/>
  <c r="I2560" i="34" s="1"/>
  <c r="I2561" i="34" s="1"/>
  <c r="I2566" i="34" s="1"/>
  <c r="I2567" i="34" s="1"/>
  <c r="I2568" i="34" s="1"/>
  <c r="I2569" i="34" s="1"/>
  <c r="I2570" i="34" s="1"/>
  <c r="I2571" i="34" s="1"/>
  <c r="I2572" i="34" s="1"/>
  <c r="I2573" i="34" s="1"/>
  <c r="I2574" i="34" s="1"/>
  <c r="I2575" i="34" s="1"/>
  <c r="I2580" i="34" s="1"/>
  <c r="I2581" i="34" s="1"/>
  <c r="I2586" i="34" s="1"/>
  <c r="I2587" i="34" s="1"/>
  <c r="I2588" i="34" s="1"/>
  <c r="I2589" i="34" s="1"/>
  <c r="I2590" i="34" s="1"/>
  <c r="I2591" i="34" s="1"/>
  <c r="I2592" i="34" s="1"/>
  <c r="I2597" i="34" s="1"/>
  <c r="I2598" i="34" s="1"/>
  <c r="I2599" i="34" s="1"/>
  <c r="I2600" i="34" s="1"/>
  <c r="I2601" i="34" s="1"/>
  <c r="I2602" i="34" s="1"/>
  <c r="I2603" i="34" s="1"/>
  <c r="I2424" i="34"/>
  <c r="I2425" i="34" s="1"/>
  <c r="I2426" i="34" s="1"/>
  <c r="I2427" i="34" s="1"/>
  <c r="I2428" i="34" s="1"/>
  <c r="I2429" i="34" s="1"/>
  <c r="I2430" i="34" s="1"/>
  <c r="I2431" i="34" s="1"/>
  <c r="I2432" i="34" s="1"/>
  <c r="I2433" i="34" s="1"/>
  <c r="I2434" i="34" s="1"/>
  <c r="I2435" i="34" s="1"/>
  <c r="I2436" i="34" s="1"/>
  <c r="I2437" i="34" s="1"/>
  <c r="I2442" i="34" s="1"/>
  <c r="I2443" i="34" s="1"/>
  <c r="I2444" i="34" s="1"/>
  <c r="I2445" i="34" s="1"/>
  <c r="I2446" i="34" s="1"/>
  <c r="I2447" i="34" s="1"/>
  <c r="I2448" i="34" s="1"/>
  <c r="I2449" i="34" s="1"/>
  <c r="I2450" i="34" s="1"/>
  <c r="I2451" i="34" s="1"/>
  <c r="I2456" i="34" s="1"/>
  <c r="I2457" i="34" s="1"/>
  <c r="I2462" i="34" s="1"/>
  <c r="I2463" i="34" s="1"/>
  <c r="I2464" i="34" s="1"/>
  <c r="I2465" i="34" s="1"/>
  <c r="I2466" i="34" s="1"/>
  <c r="I2467" i="34" s="1"/>
  <c r="I2468" i="34" s="1"/>
  <c r="I2473" i="34" s="1"/>
  <c r="I2474" i="34" s="1"/>
  <c r="I2475" i="34" s="1"/>
  <c r="I2476" i="34" s="1"/>
  <c r="I2477" i="34" s="1"/>
  <c r="I2478" i="34" s="1"/>
  <c r="I2479" i="34" s="1"/>
  <c r="I2300" i="34"/>
  <c r="I2301" i="34" s="1"/>
  <c r="I2302" i="34" s="1"/>
  <c r="I2303" i="34" s="1"/>
  <c r="I2304" i="34" s="1"/>
  <c r="I2305" i="34" s="1"/>
  <c r="I2306" i="34" s="1"/>
  <c r="I2307" i="34" s="1"/>
  <c r="I2308" i="34" s="1"/>
  <c r="I2309" i="34" s="1"/>
  <c r="I2310" i="34" s="1"/>
  <c r="I2311" i="34" s="1"/>
  <c r="I2312" i="34" s="1"/>
  <c r="I2313" i="34" s="1"/>
  <c r="I2318" i="34" s="1"/>
  <c r="I2319" i="34" s="1"/>
  <c r="I2320" i="34" s="1"/>
  <c r="I2321" i="34" s="1"/>
  <c r="I2322" i="34" s="1"/>
  <c r="I2323" i="34" s="1"/>
  <c r="I2324" i="34" s="1"/>
  <c r="I2325" i="34" s="1"/>
  <c r="I2326" i="34" s="1"/>
  <c r="I2327" i="34" s="1"/>
  <c r="I2332" i="34" s="1"/>
  <c r="I2333" i="34" s="1"/>
  <c r="I2338" i="34" s="1"/>
  <c r="I2339" i="34" s="1"/>
  <c r="I2340" i="34" s="1"/>
  <c r="I2341" i="34" s="1"/>
  <c r="I2342" i="34" s="1"/>
  <c r="I2343" i="34" s="1"/>
  <c r="I2344" i="34" s="1"/>
  <c r="I2349" i="34" s="1"/>
  <c r="I2350" i="34" s="1"/>
  <c r="I2351" i="34" s="1"/>
  <c r="I2352" i="34" s="1"/>
  <c r="I2353" i="34" s="1"/>
  <c r="I2354" i="34" s="1"/>
  <c r="I2355" i="34" s="1"/>
  <c r="I2176" i="34"/>
  <c r="I2975" i="34"/>
  <c r="I2932" i="34"/>
  <c r="I2836" i="34"/>
  <c r="I2803" i="34"/>
  <c r="I2963" i="34"/>
  <c r="I2927" i="34"/>
  <c r="I2823" i="34"/>
  <c r="I2798" i="34"/>
  <c r="I2958" i="34"/>
  <c r="I2924" i="34"/>
  <c r="I2820" i="34"/>
  <c r="I2734" i="34"/>
  <c r="I2735" i="34" s="1"/>
  <c r="I2736" i="34" s="1"/>
  <c r="I2737" i="34" s="1"/>
  <c r="I2738" i="34" s="1"/>
  <c r="I2739" i="34" s="1"/>
  <c r="I2740" i="34" s="1"/>
  <c r="I2741" i="34" s="1"/>
  <c r="I2742" i="34" s="1"/>
  <c r="I2743" i="34" s="1"/>
  <c r="I2744" i="34" s="1"/>
  <c r="I2745" i="34" s="1"/>
  <c r="I2746" i="34" s="1"/>
  <c r="I2747" i="34" s="1"/>
  <c r="I2752" i="34" s="1"/>
  <c r="I2753" i="34" s="1"/>
  <c r="I2754" i="34" s="1"/>
  <c r="I2755" i="34" s="1"/>
  <c r="I2756" i="34" s="1"/>
  <c r="I2757" i="34" s="1"/>
  <c r="I2758" i="34" s="1"/>
  <c r="I2759" i="34" s="1"/>
  <c r="I2760" i="34" s="1"/>
  <c r="I2761" i="34" s="1"/>
  <c r="I2766" i="34" s="1"/>
  <c r="I2767" i="34" s="1"/>
  <c r="I2772" i="34" s="1"/>
  <c r="I2773" i="34" s="1"/>
  <c r="I2774" i="34" s="1"/>
  <c r="I2775" i="34" s="1"/>
  <c r="I2776" i="34" s="1"/>
  <c r="I2777" i="34" s="1"/>
  <c r="I2778" i="34" s="1"/>
  <c r="I2783" i="34" s="1"/>
  <c r="I2784" i="34" s="1"/>
  <c r="I2785" i="34" s="1"/>
  <c r="I2786" i="34" s="1"/>
  <c r="I2787" i="34" s="1"/>
  <c r="I2788" i="34" s="1"/>
  <c r="I2789" i="34" s="1"/>
  <c r="I2610" i="34"/>
  <c r="I2611" i="34" s="1"/>
  <c r="I2612" i="34" s="1"/>
  <c r="I2613" i="34" s="1"/>
  <c r="I2614" i="34" s="1"/>
  <c r="I2615" i="34" s="1"/>
  <c r="I2616" i="34" s="1"/>
  <c r="I2617" i="34" s="1"/>
  <c r="I2618" i="34" s="1"/>
  <c r="I2619" i="34" s="1"/>
  <c r="I2620" i="34" s="1"/>
  <c r="I2621" i="34" s="1"/>
  <c r="I2622" i="34" s="1"/>
  <c r="I2623" i="34" s="1"/>
  <c r="I2628" i="34" s="1"/>
  <c r="I2629" i="34" s="1"/>
  <c r="I2630" i="34" s="1"/>
  <c r="I2631" i="34" s="1"/>
  <c r="I2632" i="34" s="1"/>
  <c r="I2633" i="34" s="1"/>
  <c r="I2634" i="34" s="1"/>
  <c r="I2635" i="34" s="1"/>
  <c r="I2636" i="34" s="1"/>
  <c r="I2637" i="34" s="1"/>
  <c r="I2642" i="34" s="1"/>
  <c r="I2643" i="34" s="1"/>
  <c r="I2648" i="34" s="1"/>
  <c r="I2649" i="34" s="1"/>
  <c r="I2650" i="34" s="1"/>
  <c r="I2651" i="34" s="1"/>
  <c r="I2652" i="34" s="1"/>
  <c r="I2653" i="34" s="1"/>
  <c r="I2654" i="34" s="1"/>
  <c r="I2659" i="34" s="1"/>
  <c r="I2660" i="34" s="1"/>
  <c r="I2661" i="34" s="1"/>
  <c r="I2662" i="34" s="1"/>
  <c r="I2663" i="34" s="1"/>
  <c r="I2664" i="34" s="1"/>
  <c r="I2665" i="34" s="1"/>
  <c r="I2486" i="34"/>
  <c r="I2487" i="34" s="1"/>
  <c r="I2488" i="34" s="1"/>
  <c r="I2489" i="34" s="1"/>
  <c r="I2490" i="34" s="1"/>
  <c r="I2491" i="34" s="1"/>
  <c r="I2492" i="34" s="1"/>
  <c r="I2493" i="34" s="1"/>
  <c r="I2494" i="34" s="1"/>
  <c r="I2495" i="34" s="1"/>
  <c r="I2496" i="34" s="1"/>
  <c r="I2497" i="34" s="1"/>
  <c r="I2498" i="34" s="1"/>
  <c r="I2499" i="34" s="1"/>
  <c r="I2504" i="34" s="1"/>
  <c r="I2505" i="34" s="1"/>
  <c r="I2506" i="34" s="1"/>
  <c r="I2507" i="34" s="1"/>
  <c r="I2508" i="34" s="1"/>
  <c r="I2509" i="34" s="1"/>
  <c r="I2510" i="34" s="1"/>
  <c r="I2511" i="34" s="1"/>
  <c r="I2512" i="34" s="1"/>
  <c r="I2513" i="34" s="1"/>
  <c r="I2518" i="34" s="1"/>
  <c r="I2519" i="34" s="1"/>
  <c r="I2524" i="34" s="1"/>
  <c r="I2525" i="34" s="1"/>
  <c r="I2526" i="34" s="1"/>
  <c r="I2527" i="34" s="1"/>
  <c r="I2528" i="34" s="1"/>
  <c r="I2529" i="34" s="1"/>
  <c r="I2530" i="34" s="1"/>
  <c r="I2535" i="34" s="1"/>
  <c r="I2536" i="34" s="1"/>
  <c r="I2537" i="34" s="1"/>
  <c r="I2538" i="34" s="1"/>
  <c r="I2539" i="34" s="1"/>
  <c r="I2540" i="34" s="1"/>
  <c r="I2541" i="34" s="1"/>
  <c r="I2362" i="34"/>
  <c r="I2363" i="34" s="1"/>
  <c r="I2364" i="34" s="1"/>
  <c r="I2365" i="34" s="1"/>
  <c r="I2366" i="34" s="1"/>
  <c r="I2367" i="34" s="1"/>
  <c r="I2368" i="34" s="1"/>
  <c r="I2369" i="34" s="1"/>
  <c r="I2370" i="34" s="1"/>
  <c r="I2371" i="34" s="1"/>
  <c r="I2372" i="34" s="1"/>
  <c r="I2373" i="34" s="1"/>
  <c r="I2374" i="34" s="1"/>
  <c r="I2375" i="34" s="1"/>
  <c r="I2380" i="34" s="1"/>
  <c r="I2381" i="34" s="1"/>
  <c r="I2382" i="34" s="1"/>
  <c r="I2383" i="34" s="1"/>
  <c r="I2384" i="34" s="1"/>
  <c r="I2385" i="34" s="1"/>
  <c r="I2386" i="34" s="1"/>
  <c r="I2387" i="34" s="1"/>
  <c r="I2388" i="34" s="1"/>
  <c r="I2389" i="34" s="1"/>
  <c r="I2394" i="34" s="1"/>
  <c r="I2395" i="34" s="1"/>
  <c r="I2400" i="34" s="1"/>
  <c r="I2401" i="34" s="1"/>
  <c r="I2402" i="34" s="1"/>
  <c r="I2403" i="34" s="1"/>
  <c r="I2404" i="34" s="1"/>
  <c r="I2405" i="34" s="1"/>
  <c r="I2406" i="34" s="1"/>
  <c r="I2411" i="34" s="1"/>
  <c r="I2412" i="34" s="1"/>
  <c r="I2413" i="34" s="1"/>
  <c r="I2414" i="34" s="1"/>
  <c r="I2415" i="34" s="1"/>
  <c r="I2416" i="34" s="1"/>
  <c r="I2417" i="34" s="1"/>
  <c r="I2238" i="34"/>
  <c r="I2239" i="34" s="1"/>
  <c r="I2240" i="34" s="1"/>
  <c r="I2241" i="34" s="1"/>
  <c r="I2242" i="34" s="1"/>
  <c r="I2243" i="34" s="1"/>
  <c r="I2244" i="34" s="1"/>
  <c r="I2245" i="34" s="1"/>
  <c r="I2246" i="34" s="1"/>
  <c r="I2247" i="34" s="1"/>
  <c r="I2248" i="34" s="1"/>
  <c r="I2249" i="34" s="1"/>
  <c r="I2250" i="34" s="1"/>
  <c r="I2251" i="34" s="1"/>
  <c r="I2256" i="34" s="1"/>
  <c r="I2257" i="34" s="1"/>
  <c r="I2258" i="34" s="1"/>
  <c r="I2259" i="34" s="1"/>
  <c r="I2260" i="34" s="1"/>
  <c r="I2261" i="34" s="1"/>
  <c r="I2262" i="34" s="1"/>
  <c r="I2263" i="34" s="1"/>
  <c r="I2264" i="34" s="1"/>
  <c r="I2265" i="34" s="1"/>
  <c r="I2270" i="34" s="1"/>
  <c r="I2271" i="34" s="1"/>
  <c r="I2276" i="34" s="1"/>
  <c r="I2277" i="34" s="1"/>
  <c r="I2278" i="34" s="1"/>
  <c r="I2279" i="34" s="1"/>
  <c r="I2280" i="34" s="1"/>
  <c r="I2281" i="34" s="1"/>
  <c r="I2282" i="34" s="1"/>
  <c r="I2287" i="34" s="1"/>
  <c r="I2288" i="34" s="1"/>
  <c r="I2289" i="34" s="1"/>
  <c r="I2290" i="34" s="1"/>
  <c r="I2291" i="34" s="1"/>
  <c r="I2292" i="34" s="1"/>
  <c r="I2293" i="34" s="1"/>
  <c r="I2947" i="34"/>
  <c r="I2922" i="34"/>
  <c r="I2851" i="34"/>
  <c r="I2818" i="34"/>
  <c r="I2944" i="34"/>
  <c r="I2848" i="34"/>
  <c r="I2815" i="34"/>
  <c r="I2834" i="34"/>
  <c r="I2846" i="34"/>
  <c r="I2970" i="34"/>
  <c r="I2942" i="34"/>
  <c r="I2808" i="34"/>
  <c r="I2930" i="34"/>
  <c r="I2800" i="34"/>
  <c r="CH20" i="32"/>
  <c r="CH6" i="32"/>
  <c r="CD20" i="32"/>
  <c r="CD6" i="32"/>
  <c r="CF78" i="32"/>
  <c r="CF20" i="32"/>
  <c r="CG91" i="32"/>
  <c r="CG20" i="32"/>
  <c r="CE72" i="32"/>
  <c r="CE20" i="32"/>
  <c r="CI51" i="32"/>
  <c r="CI20" i="32"/>
  <c r="CJ95" i="32"/>
  <c r="CJ20" i="32"/>
  <c r="CC97" i="32"/>
  <c r="CC20" i="32"/>
  <c r="CK2" i="32"/>
  <c r="CK20" i="32"/>
  <c r="O1962" i="34"/>
  <c r="O1776" i="34"/>
  <c r="O1756" i="34"/>
  <c r="O2066" i="34"/>
  <c r="O1942" i="34"/>
  <c r="O2108" i="34"/>
  <c r="O2024" i="34"/>
  <c r="O2004" i="34"/>
  <c r="O2086" i="34"/>
  <c r="I1928" i="34"/>
  <c r="I1929" i="34" s="1"/>
  <c r="I1930" i="34" s="1"/>
  <c r="I1931" i="34" s="1"/>
  <c r="I1932" i="34" s="1"/>
  <c r="I1933" i="34" s="1"/>
  <c r="I1934" i="34" s="1"/>
  <c r="I1935" i="34" s="1"/>
  <c r="I1936" i="34" s="1"/>
  <c r="I1937" i="34" s="1"/>
  <c r="I1938" i="34" s="1"/>
  <c r="I1939" i="34" s="1"/>
  <c r="I1940" i="34" s="1"/>
  <c r="I1941" i="34" s="1"/>
  <c r="I1946" i="34" s="1"/>
  <c r="I1947" i="34" s="1"/>
  <c r="I1948" i="34" s="1"/>
  <c r="I1949" i="34" s="1"/>
  <c r="I1950" i="34" s="1"/>
  <c r="I1951" i="34" s="1"/>
  <c r="I1952" i="34" s="1"/>
  <c r="I1953" i="34" s="1"/>
  <c r="I1954" i="34" s="1"/>
  <c r="I1955" i="34" s="1"/>
  <c r="I1960" i="34" s="1"/>
  <c r="I1961" i="34" s="1"/>
  <c r="I1966" i="34" s="1"/>
  <c r="I1967" i="34" s="1"/>
  <c r="I1968" i="34" s="1"/>
  <c r="I1969" i="34" s="1"/>
  <c r="I1970" i="34" s="1"/>
  <c r="I1971" i="34" s="1"/>
  <c r="I1972" i="34" s="1"/>
  <c r="I1977" i="34" s="1"/>
  <c r="I1978" i="34" s="1"/>
  <c r="I1979" i="34" s="1"/>
  <c r="I1980" i="34" s="1"/>
  <c r="I1981" i="34" s="1"/>
  <c r="I1982" i="34" s="1"/>
  <c r="I1983" i="34" s="1"/>
  <c r="O2170" i="34"/>
  <c r="O2097" i="34"/>
  <c r="O2080" i="34"/>
  <c r="O2046" i="34"/>
  <c r="O2035" i="34"/>
  <c r="O2018" i="34"/>
  <c r="O1984" i="34"/>
  <c r="O1973" i="34"/>
  <c r="O1956" i="34"/>
  <c r="O1798" i="34"/>
  <c r="O1787" i="34"/>
  <c r="O1770" i="34"/>
  <c r="I1742" i="34"/>
  <c r="I1743" i="34" s="1"/>
  <c r="I1744" i="34" s="1"/>
  <c r="I1745" i="34" s="1"/>
  <c r="I1746" i="34" s="1"/>
  <c r="I1747" i="34" s="1"/>
  <c r="I1748" i="34" s="1"/>
  <c r="I1749" i="34" s="1"/>
  <c r="I1750" i="34" s="1"/>
  <c r="I1751" i="34" s="1"/>
  <c r="I1752" i="34" s="1"/>
  <c r="I1753" i="34" s="1"/>
  <c r="I1754" i="34" s="1"/>
  <c r="I1755" i="34" s="1"/>
  <c r="I1760" i="34" s="1"/>
  <c r="I1761" i="34" s="1"/>
  <c r="I1762" i="34" s="1"/>
  <c r="I1763" i="34" s="1"/>
  <c r="I1764" i="34" s="1"/>
  <c r="I1765" i="34" s="1"/>
  <c r="I1766" i="34" s="1"/>
  <c r="I1767" i="34" s="1"/>
  <c r="I1768" i="34" s="1"/>
  <c r="I1769" i="34" s="1"/>
  <c r="I1774" i="34" s="1"/>
  <c r="I1775" i="34" s="1"/>
  <c r="I1780" i="34" s="1"/>
  <c r="I1781" i="34" s="1"/>
  <c r="I1782" i="34" s="1"/>
  <c r="I1783" i="34" s="1"/>
  <c r="I1784" i="34" s="1"/>
  <c r="I1785" i="34" s="1"/>
  <c r="I1786" i="34" s="1"/>
  <c r="I1791" i="34" s="1"/>
  <c r="I1792" i="34" s="1"/>
  <c r="I1793" i="34" s="1"/>
  <c r="I1794" i="34" s="1"/>
  <c r="I1795" i="34" s="1"/>
  <c r="I1796" i="34" s="1"/>
  <c r="I1797" i="34" s="1"/>
  <c r="I1866" i="34"/>
  <c r="I1867" i="34" s="1"/>
  <c r="I1868" i="34" s="1"/>
  <c r="I1869" i="34" s="1"/>
  <c r="I1870" i="34" s="1"/>
  <c r="I1871" i="34" s="1"/>
  <c r="I1872" i="34" s="1"/>
  <c r="I1873" i="34" s="1"/>
  <c r="I1874" i="34" s="1"/>
  <c r="I1875" i="34" s="1"/>
  <c r="I1876" i="34" s="1"/>
  <c r="I1877" i="34" s="1"/>
  <c r="I1878" i="34" s="1"/>
  <c r="I1879" i="34" s="1"/>
  <c r="I1884" i="34" s="1"/>
  <c r="I1885" i="34" s="1"/>
  <c r="I1886" i="34" s="1"/>
  <c r="I1887" i="34" s="1"/>
  <c r="I1888" i="34" s="1"/>
  <c r="I1889" i="34" s="1"/>
  <c r="I1890" i="34" s="1"/>
  <c r="I1891" i="34" s="1"/>
  <c r="I1892" i="34" s="1"/>
  <c r="I1893" i="34" s="1"/>
  <c r="I1898" i="34" s="1"/>
  <c r="I1899" i="34" s="1"/>
  <c r="I1904" i="34" s="1"/>
  <c r="I1905" i="34" s="1"/>
  <c r="I1906" i="34" s="1"/>
  <c r="I1907" i="34" s="1"/>
  <c r="I1908" i="34" s="1"/>
  <c r="I1909" i="34" s="1"/>
  <c r="I1910" i="34" s="1"/>
  <c r="I1915" i="34" s="1"/>
  <c r="I1916" i="34" s="1"/>
  <c r="I1917" i="34" s="1"/>
  <c r="I1918" i="34" s="1"/>
  <c r="I1919" i="34" s="1"/>
  <c r="I1920" i="34" s="1"/>
  <c r="I1921" i="34" s="1"/>
  <c r="CC44" i="32"/>
  <c r="CC86" i="32"/>
  <c r="CG16" i="32"/>
  <c r="CC56" i="32"/>
  <c r="CC107" i="32"/>
  <c r="CK24" i="32"/>
  <c r="CC12" i="32"/>
  <c r="CC67" i="32"/>
  <c r="CK5" i="32"/>
  <c r="CG80" i="32"/>
  <c r="CC26" i="32"/>
  <c r="CC78" i="32"/>
  <c r="CK11" i="32"/>
  <c r="CF48" i="32"/>
  <c r="CJ101" i="32"/>
  <c r="CC10" i="32"/>
  <c r="CC37" i="32"/>
  <c r="CC63" i="32"/>
  <c r="CC79" i="32"/>
  <c r="CC112" i="32"/>
  <c r="CJ10" i="32"/>
  <c r="CG23" i="32"/>
  <c r="CF57" i="32"/>
  <c r="CG87" i="32"/>
  <c r="CG109" i="32"/>
  <c r="CJ60" i="32"/>
  <c r="CJ88" i="32"/>
  <c r="CC25" i="32"/>
  <c r="CC52" i="32"/>
  <c r="CC68" i="32"/>
  <c r="CJ5" i="32"/>
  <c r="CJ15" i="32"/>
  <c r="CJ34" i="32"/>
  <c r="CE4" i="32"/>
  <c r="CE66" i="32"/>
  <c r="CF56" i="32"/>
  <c r="CF39" i="32"/>
  <c r="CF34" i="32"/>
  <c r="CE14" i="32"/>
  <c r="CF30" i="32"/>
  <c r="CJ42" i="32"/>
  <c r="CJ57" i="32"/>
  <c r="CF70" i="32"/>
  <c r="CJ104" i="32"/>
  <c r="CC116" i="32"/>
  <c r="CC106" i="32"/>
  <c r="CC85" i="32"/>
  <c r="CC72" i="32"/>
  <c r="CC62" i="32"/>
  <c r="CC51" i="32"/>
  <c r="CC33" i="32"/>
  <c r="CC16" i="32"/>
  <c r="CC2" i="32"/>
  <c r="CG88" i="32"/>
  <c r="CG103" i="32"/>
  <c r="CG85" i="32"/>
  <c r="CG76" i="32"/>
  <c r="CG62" i="32"/>
  <c r="CG59" i="32"/>
  <c r="CG9" i="32"/>
  <c r="CK113" i="32"/>
  <c r="CK118" i="32"/>
  <c r="CK28" i="32"/>
  <c r="CK17" i="32"/>
  <c r="CK4" i="32"/>
  <c r="CC17" i="32"/>
  <c r="CC43" i="32"/>
  <c r="CC58" i="32"/>
  <c r="CC74" i="32"/>
  <c r="CC95" i="32"/>
  <c r="CC114" i="32"/>
  <c r="CJ4" i="32"/>
  <c r="CE10" i="32"/>
  <c r="CJ11" i="32"/>
  <c r="CF14" i="32"/>
  <c r="CJ19" i="32"/>
  <c r="CJ30" i="32"/>
  <c r="CE39" i="32"/>
  <c r="CI45" i="32"/>
  <c r="CF54" i="32"/>
  <c r="CJ58" i="32"/>
  <c r="CE64" i="32"/>
  <c r="CG82" i="32"/>
  <c r="CG106" i="32"/>
  <c r="I1804" i="34"/>
  <c r="I1805" i="34" s="1"/>
  <c r="I1806" i="34" s="1"/>
  <c r="I1807" i="34" s="1"/>
  <c r="I1808" i="34" s="1"/>
  <c r="I1809" i="34" s="1"/>
  <c r="I1810" i="34" s="1"/>
  <c r="I1811" i="34" s="1"/>
  <c r="I1812" i="34" s="1"/>
  <c r="I1813" i="34" s="1"/>
  <c r="I1814" i="34" s="1"/>
  <c r="I1815" i="34" s="1"/>
  <c r="I1816" i="34" s="1"/>
  <c r="I1817" i="34" s="1"/>
  <c r="I1822" i="34" s="1"/>
  <c r="I1823" i="34" s="1"/>
  <c r="I1824" i="34" s="1"/>
  <c r="I1825" i="34" s="1"/>
  <c r="I1826" i="34" s="1"/>
  <c r="I1827" i="34" s="1"/>
  <c r="I1828" i="34" s="1"/>
  <c r="I1829" i="34" s="1"/>
  <c r="I1830" i="34" s="1"/>
  <c r="I1831" i="34" s="1"/>
  <c r="I1836" i="34" s="1"/>
  <c r="I1837" i="34" s="1"/>
  <c r="I1842" i="34" s="1"/>
  <c r="I1843" i="34" s="1"/>
  <c r="I1844" i="34" s="1"/>
  <c r="I1845" i="34" s="1"/>
  <c r="I1846" i="34" s="1"/>
  <c r="I1847" i="34" s="1"/>
  <c r="I1848" i="34" s="1"/>
  <c r="I1853" i="34" s="1"/>
  <c r="I1854" i="34" s="1"/>
  <c r="I1855" i="34" s="1"/>
  <c r="I1856" i="34" s="1"/>
  <c r="I1857" i="34" s="1"/>
  <c r="I1858" i="34" s="1"/>
  <c r="I1859" i="34" s="1"/>
  <c r="I2052" i="34"/>
  <c r="I2053" i="34" s="1"/>
  <c r="I2054" i="34" s="1"/>
  <c r="I2055" i="34" s="1"/>
  <c r="I2056" i="34" s="1"/>
  <c r="I2057" i="34" s="1"/>
  <c r="I2058" i="34" s="1"/>
  <c r="I2059" i="34" s="1"/>
  <c r="I2060" i="34" s="1"/>
  <c r="I2061" i="34" s="1"/>
  <c r="I2062" i="34" s="1"/>
  <c r="I2063" i="34" s="1"/>
  <c r="I2064" i="34" s="1"/>
  <c r="I2065" i="34" s="1"/>
  <c r="I2070" i="34" s="1"/>
  <c r="I2071" i="34" s="1"/>
  <c r="I2072" i="34" s="1"/>
  <c r="I2073" i="34" s="1"/>
  <c r="I2074" i="34" s="1"/>
  <c r="I2075" i="34" s="1"/>
  <c r="I2076" i="34" s="1"/>
  <c r="I2077" i="34" s="1"/>
  <c r="I2078" i="34" s="1"/>
  <c r="I2079" i="34" s="1"/>
  <c r="I2084" i="34" s="1"/>
  <c r="I2085" i="34" s="1"/>
  <c r="I2090" i="34" s="1"/>
  <c r="I2091" i="34" s="1"/>
  <c r="I2092" i="34" s="1"/>
  <c r="I2093" i="34" s="1"/>
  <c r="I2094" i="34" s="1"/>
  <c r="I2095" i="34" s="1"/>
  <c r="I2096" i="34" s="1"/>
  <c r="I2101" i="34" s="1"/>
  <c r="I2102" i="34" s="1"/>
  <c r="I2103" i="34" s="1"/>
  <c r="I2104" i="34" s="1"/>
  <c r="I2105" i="34" s="1"/>
  <c r="I2106" i="34" s="1"/>
  <c r="I2107" i="34" s="1"/>
  <c r="CE117" i="32"/>
  <c r="CE68" i="32"/>
  <c r="CE44" i="32"/>
  <c r="CE11" i="32"/>
  <c r="CE13" i="32"/>
  <c r="CI42" i="32"/>
  <c r="CJ91" i="32"/>
  <c r="CJ14" i="32"/>
  <c r="CJ12" i="32"/>
  <c r="CF4" i="32"/>
  <c r="CF11" i="32"/>
  <c r="CJ37" i="32"/>
  <c r="CF53" i="32"/>
  <c r="CJ61" i="32"/>
  <c r="CF5" i="32"/>
  <c r="CF10" i="32"/>
  <c r="CE15" i="32"/>
  <c r="CE34" i="32"/>
  <c r="CJ39" i="32"/>
  <c r="CJ45" i="32"/>
  <c r="CJ54" i="32"/>
  <c r="CF60" i="32"/>
  <c r="CF65" i="32"/>
  <c r="CF74" i="32"/>
  <c r="CF97" i="32"/>
  <c r="I2114" i="34"/>
  <c r="I2115" i="34" s="1"/>
  <c r="I2116" i="34" s="1"/>
  <c r="I2117" i="34" s="1"/>
  <c r="I2118" i="34" s="1"/>
  <c r="I2119" i="34" s="1"/>
  <c r="I2120" i="34" s="1"/>
  <c r="I2121" i="34" s="1"/>
  <c r="I2122" i="34" s="1"/>
  <c r="I2123" i="34" s="1"/>
  <c r="I2124" i="34" s="1"/>
  <c r="I2125" i="34" s="1"/>
  <c r="I2126" i="34" s="1"/>
  <c r="I2127" i="34" s="1"/>
  <c r="I2132" i="34" s="1"/>
  <c r="I2133" i="34" s="1"/>
  <c r="I2134" i="34" s="1"/>
  <c r="I2135" i="34" s="1"/>
  <c r="I2136" i="34" s="1"/>
  <c r="I2137" i="34" s="1"/>
  <c r="I2138" i="34" s="1"/>
  <c r="I2139" i="34" s="1"/>
  <c r="I2140" i="34" s="1"/>
  <c r="I2141" i="34" s="1"/>
  <c r="I2146" i="34" s="1"/>
  <c r="I2147" i="34" s="1"/>
  <c r="I2152" i="34" s="1"/>
  <c r="I2153" i="34" s="1"/>
  <c r="I2154" i="34" s="1"/>
  <c r="I2155" i="34" s="1"/>
  <c r="I2156" i="34" s="1"/>
  <c r="I2157" i="34" s="1"/>
  <c r="I2158" i="34" s="1"/>
  <c r="I2163" i="34" s="1"/>
  <c r="I2164" i="34" s="1"/>
  <c r="I2165" i="34" s="1"/>
  <c r="I2166" i="34" s="1"/>
  <c r="I2167" i="34" s="1"/>
  <c r="I2168" i="34" s="1"/>
  <c r="I2169" i="34" s="1"/>
  <c r="I1990" i="34"/>
  <c r="I1991" i="34" s="1"/>
  <c r="I1992" i="34" s="1"/>
  <c r="I1993" i="34" s="1"/>
  <c r="I1994" i="34" s="1"/>
  <c r="I1995" i="34" s="1"/>
  <c r="I1996" i="34" s="1"/>
  <c r="I1997" i="34" s="1"/>
  <c r="I1998" i="34" s="1"/>
  <c r="I1999" i="34" s="1"/>
  <c r="I2000" i="34" s="1"/>
  <c r="I2001" i="34" s="1"/>
  <c r="I2002" i="34" s="1"/>
  <c r="I2003" i="34" s="1"/>
  <c r="I2008" i="34" s="1"/>
  <c r="I2009" i="34" s="1"/>
  <c r="I2010" i="34" s="1"/>
  <c r="I2011" i="34" s="1"/>
  <c r="I2012" i="34" s="1"/>
  <c r="I2013" i="34" s="1"/>
  <c r="I2014" i="34" s="1"/>
  <c r="I2015" i="34" s="1"/>
  <c r="I2016" i="34" s="1"/>
  <c r="I2017" i="34" s="1"/>
  <c r="I2022" i="34" s="1"/>
  <c r="I2023" i="34" s="1"/>
  <c r="I2028" i="34" s="1"/>
  <c r="I2029" i="34" s="1"/>
  <c r="I2030" i="34" s="1"/>
  <c r="I2031" i="34" s="1"/>
  <c r="I2032" i="34" s="1"/>
  <c r="I2033" i="34" s="1"/>
  <c r="I2034" i="34" s="1"/>
  <c r="I2039" i="34" s="1"/>
  <c r="I2040" i="34" s="1"/>
  <c r="I2041" i="34" s="1"/>
  <c r="I2042" i="34" s="1"/>
  <c r="I2043" i="34" s="1"/>
  <c r="I2044" i="34" s="1"/>
  <c r="I2045" i="34" s="1"/>
  <c r="CD116" i="32"/>
  <c r="CD112" i="32"/>
  <c r="CD108" i="32"/>
  <c r="CD104" i="32"/>
  <c r="CD97" i="32"/>
  <c r="CD90" i="32"/>
  <c r="CD86" i="32"/>
  <c r="CD81" i="32"/>
  <c r="CD77" i="32"/>
  <c r="CD73" i="32"/>
  <c r="CD69" i="32"/>
  <c r="CD65" i="32"/>
  <c r="CD61" i="32"/>
  <c r="CD57" i="32"/>
  <c r="CD53" i="32"/>
  <c r="CD46" i="32"/>
  <c r="CD42" i="32"/>
  <c r="CD34" i="32"/>
  <c r="CD28" i="32"/>
  <c r="CD23" i="32"/>
  <c r="CD15" i="32"/>
  <c r="CD11" i="32"/>
  <c r="CD4" i="32"/>
  <c r="CD118" i="32"/>
  <c r="CD113" i="32"/>
  <c r="CD107" i="32"/>
  <c r="CD102" i="32"/>
  <c r="CD91" i="32"/>
  <c r="CD85" i="32"/>
  <c r="CD79" i="32"/>
  <c r="CD74" i="32"/>
  <c r="CD68" i="32"/>
  <c r="CD63" i="32"/>
  <c r="CD58" i="32"/>
  <c r="CD52" i="32"/>
  <c r="CD44" i="32"/>
  <c r="CD37" i="32"/>
  <c r="CD26" i="32"/>
  <c r="CD17" i="32"/>
  <c r="CD12" i="32"/>
  <c r="CH117" i="32"/>
  <c r="CH113" i="32"/>
  <c r="CH109" i="32"/>
  <c r="CH105" i="32"/>
  <c r="CH101" i="32"/>
  <c r="CH91" i="32"/>
  <c r="CH87" i="32"/>
  <c r="CH82" i="32"/>
  <c r="CH78" i="32"/>
  <c r="CH74" i="32"/>
  <c r="CH70" i="32"/>
  <c r="CH66" i="32"/>
  <c r="CH118" i="32"/>
  <c r="CH114" i="32"/>
  <c r="CH111" i="32"/>
  <c r="CH108" i="32"/>
  <c r="CH95" i="32"/>
  <c r="CH110" i="32"/>
  <c r="CH107" i="32"/>
  <c r="CH104" i="32"/>
  <c r="CH88" i="32"/>
  <c r="CH85" i="32"/>
  <c r="CH81" i="32"/>
  <c r="CH71" i="32"/>
  <c r="CH68" i="32"/>
  <c r="CH65" i="32"/>
  <c r="CH61" i="32"/>
  <c r="CH57" i="32"/>
  <c r="CH53" i="32"/>
  <c r="CH46" i="32"/>
  <c r="CH42" i="32"/>
  <c r="CH34" i="32"/>
  <c r="CH28" i="32"/>
  <c r="CH23" i="32"/>
  <c r="CH15" i="32"/>
  <c r="CH11" i="32"/>
  <c r="CH4" i="32"/>
  <c r="CH116" i="32"/>
  <c r="CH54" i="32"/>
  <c r="CH51" i="32"/>
  <c r="CH45" i="32"/>
  <c r="CH30" i="32"/>
  <c r="CH25" i="32"/>
  <c r="CH19" i="32"/>
  <c r="CH102" i="32"/>
  <c r="CH96" i="32"/>
  <c r="CH67" i="32"/>
  <c r="CH64" i="32"/>
  <c r="CH63" i="32"/>
  <c r="CH60" i="32"/>
  <c r="CH48" i="32"/>
  <c r="CH44" i="32"/>
  <c r="CH39" i="32"/>
  <c r="CH24" i="32"/>
  <c r="CH17" i="32"/>
  <c r="CH14" i="32"/>
  <c r="CD2" i="32"/>
  <c r="CD10" i="32"/>
  <c r="CD19" i="32"/>
  <c r="CD31" i="32"/>
  <c r="CD43" i="32"/>
  <c r="CD54" i="32"/>
  <c r="CD60" i="32"/>
  <c r="CD67" i="32"/>
  <c r="CD75" i="32"/>
  <c r="CD82" i="32"/>
  <c r="CD89" i="32"/>
  <c r="CD103" i="32"/>
  <c r="CD110" i="32"/>
  <c r="CD117" i="32"/>
  <c r="CH26" i="32"/>
  <c r="CH31" i="32"/>
  <c r="CH37" i="32"/>
  <c r="CI118" i="32"/>
  <c r="CI114" i="32"/>
  <c r="CI110" i="32"/>
  <c r="CI106" i="32"/>
  <c r="CI102" i="32"/>
  <c r="CI95" i="32"/>
  <c r="CI88" i="32"/>
  <c r="CI83" i="32"/>
  <c r="CI79" i="32"/>
  <c r="CI75" i="32"/>
  <c r="CI71" i="32"/>
  <c r="CI67" i="32"/>
  <c r="CI63" i="32"/>
  <c r="CI117" i="32"/>
  <c r="CI107" i="32"/>
  <c r="CI104" i="32"/>
  <c r="CI101" i="32"/>
  <c r="CI116" i="32"/>
  <c r="CI113" i="32"/>
  <c r="CI103" i="32"/>
  <c r="CI97" i="32"/>
  <c r="CI91" i="32"/>
  <c r="CI80" i="32"/>
  <c r="CI77" i="32"/>
  <c r="CI74" i="32"/>
  <c r="CI64" i="32"/>
  <c r="CI62" i="32"/>
  <c r="CI58" i="32"/>
  <c r="CI54" i="32"/>
  <c r="CI48" i="32"/>
  <c r="CI43" i="32"/>
  <c r="CI37" i="32"/>
  <c r="CI30" i="32"/>
  <c r="CI24" i="32"/>
  <c r="CI16" i="32"/>
  <c r="CI12" i="32"/>
  <c r="CI5" i="32"/>
  <c r="CI96" i="32"/>
  <c r="CI60" i="32"/>
  <c r="CI57" i="32"/>
  <c r="CI44" i="32"/>
  <c r="CI39" i="32"/>
  <c r="CI34" i="32"/>
  <c r="CI17" i="32"/>
  <c r="CI111" i="32"/>
  <c r="CI108" i="32"/>
  <c r="CI105" i="32"/>
  <c r="CI76" i="32"/>
  <c r="CI73" i="32"/>
  <c r="CI72" i="32"/>
  <c r="CI70" i="32"/>
  <c r="CI69" i="32"/>
  <c r="CI68" i="32"/>
  <c r="CI66" i="32"/>
  <c r="CI65" i="32"/>
  <c r="CI59" i="32"/>
  <c r="CI56" i="32"/>
  <c r="CI53" i="32"/>
  <c r="CI38" i="32"/>
  <c r="CI33" i="32"/>
  <c r="CI28" i="32"/>
  <c r="CI13" i="32"/>
  <c r="CI10" i="32"/>
  <c r="CI4" i="32"/>
  <c r="CI2" i="32"/>
  <c r="CD13" i="32"/>
  <c r="CD24" i="32"/>
  <c r="CD45" i="32"/>
  <c r="CD62" i="32"/>
  <c r="CD70" i="32"/>
  <c r="CD83" i="32"/>
  <c r="CD105" i="32"/>
  <c r="CD111" i="32"/>
  <c r="CE2" i="32"/>
  <c r="CG12" i="32"/>
  <c r="CG13" i="32"/>
  <c r="CG15" i="32"/>
  <c r="CH16" i="32"/>
  <c r="CE19" i="32"/>
  <c r="CI23" i="32"/>
  <c r="CE25" i="32"/>
  <c r="CI26" i="32"/>
  <c r="CI31" i="32"/>
  <c r="CG44" i="32"/>
  <c r="CG48" i="32"/>
  <c r="CK51" i="32"/>
  <c r="CG53" i="32"/>
  <c r="CK54" i="32"/>
  <c r="CH56" i="32"/>
  <c r="CK57" i="32"/>
  <c r="CH59" i="32"/>
  <c r="CE61" i="32"/>
  <c r="CH62" i="32"/>
  <c r="CG64" i="32"/>
  <c r="CG66" i="32"/>
  <c r="CG68" i="32"/>
  <c r="CG70" i="32"/>
  <c r="CH72" i="32"/>
  <c r="CG74" i="32"/>
  <c r="CH76" i="32"/>
  <c r="CI78" i="32"/>
  <c r="CH80" i="32"/>
  <c r="CI82" i="32"/>
  <c r="CI85" i="32"/>
  <c r="CI87" i="32"/>
  <c r="CI89" i="32"/>
  <c r="CH97" i="32"/>
  <c r="CH103" i="32"/>
  <c r="CH106" i="32"/>
  <c r="CI109" i="32"/>
  <c r="CI112" i="32"/>
  <c r="CI115" i="32"/>
  <c r="CF118" i="32"/>
  <c r="CF115" i="32"/>
  <c r="CF111" i="32"/>
  <c r="CF107" i="32"/>
  <c r="CF103" i="32"/>
  <c r="CF96" i="32"/>
  <c r="CF89" i="32"/>
  <c r="CF85" i="32"/>
  <c r="CF80" i="32"/>
  <c r="CF76" i="32"/>
  <c r="CF72" i="32"/>
  <c r="CF68" i="32"/>
  <c r="CF64" i="32"/>
  <c r="CF112" i="32"/>
  <c r="CF109" i="32"/>
  <c r="CF106" i="32"/>
  <c r="CF108" i="32"/>
  <c r="CF105" i="32"/>
  <c r="CF102" i="32"/>
  <c r="CF86" i="32"/>
  <c r="CF82" i="32"/>
  <c r="CF79" i="32"/>
  <c r="CF69" i="32"/>
  <c r="CF66" i="32"/>
  <c r="CF63" i="32"/>
  <c r="CF59" i="32"/>
  <c r="CF55" i="32"/>
  <c r="CF51" i="32"/>
  <c r="CF44" i="32"/>
  <c r="CF38" i="32"/>
  <c r="CF31" i="32"/>
  <c r="CF25" i="32"/>
  <c r="CF17" i="32"/>
  <c r="CF13" i="32"/>
  <c r="CF9" i="32"/>
  <c r="CF2" i="32"/>
  <c r="CF104" i="32"/>
  <c r="CF101" i="32"/>
  <c r="CF95" i="32"/>
  <c r="CF91" i="32"/>
  <c r="CF90" i="32"/>
  <c r="CF88" i="32"/>
  <c r="CF87" i="32"/>
  <c r="CF83" i="32"/>
  <c r="CF62" i="32"/>
  <c r="CF52" i="32"/>
  <c r="CF46" i="32"/>
  <c r="CF43" i="32"/>
  <c r="CF26" i="32"/>
  <c r="CF23" i="32"/>
  <c r="CF16" i="32"/>
  <c r="CF116" i="32"/>
  <c r="CF113" i="32"/>
  <c r="CF110" i="32"/>
  <c r="CF61" i="32"/>
  <c r="CF58" i="32"/>
  <c r="CF45" i="32"/>
  <c r="CF42" i="32"/>
  <c r="CF37" i="32"/>
  <c r="CF19" i="32"/>
  <c r="CF15" i="32"/>
  <c r="CF12" i="32"/>
  <c r="CC5" i="32"/>
  <c r="CC13" i="32"/>
  <c r="CC19" i="32"/>
  <c r="CC30" i="32"/>
  <c r="CC38" i="32"/>
  <c r="CC45" i="32"/>
  <c r="CC54" i="32"/>
  <c r="CC59" i="32"/>
  <c r="CC64" i="32"/>
  <c r="CC70" i="32"/>
  <c r="CC75" i="32"/>
  <c r="CC80" i="32"/>
  <c r="CC89" i="32"/>
  <c r="CC102" i="32"/>
  <c r="CC108" i="32"/>
  <c r="CD5" i="32"/>
  <c r="CD14" i="32"/>
  <c r="CD25" i="32"/>
  <c r="CD38" i="32"/>
  <c r="CD48" i="32"/>
  <c r="CD56" i="32"/>
  <c r="CD64" i="32"/>
  <c r="CD71" i="32"/>
  <c r="CD78" i="32"/>
  <c r="CD87" i="32"/>
  <c r="CD96" i="32"/>
  <c r="CD106" i="32"/>
  <c r="CD114" i="32"/>
  <c r="CG2" i="32"/>
  <c r="CG4" i="32"/>
  <c r="CH5" i="32"/>
  <c r="CH9" i="32"/>
  <c r="CH10" i="32"/>
  <c r="CI11" i="32"/>
  <c r="CH12" i="32"/>
  <c r="CH13" i="32"/>
  <c r="CI14" i="32"/>
  <c r="CI15" i="32"/>
  <c r="CE17" i="32"/>
  <c r="CI19" i="32"/>
  <c r="CF24" i="32"/>
  <c r="CI25" i="32"/>
  <c r="CF28" i="32"/>
  <c r="CF33" i="32"/>
  <c r="CG38" i="32"/>
  <c r="CG43" i="32"/>
  <c r="CK44" i="32"/>
  <c r="CG46" i="32"/>
  <c r="CK48" i="32"/>
  <c r="CH52" i="32"/>
  <c r="CK53" i="32"/>
  <c r="CH55" i="32"/>
  <c r="CE57" i="32"/>
  <c r="CH58" i="32"/>
  <c r="CE60" i="32"/>
  <c r="CI61" i="32"/>
  <c r="CE63" i="32"/>
  <c r="CE65" i="32"/>
  <c r="CF67" i="32"/>
  <c r="CE69" i="32"/>
  <c r="CF71" i="32"/>
  <c r="CF73" i="32"/>
  <c r="CF75" i="32"/>
  <c r="CF77" i="32"/>
  <c r="CG79" i="32"/>
  <c r="CF81" i="32"/>
  <c r="CG83" i="32"/>
  <c r="CH86" i="32"/>
  <c r="CH90" i="32"/>
  <c r="CK107" i="32"/>
  <c r="CK110" i="32"/>
  <c r="CH89" i="32"/>
  <c r="CH112" i="32"/>
  <c r="CH115" i="32"/>
  <c r="CE118" i="32"/>
  <c r="CE114" i="32"/>
  <c r="CE110" i="32"/>
  <c r="CE106" i="32"/>
  <c r="CE102" i="32"/>
  <c r="CE95" i="32"/>
  <c r="CE88" i="32"/>
  <c r="CE83" i="32"/>
  <c r="CE79" i="32"/>
  <c r="CE75" i="32"/>
  <c r="CE71" i="32"/>
  <c r="CE67" i="32"/>
  <c r="CE116" i="32"/>
  <c r="CE113" i="32"/>
  <c r="CE103" i="32"/>
  <c r="CE97" i="32"/>
  <c r="CE115" i="32"/>
  <c r="CE112" i="32"/>
  <c r="CE109" i="32"/>
  <c r="CE96" i="32"/>
  <c r="CE90" i="32"/>
  <c r="CE87" i="32"/>
  <c r="CE76" i="32"/>
  <c r="CE73" i="32"/>
  <c r="CE70" i="32"/>
  <c r="CE62" i="32"/>
  <c r="CE58" i="32"/>
  <c r="CE54" i="32"/>
  <c r="CE48" i="32"/>
  <c r="CE43" i="32"/>
  <c r="CE37" i="32"/>
  <c r="CE30" i="32"/>
  <c r="CE24" i="32"/>
  <c r="CE16" i="32"/>
  <c r="CE12" i="32"/>
  <c r="CE5" i="32"/>
  <c r="CE89" i="32"/>
  <c r="CE86" i="32"/>
  <c r="CE85" i="32"/>
  <c r="CE82" i="32"/>
  <c r="CE81" i="32"/>
  <c r="CE80" i="32"/>
  <c r="CE78" i="32"/>
  <c r="CE77" i="32"/>
  <c r="CE74" i="32"/>
  <c r="CE59" i="32"/>
  <c r="CE56" i="32"/>
  <c r="CE53" i="32"/>
  <c r="CE38" i="32"/>
  <c r="CE33" i="32"/>
  <c r="CE28" i="32"/>
  <c r="CE107" i="32"/>
  <c r="CE104" i="32"/>
  <c r="CE101" i="32"/>
  <c r="CE91" i="32"/>
  <c r="CE55" i="32"/>
  <c r="CE52" i="32"/>
  <c r="CE46" i="32"/>
  <c r="CE31" i="32"/>
  <c r="CE26" i="32"/>
  <c r="CE23" i="32"/>
  <c r="CE9" i="32"/>
  <c r="CD33" i="32"/>
  <c r="CD55" i="32"/>
  <c r="CD76" i="32"/>
  <c r="CD95" i="32"/>
  <c r="CC117" i="32"/>
  <c r="CC113" i="32"/>
  <c r="CC109" i="32"/>
  <c r="CC105" i="32"/>
  <c r="CC101" i="32"/>
  <c r="CC91" i="32"/>
  <c r="CC87" i="32"/>
  <c r="CC82" i="32"/>
  <c r="CC115" i="32"/>
  <c r="CC110" i="32"/>
  <c r="CC104" i="32"/>
  <c r="CC96" i="32"/>
  <c r="CC88" i="32"/>
  <c r="CC81" i="32"/>
  <c r="CC77" i="32"/>
  <c r="CC73" i="32"/>
  <c r="CC69" i="32"/>
  <c r="CC65" i="32"/>
  <c r="CC61" i="32"/>
  <c r="CC57" i="32"/>
  <c r="CC53" i="32"/>
  <c r="CC46" i="32"/>
  <c r="CC42" i="32"/>
  <c r="CC34" i="32"/>
  <c r="CC28" i="32"/>
  <c r="CC23" i="32"/>
  <c r="CC15" i="32"/>
  <c r="CC11" i="32"/>
  <c r="CC4" i="32"/>
  <c r="CG116" i="32"/>
  <c r="CG112" i="32"/>
  <c r="CG108" i="32"/>
  <c r="CG104" i="32"/>
  <c r="CG97" i="32"/>
  <c r="CG90" i="32"/>
  <c r="CG86" i="32"/>
  <c r="CG81" i="32"/>
  <c r="CG77" i="32"/>
  <c r="CG73" i="32"/>
  <c r="CG69" i="32"/>
  <c r="CG65" i="32"/>
  <c r="CG115" i="32"/>
  <c r="CG105" i="32"/>
  <c r="CG102" i="32"/>
  <c r="CG96" i="32"/>
  <c r="CG118" i="32"/>
  <c r="CG117" i="32"/>
  <c r="CG114" i="32"/>
  <c r="CG111" i="32"/>
  <c r="CG101" i="32"/>
  <c r="CG95" i="32"/>
  <c r="CG89" i="32"/>
  <c r="CG78" i="32"/>
  <c r="CG75" i="32"/>
  <c r="CG72" i="32"/>
  <c r="CG60" i="32"/>
  <c r="CG56" i="32"/>
  <c r="CG52" i="32"/>
  <c r="CG45" i="32"/>
  <c r="CG39" i="32"/>
  <c r="CG33" i="32"/>
  <c r="CG26" i="32"/>
  <c r="CG19" i="32"/>
  <c r="CG14" i="32"/>
  <c r="CG10" i="32"/>
  <c r="CG113" i="32"/>
  <c r="CG110" i="32"/>
  <c r="CG107" i="32"/>
  <c r="CG61" i="32"/>
  <c r="CG58" i="32"/>
  <c r="CG55" i="32"/>
  <c r="CG42" i="32"/>
  <c r="CG37" i="32"/>
  <c r="CG31" i="32"/>
  <c r="CG57" i="32"/>
  <c r="CG54" i="32"/>
  <c r="CG51" i="32"/>
  <c r="CG34" i="32"/>
  <c r="CG30" i="32"/>
  <c r="CG25" i="32"/>
  <c r="CG11" i="32"/>
  <c r="CG5" i="32"/>
  <c r="CK116" i="32"/>
  <c r="CK112" i="32"/>
  <c r="CK108" i="32"/>
  <c r="CK104" i="32"/>
  <c r="CK97" i="32"/>
  <c r="CK90" i="32"/>
  <c r="CK86" i="32"/>
  <c r="CK81" i="32"/>
  <c r="CK77" i="32"/>
  <c r="CK73" i="32"/>
  <c r="CK69" i="32"/>
  <c r="CK65" i="32"/>
  <c r="CK109" i="32"/>
  <c r="CK106" i="32"/>
  <c r="CK103" i="32"/>
  <c r="CK115" i="32"/>
  <c r="CK105" i="32"/>
  <c r="CK102" i="32"/>
  <c r="CK96" i="32"/>
  <c r="CK82" i="32"/>
  <c r="CK79" i="32"/>
  <c r="CK76" i="32"/>
  <c r="CK66" i="32"/>
  <c r="CK63" i="32"/>
  <c r="CK60" i="32"/>
  <c r="CK56" i="32"/>
  <c r="CK52" i="32"/>
  <c r="CK45" i="32"/>
  <c r="CK39" i="32"/>
  <c r="CK33" i="32"/>
  <c r="CK26" i="32"/>
  <c r="CK19" i="32"/>
  <c r="CK14" i="32"/>
  <c r="CK10" i="32"/>
  <c r="CK117" i="32"/>
  <c r="CK114" i="32"/>
  <c r="CK111" i="32"/>
  <c r="CK78" i="32"/>
  <c r="CK75" i="32"/>
  <c r="CK74" i="32"/>
  <c r="CK72" i="32"/>
  <c r="CK71" i="32"/>
  <c r="CK70" i="32"/>
  <c r="CK68" i="32"/>
  <c r="CK67" i="32"/>
  <c r="CK64" i="32"/>
  <c r="CK62" i="32"/>
  <c r="CK59" i="32"/>
  <c r="CK46" i="32"/>
  <c r="CK43" i="32"/>
  <c r="CK38" i="32"/>
  <c r="CK23" i="32"/>
  <c r="CK16" i="32"/>
  <c r="CK91" i="32"/>
  <c r="CK89" i="32"/>
  <c r="CK88" i="32"/>
  <c r="CK87" i="32"/>
  <c r="CK85" i="32"/>
  <c r="CK83" i="32"/>
  <c r="CK80" i="32"/>
  <c r="CK61" i="32"/>
  <c r="CK58" i="32"/>
  <c r="CK55" i="32"/>
  <c r="CK42" i="32"/>
  <c r="CK37" i="32"/>
  <c r="CK31" i="32"/>
  <c r="CK15" i="32"/>
  <c r="CK12" i="32"/>
  <c r="CK9" i="32"/>
  <c r="CC9" i="32"/>
  <c r="CC14" i="32"/>
  <c r="CC24" i="32"/>
  <c r="CC31" i="32"/>
  <c r="CC39" i="32"/>
  <c r="CC48" i="32"/>
  <c r="CC55" i="32"/>
  <c r="CC60" i="32"/>
  <c r="CC66" i="32"/>
  <c r="CC71" i="32"/>
  <c r="CC76" i="32"/>
  <c r="CC83" i="32"/>
  <c r="CC90" i="32"/>
  <c r="CC103" i="32"/>
  <c r="CC111" i="32"/>
  <c r="CC118" i="32"/>
  <c r="CD9" i="32"/>
  <c r="CD16" i="32"/>
  <c r="CD30" i="32"/>
  <c r="CD39" i="32"/>
  <c r="CD51" i="32"/>
  <c r="CD59" i="32"/>
  <c r="CD66" i="32"/>
  <c r="CD72" i="32"/>
  <c r="CD80" i="32"/>
  <c r="CD88" i="32"/>
  <c r="CD101" i="32"/>
  <c r="CD109" i="32"/>
  <c r="CD115" i="32"/>
  <c r="CH2" i="32"/>
  <c r="CI9" i="32"/>
  <c r="CK13" i="32"/>
  <c r="CG17" i="32"/>
  <c r="CG24" i="32"/>
  <c r="CK25" i="32"/>
  <c r="CG28" i="32"/>
  <c r="CK30" i="32"/>
  <c r="CH33" i="32"/>
  <c r="CK34" i="32"/>
  <c r="CH38" i="32"/>
  <c r="CE42" i="32"/>
  <c r="CH43" i="32"/>
  <c r="CE45" i="32"/>
  <c r="CI46" i="32"/>
  <c r="CE51" i="32"/>
  <c r="CI52" i="32"/>
  <c r="CI55" i="32"/>
  <c r="CG63" i="32"/>
  <c r="CG67" i="32"/>
  <c r="CH69" i="32"/>
  <c r="CG71" i="32"/>
  <c r="CH73" i="32"/>
  <c r="CH75" i="32"/>
  <c r="CH77" i="32"/>
  <c r="CH79" i="32"/>
  <c r="CI81" i="32"/>
  <c r="CH83" i="32"/>
  <c r="CI86" i="32"/>
  <c r="CI90" i="32"/>
  <c r="CK95" i="32"/>
  <c r="CK101" i="32"/>
  <c r="CE105" i="32"/>
  <c r="CE108" i="32"/>
  <c r="CE111" i="32"/>
  <c r="CF114" i="32"/>
  <c r="CF117" i="32"/>
  <c r="CJ118" i="32"/>
  <c r="CJ115" i="32"/>
  <c r="CJ111" i="32"/>
  <c r="CJ107" i="32"/>
  <c r="CJ103" i="32"/>
  <c r="CJ96" i="32"/>
  <c r="CJ89" i="32"/>
  <c r="CJ85" i="32"/>
  <c r="CJ80" i="32"/>
  <c r="CJ76" i="32"/>
  <c r="CJ72" i="32"/>
  <c r="CJ68" i="32"/>
  <c r="CJ64" i="32"/>
  <c r="CJ116" i="32"/>
  <c r="CJ113" i="32"/>
  <c r="CJ110" i="32"/>
  <c r="CJ97" i="32"/>
  <c r="CJ112" i="32"/>
  <c r="CJ109" i="32"/>
  <c r="CJ106" i="32"/>
  <c r="CJ90" i="32"/>
  <c r="CJ87" i="32"/>
  <c r="CJ83" i="32"/>
  <c r="CJ73" i="32"/>
  <c r="CJ70" i="32"/>
  <c r="CJ67" i="32"/>
  <c r="CJ59" i="32"/>
  <c r="CJ55" i="32"/>
  <c r="CJ51" i="32"/>
  <c r="CJ44" i="32"/>
  <c r="CJ38" i="32"/>
  <c r="CJ31" i="32"/>
  <c r="CJ25" i="32"/>
  <c r="CJ17" i="32"/>
  <c r="CJ13" i="32"/>
  <c r="CJ9" i="32"/>
  <c r="CJ2" i="32"/>
  <c r="CJ16" i="32"/>
  <c r="CJ23" i="32"/>
  <c r="CJ26" i="32"/>
  <c r="CJ43" i="32"/>
  <c r="CJ46" i="32"/>
  <c r="CJ52" i="32"/>
  <c r="CJ62" i="32"/>
  <c r="CJ71" i="32"/>
  <c r="CJ74" i="32"/>
  <c r="CJ75" i="32"/>
  <c r="CJ77" i="32"/>
  <c r="CJ78" i="32"/>
  <c r="CJ79" i="32"/>
  <c r="CJ81" i="32"/>
  <c r="CJ82" i="32"/>
  <c r="CJ86" i="32"/>
  <c r="CJ114" i="32"/>
  <c r="CJ117" i="32"/>
  <c r="CJ24" i="32"/>
  <c r="CJ28" i="32"/>
  <c r="CJ33" i="32"/>
  <c r="CJ48" i="32"/>
  <c r="CJ53" i="32"/>
  <c r="CJ56" i="32"/>
  <c r="CJ63" i="32"/>
  <c r="CJ65" i="32"/>
  <c r="CJ66" i="32"/>
  <c r="CJ69" i="32"/>
  <c r="CJ102" i="32"/>
  <c r="CJ105" i="32"/>
  <c r="CJ108" i="32"/>
  <c r="Q2982" i="34" l="1"/>
  <c r="Q3000" i="34" s="1"/>
  <c r="Q3001" i="34" s="1"/>
  <c r="Q3002" i="34" s="1"/>
  <c r="Q3003" i="34" s="1"/>
  <c r="Q3004" i="34" s="1"/>
  <c r="Q3005" i="34" s="1"/>
  <c r="Q3006" i="34" s="1"/>
  <c r="Q3007" i="34" s="1"/>
  <c r="Q3008" i="34" s="1"/>
  <c r="Q3009" i="34" s="1"/>
  <c r="Q3014" i="34" s="1"/>
  <c r="Q3015" i="34" s="1"/>
  <c r="Q3020" i="34" s="1"/>
  <c r="Q3021" i="34" s="1"/>
  <c r="Q3022" i="34" s="1"/>
  <c r="Q3023" i="34" s="1"/>
  <c r="Q3024" i="34" s="1"/>
  <c r="Q3025" i="34" s="1"/>
  <c r="Q3026" i="34" s="1"/>
  <c r="Q3031" i="34" s="1"/>
  <c r="Q3032" i="34" s="1"/>
  <c r="Q3033" i="34" s="1"/>
  <c r="Q3034" i="34" s="1"/>
  <c r="Q3035" i="34" s="1"/>
  <c r="Q3036" i="34" s="1"/>
  <c r="Q3037" i="34" s="1"/>
  <c r="Q2176" i="34"/>
  <c r="Q2486" i="34"/>
  <c r="Q2858" i="34"/>
  <c r="Q2300" i="34"/>
  <c r="Q2734" i="34"/>
  <c r="Q2238" i="34"/>
  <c r="Q3044" i="34"/>
  <c r="Q2796" i="34"/>
  <c r="Q2920" i="34"/>
  <c r="Q2424" i="34"/>
  <c r="Q2548" i="34"/>
  <c r="Q2610" i="34"/>
  <c r="Q2362" i="34"/>
  <c r="Q1742" i="34"/>
  <c r="Q1760" i="34" s="1"/>
  <c r="Q1761" i="34" s="1"/>
  <c r="Q1762" i="34" s="1"/>
  <c r="Q1763" i="34" s="1"/>
  <c r="Q1764" i="34" s="1"/>
  <c r="Q1765" i="34" s="1"/>
  <c r="Q1766" i="34" s="1"/>
  <c r="Q1767" i="34" s="1"/>
  <c r="Q1768" i="34" s="1"/>
  <c r="Q1769" i="34" s="1"/>
  <c r="Q1774" i="34" s="1"/>
  <c r="Q1775" i="34" s="1"/>
  <c r="Q1780" i="34" s="1"/>
  <c r="Q1781" i="34" s="1"/>
  <c r="Q1782" i="34" s="1"/>
  <c r="Q1783" i="34" s="1"/>
  <c r="Q1784" i="34" s="1"/>
  <c r="Q1785" i="34" s="1"/>
  <c r="Q1786" i="34" s="1"/>
  <c r="Q1791" i="34" s="1"/>
  <c r="Q1792" i="34" s="1"/>
  <c r="Q1793" i="34" s="1"/>
  <c r="Q1794" i="34" s="1"/>
  <c r="Q1795" i="34" s="1"/>
  <c r="Q1796" i="34" s="1"/>
  <c r="Q1797" i="34" s="1"/>
  <c r="Q2114" i="34"/>
  <c r="Q2115" i="34" s="1"/>
  <c r="Q2116" i="34" s="1"/>
  <c r="Q2117" i="34" s="1"/>
  <c r="Q2118" i="34" s="1"/>
  <c r="Q2119" i="34" s="1"/>
  <c r="Q2120" i="34" s="1"/>
  <c r="Q2121" i="34" s="1"/>
  <c r="Q2122" i="34" s="1"/>
  <c r="Q2123" i="34" s="1"/>
  <c r="Q2124" i="34" s="1"/>
  <c r="Q2125" i="34" s="1"/>
  <c r="Q2126" i="34" s="1"/>
  <c r="Q2127" i="34" s="1"/>
  <c r="Q1928" i="34"/>
  <c r="Q1946" i="34" s="1"/>
  <c r="Q1947" i="34" s="1"/>
  <c r="Q1948" i="34" s="1"/>
  <c r="Q1949" i="34" s="1"/>
  <c r="Q1950" i="34" s="1"/>
  <c r="Q1951" i="34" s="1"/>
  <c r="Q1952" i="34" s="1"/>
  <c r="Q1953" i="34" s="1"/>
  <c r="Q1954" i="34" s="1"/>
  <c r="Q1955" i="34" s="1"/>
  <c r="Q1960" i="34" s="1"/>
  <c r="Q1961" i="34" s="1"/>
  <c r="Q1966" i="34" s="1"/>
  <c r="Q1967" i="34" s="1"/>
  <c r="Q1968" i="34" s="1"/>
  <c r="Q1969" i="34" s="1"/>
  <c r="Q1970" i="34" s="1"/>
  <c r="Q1971" i="34" s="1"/>
  <c r="Q1972" i="34" s="1"/>
  <c r="Q1977" i="34" s="1"/>
  <c r="Q1978" i="34" s="1"/>
  <c r="Q1979" i="34" s="1"/>
  <c r="Q1980" i="34" s="1"/>
  <c r="Q1981" i="34" s="1"/>
  <c r="Q1982" i="34" s="1"/>
  <c r="Q1983" i="34" s="1"/>
  <c r="Q1866" i="34"/>
  <c r="Q1867" i="34" s="1"/>
  <c r="Q1868" i="34" s="1"/>
  <c r="Q1869" i="34" s="1"/>
  <c r="Q1870" i="34" s="1"/>
  <c r="Q1871" i="34" s="1"/>
  <c r="Q1872" i="34" s="1"/>
  <c r="Q1873" i="34" s="1"/>
  <c r="Q1874" i="34" s="1"/>
  <c r="Q1875" i="34" s="1"/>
  <c r="Q1876" i="34" s="1"/>
  <c r="Q1877" i="34" s="1"/>
  <c r="Q1878" i="34" s="1"/>
  <c r="Q1879" i="34" s="1"/>
  <c r="Q1804" i="34"/>
  <c r="Q1822" i="34" s="1"/>
  <c r="Q1823" i="34" s="1"/>
  <c r="Q1824" i="34" s="1"/>
  <c r="Q1825" i="34" s="1"/>
  <c r="Q1826" i="34" s="1"/>
  <c r="Q1827" i="34" s="1"/>
  <c r="Q1828" i="34" s="1"/>
  <c r="Q1829" i="34" s="1"/>
  <c r="Q1830" i="34" s="1"/>
  <c r="Q1831" i="34" s="1"/>
  <c r="Q1836" i="34" s="1"/>
  <c r="Q1837" i="34" s="1"/>
  <c r="Q1842" i="34" s="1"/>
  <c r="Q1843" i="34" s="1"/>
  <c r="Q1844" i="34" s="1"/>
  <c r="Q1845" i="34" s="1"/>
  <c r="Q1846" i="34" s="1"/>
  <c r="Q1847" i="34" s="1"/>
  <c r="Q1848" i="34" s="1"/>
  <c r="Q1853" i="34" s="1"/>
  <c r="Q1854" i="34" s="1"/>
  <c r="Q1855" i="34" s="1"/>
  <c r="Q1856" i="34" s="1"/>
  <c r="Q1857" i="34" s="1"/>
  <c r="Q1858" i="34" s="1"/>
  <c r="Q1859" i="34" s="1"/>
  <c r="Q2052" i="34"/>
  <c r="Q2070" i="34" s="1"/>
  <c r="Q2071" i="34" s="1"/>
  <c r="Q2072" i="34" s="1"/>
  <c r="Q2073" i="34" s="1"/>
  <c r="Q2074" i="34" s="1"/>
  <c r="Q2075" i="34" s="1"/>
  <c r="Q2076" i="34" s="1"/>
  <c r="Q2077" i="34" s="1"/>
  <c r="Q2078" i="34" s="1"/>
  <c r="Q2079" i="34" s="1"/>
  <c r="Q2084" i="34" s="1"/>
  <c r="Q2085" i="34" s="1"/>
  <c r="Q2090" i="34" s="1"/>
  <c r="Q2091" i="34" s="1"/>
  <c r="Q2092" i="34" s="1"/>
  <c r="Q2093" i="34" s="1"/>
  <c r="Q2094" i="34" s="1"/>
  <c r="Q2095" i="34" s="1"/>
  <c r="Q2096" i="34" s="1"/>
  <c r="Q2101" i="34" s="1"/>
  <c r="Q2102" i="34" s="1"/>
  <c r="Q2103" i="34" s="1"/>
  <c r="Q2104" i="34" s="1"/>
  <c r="Q2105" i="34" s="1"/>
  <c r="Q2106" i="34" s="1"/>
  <c r="Q2107" i="34" s="1"/>
  <c r="Q1990" i="34"/>
  <c r="Q1991" i="34" s="1"/>
  <c r="Q1992" i="34" s="1"/>
  <c r="Q1993" i="34" s="1"/>
  <c r="Q1994" i="34" s="1"/>
  <c r="Q1995" i="34" s="1"/>
  <c r="Q1996" i="34" s="1"/>
  <c r="Q1997" i="34" s="1"/>
  <c r="Q1998" i="34" s="1"/>
  <c r="Q1999" i="34" s="1"/>
  <c r="Q2000" i="34" s="1"/>
  <c r="Q2001" i="34" s="1"/>
  <c r="Q2002" i="34" s="1"/>
  <c r="Q2003" i="34" s="1"/>
  <c r="CB6" i="32"/>
  <c r="BZ6" i="32"/>
  <c r="BY6" i="32"/>
  <c r="BX6" i="32"/>
  <c r="BU6" i="32"/>
  <c r="BT6" i="32"/>
  <c r="BR6" i="32"/>
  <c r="BQ6" i="32"/>
  <c r="BN6" i="32"/>
  <c r="BM6" i="32"/>
  <c r="BL6" i="32"/>
  <c r="BJ6" i="32"/>
  <c r="BI6" i="32"/>
  <c r="CB3" i="32"/>
  <c r="CA3" i="32"/>
  <c r="BZ3" i="32"/>
  <c r="BY3" i="32"/>
  <c r="BX3" i="32"/>
  <c r="BW3" i="32"/>
  <c r="BV3" i="32"/>
  <c r="BU3" i="32"/>
  <c r="BT3" i="32"/>
  <c r="BS3" i="32"/>
  <c r="BR3" i="32"/>
  <c r="BQ3" i="32"/>
  <c r="BP3" i="32"/>
  <c r="BO3" i="32"/>
  <c r="BN3" i="32"/>
  <c r="BM3" i="32"/>
  <c r="BL3" i="32"/>
  <c r="BK3" i="32"/>
  <c r="BJ3" i="32"/>
  <c r="BI3" i="32"/>
  <c r="Q2983" i="34" l="1"/>
  <c r="Q2984" i="34" s="1"/>
  <c r="Q2985" i="34" s="1"/>
  <c r="Q2986" i="34" s="1"/>
  <c r="Q2987" i="34" s="1"/>
  <c r="Q2988" i="34" s="1"/>
  <c r="Q2989" i="34" s="1"/>
  <c r="Q2990" i="34" s="1"/>
  <c r="Q2991" i="34" s="1"/>
  <c r="Q2992" i="34" s="1"/>
  <c r="Q2993" i="34" s="1"/>
  <c r="Q2994" i="34" s="1"/>
  <c r="Q2995" i="34" s="1"/>
  <c r="Q2318" i="34"/>
  <c r="Q2319" i="34" s="1"/>
  <c r="Q2320" i="34" s="1"/>
  <c r="Q2321" i="34" s="1"/>
  <c r="Q2322" i="34" s="1"/>
  <c r="Q2323" i="34" s="1"/>
  <c r="Q2324" i="34" s="1"/>
  <c r="Q2325" i="34" s="1"/>
  <c r="Q2326" i="34" s="1"/>
  <c r="Q2327" i="34" s="1"/>
  <c r="Q2332" i="34" s="1"/>
  <c r="Q2333" i="34" s="1"/>
  <c r="Q2338" i="34" s="1"/>
  <c r="Q2339" i="34" s="1"/>
  <c r="Q2340" i="34" s="1"/>
  <c r="Q2341" i="34" s="1"/>
  <c r="Q2342" i="34" s="1"/>
  <c r="Q2343" i="34" s="1"/>
  <c r="Q2344" i="34" s="1"/>
  <c r="Q2349" i="34" s="1"/>
  <c r="Q2350" i="34" s="1"/>
  <c r="Q2351" i="34" s="1"/>
  <c r="Q2352" i="34" s="1"/>
  <c r="Q2353" i="34" s="1"/>
  <c r="Q2354" i="34" s="1"/>
  <c r="Q2355" i="34" s="1"/>
  <c r="Q2301" i="34"/>
  <c r="Q2302" i="34" s="1"/>
  <c r="Q2303" i="34" s="1"/>
  <c r="Q2304" i="34" s="1"/>
  <c r="Q2305" i="34" s="1"/>
  <c r="Q2306" i="34" s="1"/>
  <c r="Q2307" i="34" s="1"/>
  <c r="Q2308" i="34" s="1"/>
  <c r="Q2309" i="34" s="1"/>
  <c r="Q2310" i="34" s="1"/>
  <c r="Q2311" i="34" s="1"/>
  <c r="Q2312" i="34" s="1"/>
  <c r="Q2313" i="34" s="1"/>
  <c r="Q2876" i="34"/>
  <c r="Q2877" i="34" s="1"/>
  <c r="Q2878" i="34" s="1"/>
  <c r="Q2879" i="34" s="1"/>
  <c r="Q2880" i="34" s="1"/>
  <c r="Q2881" i="34" s="1"/>
  <c r="Q2882" i="34" s="1"/>
  <c r="Q2883" i="34" s="1"/>
  <c r="Q2884" i="34" s="1"/>
  <c r="Q2885" i="34" s="1"/>
  <c r="Q2890" i="34" s="1"/>
  <c r="Q2891" i="34" s="1"/>
  <c r="Q2896" i="34" s="1"/>
  <c r="Q2897" i="34" s="1"/>
  <c r="Q2898" i="34" s="1"/>
  <c r="Q2899" i="34" s="1"/>
  <c r="Q2900" i="34" s="1"/>
  <c r="Q2901" i="34" s="1"/>
  <c r="Q2902" i="34" s="1"/>
  <c r="Q2907" i="34" s="1"/>
  <c r="Q2908" i="34" s="1"/>
  <c r="Q2909" i="34" s="1"/>
  <c r="Q2910" i="34" s="1"/>
  <c r="Q2911" i="34" s="1"/>
  <c r="Q2912" i="34" s="1"/>
  <c r="Q2913" i="34" s="1"/>
  <c r="Q2859" i="34"/>
  <c r="Q2860" i="34" s="1"/>
  <c r="Q2861" i="34" s="1"/>
  <c r="Q2862" i="34" s="1"/>
  <c r="Q2863" i="34" s="1"/>
  <c r="Q2864" i="34" s="1"/>
  <c r="Q2865" i="34" s="1"/>
  <c r="Q2866" i="34" s="1"/>
  <c r="Q2867" i="34" s="1"/>
  <c r="Q2868" i="34" s="1"/>
  <c r="Q2869" i="34" s="1"/>
  <c r="Q2870" i="34" s="1"/>
  <c r="Q2871" i="34" s="1"/>
  <c r="Q2380" i="34"/>
  <c r="Q2381" i="34" s="1"/>
  <c r="Q2382" i="34" s="1"/>
  <c r="Q2383" i="34" s="1"/>
  <c r="Q2384" i="34" s="1"/>
  <c r="Q2385" i="34" s="1"/>
  <c r="Q2386" i="34" s="1"/>
  <c r="Q2387" i="34" s="1"/>
  <c r="Q2388" i="34" s="1"/>
  <c r="Q2389" i="34" s="1"/>
  <c r="Q2394" i="34" s="1"/>
  <c r="Q2395" i="34" s="1"/>
  <c r="Q2400" i="34" s="1"/>
  <c r="Q2401" i="34" s="1"/>
  <c r="Q2402" i="34" s="1"/>
  <c r="Q2403" i="34" s="1"/>
  <c r="Q2404" i="34" s="1"/>
  <c r="Q2405" i="34" s="1"/>
  <c r="Q2406" i="34" s="1"/>
  <c r="Q2411" i="34" s="1"/>
  <c r="Q2412" i="34" s="1"/>
  <c r="Q2413" i="34" s="1"/>
  <c r="Q2414" i="34" s="1"/>
  <c r="Q2415" i="34" s="1"/>
  <c r="Q2416" i="34" s="1"/>
  <c r="Q2417" i="34" s="1"/>
  <c r="Q2363" i="34"/>
  <c r="Q2364" i="34" s="1"/>
  <c r="Q2365" i="34" s="1"/>
  <c r="Q2366" i="34" s="1"/>
  <c r="Q2367" i="34" s="1"/>
  <c r="Q2368" i="34" s="1"/>
  <c r="Q2369" i="34" s="1"/>
  <c r="Q2370" i="34" s="1"/>
  <c r="Q2371" i="34" s="1"/>
  <c r="Q2372" i="34" s="1"/>
  <c r="Q2373" i="34" s="1"/>
  <c r="Q2374" i="34" s="1"/>
  <c r="Q2375" i="34" s="1"/>
  <c r="Q3062" i="34"/>
  <c r="Q3063" i="34" s="1"/>
  <c r="Q3064" i="34" s="1"/>
  <c r="Q3065" i="34" s="1"/>
  <c r="Q3066" i="34" s="1"/>
  <c r="Q3067" i="34" s="1"/>
  <c r="Q3068" i="34" s="1"/>
  <c r="Q3069" i="34" s="1"/>
  <c r="Q3070" i="34" s="1"/>
  <c r="Q3071" i="34" s="1"/>
  <c r="Q3076" i="34" s="1"/>
  <c r="Q3077" i="34" s="1"/>
  <c r="Q3082" i="34" s="1"/>
  <c r="Q3083" i="34" s="1"/>
  <c r="Q3084" i="34" s="1"/>
  <c r="Q3085" i="34" s="1"/>
  <c r="Q3086" i="34" s="1"/>
  <c r="Q3087" i="34" s="1"/>
  <c r="Q3088" i="34" s="1"/>
  <c r="Q3093" i="34" s="1"/>
  <c r="Q3094" i="34" s="1"/>
  <c r="Q3095" i="34" s="1"/>
  <c r="Q3096" i="34" s="1"/>
  <c r="Q3097" i="34" s="1"/>
  <c r="Q3098" i="34" s="1"/>
  <c r="Q3099" i="34" s="1"/>
  <c r="Q3045" i="34"/>
  <c r="Q3046" i="34" s="1"/>
  <c r="Q3047" i="34" s="1"/>
  <c r="Q3048" i="34" s="1"/>
  <c r="Q3049" i="34" s="1"/>
  <c r="Q3050" i="34" s="1"/>
  <c r="Q3051" i="34" s="1"/>
  <c r="Q3052" i="34" s="1"/>
  <c r="Q3053" i="34" s="1"/>
  <c r="Q3054" i="34" s="1"/>
  <c r="Q3055" i="34" s="1"/>
  <c r="Q3056" i="34" s="1"/>
  <c r="Q3057" i="34" s="1"/>
  <c r="Q2628" i="34"/>
  <c r="Q2629" i="34" s="1"/>
  <c r="Q2630" i="34" s="1"/>
  <c r="Q2631" i="34" s="1"/>
  <c r="Q2632" i="34" s="1"/>
  <c r="Q2633" i="34" s="1"/>
  <c r="Q2634" i="34" s="1"/>
  <c r="Q2635" i="34" s="1"/>
  <c r="Q2636" i="34" s="1"/>
  <c r="Q2637" i="34" s="1"/>
  <c r="Q2642" i="34" s="1"/>
  <c r="Q2643" i="34" s="1"/>
  <c r="Q2648" i="34" s="1"/>
  <c r="Q2649" i="34" s="1"/>
  <c r="Q2650" i="34" s="1"/>
  <c r="Q2651" i="34" s="1"/>
  <c r="Q2652" i="34" s="1"/>
  <c r="Q2653" i="34" s="1"/>
  <c r="Q2654" i="34" s="1"/>
  <c r="Q2659" i="34" s="1"/>
  <c r="Q2660" i="34" s="1"/>
  <c r="Q2661" i="34" s="1"/>
  <c r="Q2662" i="34" s="1"/>
  <c r="Q2663" i="34" s="1"/>
  <c r="Q2664" i="34" s="1"/>
  <c r="Q2665" i="34" s="1"/>
  <c r="Q2611" i="34"/>
  <c r="Q2612" i="34" s="1"/>
  <c r="Q2613" i="34" s="1"/>
  <c r="Q2614" i="34" s="1"/>
  <c r="Q2615" i="34" s="1"/>
  <c r="Q2616" i="34" s="1"/>
  <c r="Q2617" i="34" s="1"/>
  <c r="Q2618" i="34" s="1"/>
  <c r="Q2619" i="34" s="1"/>
  <c r="Q2620" i="34" s="1"/>
  <c r="Q2621" i="34" s="1"/>
  <c r="Q2622" i="34" s="1"/>
  <c r="Q2623" i="34" s="1"/>
  <c r="Q2256" i="34"/>
  <c r="Q2257" i="34" s="1"/>
  <c r="Q2258" i="34" s="1"/>
  <c r="Q2259" i="34" s="1"/>
  <c r="Q2260" i="34" s="1"/>
  <c r="Q2261" i="34" s="1"/>
  <c r="Q2262" i="34" s="1"/>
  <c r="Q2263" i="34" s="1"/>
  <c r="Q2264" i="34" s="1"/>
  <c r="Q2265" i="34" s="1"/>
  <c r="Q2270" i="34" s="1"/>
  <c r="Q2271" i="34" s="1"/>
  <c r="Q2276" i="34" s="1"/>
  <c r="Q2277" i="34" s="1"/>
  <c r="Q2278" i="34" s="1"/>
  <c r="Q2279" i="34" s="1"/>
  <c r="Q2280" i="34" s="1"/>
  <c r="Q2281" i="34" s="1"/>
  <c r="Q2282" i="34" s="1"/>
  <c r="Q2287" i="34" s="1"/>
  <c r="Q2288" i="34" s="1"/>
  <c r="Q2289" i="34" s="1"/>
  <c r="Q2290" i="34" s="1"/>
  <c r="Q2291" i="34" s="1"/>
  <c r="Q2292" i="34" s="1"/>
  <c r="Q2293" i="34" s="1"/>
  <c r="Q2239" i="34"/>
  <c r="Q2240" i="34" s="1"/>
  <c r="Q2241" i="34" s="1"/>
  <c r="Q2242" i="34" s="1"/>
  <c r="Q2243" i="34" s="1"/>
  <c r="Q2244" i="34" s="1"/>
  <c r="Q2245" i="34" s="1"/>
  <c r="Q2246" i="34" s="1"/>
  <c r="Q2247" i="34" s="1"/>
  <c r="Q2248" i="34" s="1"/>
  <c r="Q2249" i="34" s="1"/>
  <c r="Q2250" i="34" s="1"/>
  <c r="Q2251" i="34" s="1"/>
  <c r="Q2566" i="34"/>
  <c r="Q2567" i="34" s="1"/>
  <c r="Q2568" i="34" s="1"/>
  <c r="Q2569" i="34" s="1"/>
  <c r="Q2570" i="34" s="1"/>
  <c r="Q2571" i="34" s="1"/>
  <c r="Q2572" i="34" s="1"/>
  <c r="Q2573" i="34" s="1"/>
  <c r="Q2574" i="34" s="1"/>
  <c r="Q2575" i="34" s="1"/>
  <c r="Q2580" i="34" s="1"/>
  <c r="Q2581" i="34" s="1"/>
  <c r="Q2586" i="34" s="1"/>
  <c r="Q2587" i="34" s="1"/>
  <c r="Q2588" i="34" s="1"/>
  <c r="Q2589" i="34" s="1"/>
  <c r="Q2590" i="34" s="1"/>
  <c r="Q2591" i="34" s="1"/>
  <c r="Q2592" i="34" s="1"/>
  <c r="Q2597" i="34" s="1"/>
  <c r="Q2598" i="34" s="1"/>
  <c r="Q2599" i="34" s="1"/>
  <c r="Q2600" i="34" s="1"/>
  <c r="Q2601" i="34" s="1"/>
  <c r="Q2602" i="34" s="1"/>
  <c r="Q2603" i="34" s="1"/>
  <c r="Q2549" i="34"/>
  <c r="Q2550" i="34" s="1"/>
  <c r="Q2551" i="34" s="1"/>
  <c r="Q2552" i="34" s="1"/>
  <c r="Q2553" i="34" s="1"/>
  <c r="Q2554" i="34" s="1"/>
  <c r="Q2555" i="34" s="1"/>
  <c r="Q2556" i="34" s="1"/>
  <c r="Q2557" i="34" s="1"/>
  <c r="Q2558" i="34" s="1"/>
  <c r="Q2559" i="34" s="1"/>
  <c r="Q2560" i="34" s="1"/>
  <c r="Q2561" i="34" s="1"/>
  <c r="Q2442" i="34"/>
  <c r="Q2443" i="34" s="1"/>
  <c r="Q2444" i="34" s="1"/>
  <c r="Q2445" i="34" s="1"/>
  <c r="Q2446" i="34" s="1"/>
  <c r="Q2447" i="34" s="1"/>
  <c r="Q2448" i="34" s="1"/>
  <c r="Q2449" i="34" s="1"/>
  <c r="Q2450" i="34" s="1"/>
  <c r="Q2451" i="34" s="1"/>
  <c r="Q2456" i="34" s="1"/>
  <c r="Q2457" i="34" s="1"/>
  <c r="Q2462" i="34" s="1"/>
  <c r="Q2463" i="34" s="1"/>
  <c r="Q2464" i="34" s="1"/>
  <c r="Q2465" i="34" s="1"/>
  <c r="Q2466" i="34" s="1"/>
  <c r="Q2467" i="34" s="1"/>
  <c r="Q2468" i="34" s="1"/>
  <c r="Q2473" i="34" s="1"/>
  <c r="Q2474" i="34" s="1"/>
  <c r="Q2475" i="34" s="1"/>
  <c r="Q2476" i="34" s="1"/>
  <c r="Q2477" i="34" s="1"/>
  <c r="Q2478" i="34" s="1"/>
  <c r="Q2479" i="34" s="1"/>
  <c r="Q2425" i="34"/>
  <c r="Q2426" i="34" s="1"/>
  <c r="Q2427" i="34" s="1"/>
  <c r="Q2428" i="34" s="1"/>
  <c r="Q2429" i="34" s="1"/>
  <c r="Q2430" i="34" s="1"/>
  <c r="Q2431" i="34" s="1"/>
  <c r="Q2432" i="34" s="1"/>
  <c r="Q2433" i="34" s="1"/>
  <c r="Q2434" i="34" s="1"/>
  <c r="Q2435" i="34" s="1"/>
  <c r="Q2436" i="34" s="1"/>
  <c r="Q2437" i="34" s="1"/>
  <c r="Q2938" i="34"/>
  <c r="Q2939" i="34" s="1"/>
  <c r="Q2940" i="34" s="1"/>
  <c r="Q2941" i="34" s="1"/>
  <c r="Q2942" i="34" s="1"/>
  <c r="Q2943" i="34" s="1"/>
  <c r="Q2944" i="34" s="1"/>
  <c r="Q2945" i="34" s="1"/>
  <c r="Q2946" i="34" s="1"/>
  <c r="Q2947" i="34" s="1"/>
  <c r="Q2952" i="34" s="1"/>
  <c r="Q2953" i="34" s="1"/>
  <c r="Q2958" i="34" s="1"/>
  <c r="Q2959" i="34" s="1"/>
  <c r="Q2960" i="34" s="1"/>
  <c r="Q2961" i="34" s="1"/>
  <c r="Q2962" i="34" s="1"/>
  <c r="Q2963" i="34" s="1"/>
  <c r="Q2964" i="34" s="1"/>
  <c r="Q2969" i="34" s="1"/>
  <c r="Q2970" i="34" s="1"/>
  <c r="Q2971" i="34" s="1"/>
  <c r="Q2972" i="34" s="1"/>
  <c r="Q2973" i="34" s="1"/>
  <c r="Q2974" i="34" s="1"/>
  <c r="Q2975" i="34" s="1"/>
  <c r="Q2921" i="34"/>
  <c r="Q2922" i="34" s="1"/>
  <c r="Q2923" i="34" s="1"/>
  <c r="Q2924" i="34" s="1"/>
  <c r="Q2925" i="34" s="1"/>
  <c r="Q2926" i="34" s="1"/>
  <c r="Q2927" i="34" s="1"/>
  <c r="Q2928" i="34" s="1"/>
  <c r="Q2929" i="34" s="1"/>
  <c r="Q2930" i="34" s="1"/>
  <c r="Q2931" i="34" s="1"/>
  <c r="Q2932" i="34" s="1"/>
  <c r="Q2933" i="34" s="1"/>
  <c r="Q2504" i="34"/>
  <c r="Q2505" i="34" s="1"/>
  <c r="Q2506" i="34" s="1"/>
  <c r="Q2507" i="34" s="1"/>
  <c r="Q2508" i="34" s="1"/>
  <c r="Q2509" i="34" s="1"/>
  <c r="Q2510" i="34" s="1"/>
  <c r="Q2511" i="34" s="1"/>
  <c r="Q2512" i="34" s="1"/>
  <c r="Q2513" i="34" s="1"/>
  <c r="Q2518" i="34" s="1"/>
  <c r="Q2519" i="34" s="1"/>
  <c r="Q2524" i="34" s="1"/>
  <c r="Q2525" i="34" s="1"/>
  <c r="Q2526" i="34" s="1"/>
  <c r="Q2527" i="34" s="1"/>
  <c r="Q2528" i="34" s="1"/>
  <c r="Q2529" i="34" s="1"/>
  <c r="Q2530" i="34" s="1"/>
  <c r="Q2535" i="34" s="1"/>
  <c r="Q2536" i="34" s="1"/>
  <c r="Q2537" i="34" s="1"/>
  <c r="Q2538" i="34" s="1"/>
  <c r="Q2539" i="34" s="1"/>
  <c r="Q2540" i="34" s="1"/>
  <c r="Q2541" i="34" s="1"/>
  <c r="Q2487" i="34"/>
  <c r="Q2488" i="34" s="1"/>
  <c r="Q2489" i="34" s="1"/>
  <c r="Q2490" i="34" s="1"/>
  <c r="Q2491" i="34" s="1"/>
  <c r="Q2492" i="34" s="1"/>
  <c r="Q2493" i="34" s="1"/>
  <c r="Q2494" i="34" s="1"/>
  <c r="Q2495" i="34" s="1"/>
  <c r="Q2496" i="34" s="1"/>
  <c r="Q2497" i="34" s="1"/>
  <c r="Q2498" i="34" s="1"/>
  <c r="Q2499" i="34" s="1"/>
  <c r="Q2752" i="34"/>
  <c r="Q2753" i="34" s="1"/>
  <c r="Q2754" i="34" s="1"/>
  <c r="Q2755" i="34" s="1"/>
  <c r="Q2756" i="34" s="1"/>
  <c r="Q2757" i="34" s="1"/>
  <c r="Q2758" i="34" s="1"/>
  <c r="Q2759" i="34" s="1"/>
  <c r="Q2760" i="34" s="1"/>
  <c r="Q2761" i="34" s="1"/>
  <c r="Q2766" i="34" s="1"/>
  <c r="Q2767" i="34" s="1"/>
  <c r="Q2772" i="34" s="1"/>
  <c r="Q2773" i="34" s="1"/>
  <c r="Q2774" i="34" s="1"/>
  <c r="Q2775" i="34" s="1"/>
  <c r="Q2776" i="34" s="1"/>
  <c r="Q2777" i="34" s="1"/>
  <c r="Q2778" i="34" s="1"/>
  <c r="Q2783" i="34" s="1"/>
  <c r="Q2784" i="34" s="1"/>
  <c r="Q2785" i="34" s="1"/>
  <c r="Q2786" i="34" s="1"/>
  <c r="Q2787" i="34" s="1"/>
  <c r="Q2788" i="34" s="1"/>
  <c r="Q2789" i="34" s="1"/>
  <c r="Q2735" i="34"/>
  <c r="Q2736" i="34" s="1"/>
  <c r="Q2737" i="34" s="1"/>
  <c r="Q2738" i="34" s="1"/>
  <c r="Q2739" i="34" s="1"/>
  <c r="Q2740" i="34" s="1"/>
  <c r="Q2741" i="34" s="1"/>
  <c r="Q2742" i="34" s="1"/>
  <c r="Q2743" i="34" s="1"/>
  <c r="Q2744" i="34" s="1"/>
  <c r="Q2745" i="34" s="1"/>
  <c r="Q2746" i="34" s="1"/>
  <c r="Q2747" i="34" s="1"/>
  <c r="Q2814" i="34"/>
  <c r="Q2815" i="34" s="1"/>
  <c r="Q2816" i="34" s="1"/>
  <c r="Q2817" i="34" s="1"/>
  <c r="Q2818" i="34" s="1"/>
  <c r="Q2819" i="34" s="1"/>
  <c r="Q2820" i="34" s="1"/>
  <c r="Q2821" i="34" s="1"/>
  <c r="Q2822" i="34" s="1"/>
  <c r="Q2823" i="34" s="1"/>
  <c r="Q2828" i="34" s="1"/>
  <c r="Q2829" i="34" s="1"/>
  <c r="Q2834" i="34" s="1"/>
  <c r="Q2835" i="34" s="1"/>
  <c r="Q2836" i="34" s="1"/>
  <c r="Q2837" i="34" s="1"/>
  <c r="Q2838" i="34" s="1"/>
  <c r="Q2839" i="34" s="1"/>
  <c r="Q2840" i="34" s="1"/>
  <c r="Q2845" i="34" s="1"/>
  <c r="Q2846" i="34" s="1"/>
  <c r="Q2847" i="34" s="1"/>
  <c r="Q2848" i="34" s="1"/>
  <c r="Q2849" i="34" s="1"/>
  <c r="Q2850" i="34" s="1"/>
  <c r="Q2851" i="34" s="1"/>
  <c r="Q2797" i="34"/>
  <c r="Q2798" i="34" s="1"/>
  <c r="Q2799" i="34" s="1"/>
  <c r="Q2800" i="34" s="1"/>
  <c r="Q2801" i="34" s="1"/>
  <c r="Q2802" i="34" s="1"/>
  <c r="Q2803" i="34" s="1"/>
  <c r="Q2804" i="34" s="1"/>
  <c r="Q2805" i="34" s="1"/>
  <c r="Q2806" i="34" s="1"/>
  <c r="Q2807" i="34" s="1"/>
  <c r="Q2808" i="34" s="1"/>
  <c r="Q2809" i="34" s="1"/>
  <c r="Q2194" i="34"/>
  <c r="Q2195" i="34" s="1"/>
  <c r="Q2196" i="34" s="1"/>
  <c r="Q2197" i="34" s="1"/>
  <c r="Q2198" i="34" s="1"/>
  <c r="Q2199" i="34" s="1"/>
  <c r="Q2200" i="34" s="1"/>
  <c r="Q2201" i="34" s="1"/>
  <c r="Q2202" i="34" s="1"/>
  <c r="Q2203" i="34" s="1"/>
  <c r="Q2208" i="34" s="1"/>
  <c r="Q2209" i="34" s="1"/>
  <c r="Q2214" i="34" s="1"/>
  <c r="Q2215" i="34" s="1"/>
  <c r="Q2216" i="34" s="1"/>
  <c r="Q2217" i="34" s="1"/>
  <c r="Q2218" i="34" s="1"/>
  <c r="Q2219" i="34" s="1"/>
  <c r="Q2220" i="34" s="1"/>
  <c r="Q2225" i="34" s="1"/>
  <c r="Q2226" i="34" s="1"/>
  <c r="Q2227" i="34" s="1"/>
  <c r="Q2228" i="34" s="1"/>
  <c r="Q2229" i="34" s="1"/>
  <c r="Q2230" i="34" s="1"/>
  <c r="Q2231" i="34" s="1"/>
  <c r="Q2177" i="34"/>
  <c r="Q2178" i="34" s="1"/>
  <c r="Q2179" i="34" s="1"/>
  <c r="Q2180" i="34" s="1"/>
  <c r="Q2181" i="34" s="1"/>
  <c r="Q2182" i="34" s="1"/>
  <c r="Q2183" i="34" s="1"/>
  <c r="Q2184" i="34" s="1"/>
  <c r="Q2185" i="34" s="1"/>
  <c r="Q2186" i="34" s="1"/>
  <c r="Q2187" i="34" s="1"/>
  <c r="Q2188" i="34" s="1"/>
  <c r="Q2189" i="34" s="1"/>
  <c r="BC20" i="32"/>
  <c r="BC6" i="32"/>
  <c r="BF20" i="32"/>
  <c r="BF6" i="32"/>
  <c r="BS20" i="32"/>
  <c r="BS6" i="32"/>
  <c r="BG20" i="32"/>
  <c r="BG6" i="32"/>
  <c r="BV20" i="32"/>
  <c r="BV6" i="32"/>
  <c r="CA20" i="32"/>
  <c r="CA6" i="32"/>
  <c r="BP20" i="32"/>
  <c r="BP6" i="32"/>
  <c r="BH20" i="32"/>
  <c r="BH6" i="32"/>
  <c r="BO20" i="32"/>
  <c r="BO6" i="32"/>
  <c r="BW20" i="32"/>
  <c r="BW6" i="32"/>
  <c r="BK20" i="32"/>
  <c r="BK6" i="32"/>
  <c r="BT34" i="32"/>
  <c r="BT20" i="32"/>
  <c r="CB39" i="32"/>
  <c r="CB20" i="32"/>
  <c r="BM68" i="32"/>
  <c r="BM20" i="32"/>
  <c r="BU76" i="32"/>
  <c r="BU20" i="32"/>
  <c r="BN75" i="32"/>
  <c r="BN20" i="32"/>
  <c r="BX72" i="32"/>
  <c r="BX20" i="32"/>
  <c r="BI114" i="32"/>
  <c r="BI20" i="32"/>
  <c r="BJ34" i="32"/>
  <c r="BJ20" i="32"/>
  <c r="BQ30" i="32"/>
  <c r="BQ20" i="32"/>
  <c r="BY16" i="32"/>
  <c r="BY20" i="32"/>
  <c r="BR63" i="32"/>
  <c r="BR20" i="32"/>
  <c r="BZ79" i="32"/>
  <c r="BZ20" i="32"/>
  <c r="BL105" i="32"/>
  <c r="BL20" i="32"/>
  <c r="Q2132" i="34"/>
  <c r="Q2133" i="34" s="1"/>
  <c r="Q2134" i="34" s="1"/>
  <c r="Q2135" i="34" s="1"/>
  <c r="Q2136" i="34" s="1"/>
  <c r="Q2137" i="34" s="1"/>
  <c r="Q2138" i="34" s="1"/>
  <c r="Q2139" i="34" s="1"/>
  <c r="Q2140" i="34" s="1"/>
  <c r="Q2141" i="34" s="1"/>
  <c r="Q2146" i="34" s="1"/>
  <c r="Q2147" i="34" s="1"/>
  <c r="Q2152" i="34" s="1"/>
  <c r="Q2153" i="34" s="1"/>
  <c r="Q2154" i="34" s="1"/>
  <c r="Q2155" i="34" s="1"/>
  <c r="Q2156" i="34" s="1"/>
  <c r="Q2157" i="34" s="1"/>
  <c r="Q2158" i="34" s="1"/>
  <c r="Q2163" i="34" s="1"/>
  <c r="Q2164" i="34" s="1"/>
  <c r="Q2165" i="34" s="1"/>
  <c r="Q2166" i="34" s="1"/>
  <c r="Q2167" i="34" s="1"/>
  <c r="Q2168" i="34" s="1"/>
  <c r="Q2169" i="34" s="1"/>
  <c r="Q1743" i="34"/>
  <c r="Q1744" i="34" s="1"/>
  <c r="Q1745" i="34" s="1"/>
  <c r="Q1746" i="34" s="1"/>
  <c r="Q1747" i="34" s="1"/>
  <c r="Q1748" i="34" s="1"/>
  <c r="Q1749" i="34" s="1"/>
  <c r="Q1750" i="34" s="1"/>
  <c r="Q1751" i="34" s="1"/>
  <c r="Q1752" i="34" s="1"/>
  <c r="Q1753" i="34" s="1"/>
  <c r="Q1754" i="34" s="1"/>
  <c r="Q1755" i="34" s="1"/>
  <c r="Q1884" i="34"/>
  <c r="Q1885" i="34" s="1"/>
  <c r="Q1886" i="34" s="1"/>
  <c r="Q1887" i="34" s="1"/>
  <c r="Q1888" i="34" s="1"/>
  <c r="Q1889" i="34" s="1"/>
  <c r="Q1890" i="34" s="1"/>
  <c r="Q1891" i="34" s="1"/>
  <c r="Q1892" i="34" s="1"/>
  <c r="Q1893" i="34" s="1"/>
  <c r="Q1898" i="34" s="1"/>
  <c r="Q1899" i="34" s="1"/>
  <c r="Q1904" i="34" s="1"/>
  <c r="Q1905" i="34" s="1"/>
  <c r="Q1906" i="34" s="1"/>
  <c r="Q1907" i="34" s="1"/>
  <c r="Q1908" i="34" s="1"/>
  <c r="Q1909" i="34" s="1"/>
  <c r="Q1910" i="34" s="1"/>
  <c r="Q1915" i="34" s="1"/>
  <c r="Q1916" i="34" s="1"/>
  <c r="Q1917" i="34" s="1"/>
  <c r="Q1918" i="34" s="1"/>
  <c r="Q1919" i="34" s="1"/>
  <c r="Q1920" i="34" s="1"/>
  <c r="Q1921" i="34" s="1"/>
  <c r="Q2053" i="34"/>
  <c r="Q2054" i="34" s="1"/>
  <c r="Q2055" i="34" s="1"/>
  <c r="Q2056" i="34" s="1"/>
  <c r="Q2057" i="34" s="1"/>
  <c r="Q2058" i="34" s="1"/>
  <c r="Q2059" i="34" s="1"/>
  <c r="Q2060" i="34" s="1"/>
  <c r="Q2061" i="34" s="1"/>
  <c r="Q2062" i="34" s="1"/>
  <c r="Q2063" i="34" s="1"/>
  <c r="Q2064" i="34" s="1"/>
  <c r="Q2065" i="34" s="1"/>
  <c r="Q1929" i="34"/>
  <c r="Q1930" i="34" s="1"/>
  <c r="Q1931" i="34" s="1"/>
  <c r="Q1932" i="34" s="1"/>
  <c r="Q1933" i="34" s="1"/>
  <c r="Q1934" i="34" s="1"/>
  <c r="Q1935" i="34" s="1"/>
  <c r="Q1936" i="34" s="1"/>
  <c r="Q1937" i="34" s="1"/>
  <c r="Q1938" i="34" s="1"/>
  <c r="Q1939" i="34" s="1"/>
  <c r="Q1940" i="34" s="1"/>
  <c r="Q1941" i="34" s="1"/>
  <c r="Q2008" i="34"/>
  <c r="Q2009" i="34" s="1"/>
  <c r="Q2010" i="34" s="1"/>
  <c r="Q2011" i="34" s="1"/>
  <c r="Q2012" i="34" s="1"/>
  <c r="Q2013" i="34" s="1"/>
  <c r="Q2014" i="34" s="1"/>
  <c r="Q2015" i="34" s="1"/>
  <c r="Q2016" i="34" s="1"/>
  <c r="Q2017" i="34" s="1"/>
  <c r="Q2022" i="34" s="1"/>
  <c r="Q2023" i="34" s="1"/>
  <c r="Q2028" i="34" s="1"/>
  <c r="Q2029" i="34" s="1"/>
  <c r="Q2030" i="34" s="1"/>
  <c r="Q2031" i="34" s="1"/>
  <c r="Q2032" i="34" s="1"/>
  <c r="Q2033" i="34" s="1"/>
  <c r="Q2034" i="34" s="1"/>
  <c r="Q2039" i="34" s="1"/>
  <c r="Q2040" i="34" s="1"/>
  <c r="Q2041" i="34" s="1"/>
  <c r="Q2042" i="34" s="1"/>
  <c r="Q2043" i="34" s="1"/>
  <c r="Q2044" i="34" s="1"/>
  <c r="Q2045" i="34" s="1"/>
  <c r="Q1805" i="34"/>
  <c r="Q1806" i="34" s="1"/>
  <c r="Q1807" i="34" s="1"/>
  <c r="Q1808" i="34" s="1"/>
  <c r="Q1809" i="34" s="1"/>
  <c r="Q1810" i="34" s="1"/>
  <c r="Q1811" i="34" s="1"/>
  <c r="Q1812" i="34" s="1"/>
  <c r="Q1813" i="34" s="1"/>
  <c r="Q1814" i="34" s="1"/>
  <c r="Q1815" i="34" s="1"/>
  <c r="Q1816" i="34" s="1"/>
  <c r="Q1817" i="34" s="1"/>
  <c r="BM26" i="32"/>
  <c r="BM105" i="32"/>
  <c r="BQ44" i="32"/>
  <c r="BU58" i="32"/>
  <c r="BM107" i="32"/>
  <c r="BQ106" i="32"/>
  <c r="BL28" i="32"/>
  <c r="BX12" i="32"/>
  <c r="BM72" i="32"/>
  <c r="BN9" i="32"/>
  <c r="BN46" i="32"/>
  <c r="BN78" i="32"/>
  <c r="BN110" i="32"/>
  <c r="BR31" i="32"/>
  <c r="BL25" i="32"/>
  <c r="BN56" i="32"/>
  <c r="BL87" i="32"/>
  <c r="BZ89" i="32"/>
  <c r="BL63" i="32"/>
  <c r="BR48" i="32"/>
  <c r="BX56" i="32"/>
  <c r="BM16" i="32"/>
  <c r="BM39" i="32"/>
  <c r="BL69" i="32"/>
  <c r="BM101" i="32"/>
  <c r="BM113" i="32"/>
  <c r="BQ16" i="32"/>
  <c r="BR81" i="32"/>
  <c r="BN19" i="32"/>
  <c r="BN53" i="32"/>
  <c r="BN66" i="32"/>
  <c r="BN82" i="32"/>
  <c r="BL102" i="32"/>
  <c r="BR5" i="32"/>
  <c r="BR102" i="32"/>
  <c r="BZ9" i="32"/>
  <c r="BL15" i="32"/>
  <c r="BN43" i="32"/>
  <c r="BL59" i="32"/>
  <c r="BN96" i="32"/>
  <c r="BR16" i="32"/>
  <c r="BT73" i="32"/>
  <c r="CB74" i="32"/>
  <c r="BT33" i="32"/>
  <c r="BJ73" i="32"/>
  <c r="BQ34" i="32"/>
  <c r="BQ59" i="32"/>
  <c r="BQ90" i="32"/>
  <c r="BT112" i="32"/>
  <c r="CB11" i="32"/>
  <c r="BN11" i="32"/>
  <c r="BM24" i="32"/>
  <c r="BN33" i="32"/>
  <c r="BM45" i="32"/>
  <c r="BJ57" i="32"/>
  <c r="BJ90" i="32"/>
  <c r="BJ112" i="32"/>
  <c r="BR38" i="32"/>
  <c r="BT90" i="32"/>
  <c r="BL118" i="32"/>
  <c r="BL115" i="32"/>
  <c r="BL110" i="32"/>
  <c r="BL101" i="32"/>
  <c r="BL90" i="32"/>
  <c r="BL82" i="32"/>
  <c r="BL74" i="32"/>
  <c r="BL72" i="32"/>
  <c r="BL65" i="32"/>
  <c r="BL57" i="32"/>
  <c r="BL55" i="32"/>
  <c r="BL48" i="32"/>
  <c r="BL45" i="32"/>
  <c r="BL38" i="32"/>
  <c r="BL30" i="32"/>
  <c r="BL24" i="32"/>
  <c r="BL13" i="32"/>
  <c r="BL114" i="32"/>
  <c r="BN112" i="32"/>
  <c r="BN107" i="32"/>
  <c r="BN103" i="32"/>
  <c r="BN95" i="32"/>
  <c r="BN88" i="32"/>
  <c r="BN85" i="32"/>
  <c r="BN79" i="32"/>
  <c r="BN76" i="32"/>
  <c r="BN69" i="32"/>
  <c r="BN67" i="32"/>
  <c r="BN62" i="32"/>
  <c r="BN59" i="32"/>
  <c r="BN52" i="32"/>
  <c r="BN42" i="32"/>
  <c r="BN17" i="32"/>
  <c r="BN15" i="32"/>
  <c r="BN5" i="32"/>
  <c r="BN117" i="32"/>
  <c r="BR118" i="32"/>
  <c r="BR107" i="32"/>
  <c r="BR97" i="32"/>
  <c r="BR89" i="32"/>
  <c r="BR77" i="32"/>
  <c r="BR70" i="32"/>
  <c r="BR60" i="32"/>
  <c r="BR54" i="32"/>
  <c r="BR45" i="32"/>
  <c r="BR42" i="32"/>
  <c r="BR19" i="32"/>
  <c r="BR15" i="32"/>
  <c r="BR10" i="32"/>
  <c r="BR116" i="32"/>
  <c r="BR95" i="32"/>
  <c r="BR87" i="32"/>
  <c r="BR75" i="32"/>
  <c r="BR68" i="32"/>
  <c r="BR52" i="32"/>
  <c r="BR44" i="32"/>
  <c r="BR39" i="32"/>
  <c r="BR28" i="32"/>
  <c r="BR17" i="32"/>
  <c r="BR14" i="32"/>
  <c r="BR9" i="32"/>
  <c r="BV71" i="32"/>
  <c r="BV62" i="32"/>
  <c r="BV12" i="32"/>
  <c r="BV81" i="32"/>
  <c r="BV69" i="32"/>
  <c r="BV17" i="32"/>
  <c r="BZ54" i="32"/>
  <c r="BZ45" i="32"/>
  <c r="BZ19" i="32"/>
  <c r="BZ14" i="32"/>
  <c r="BZ112" i="32"/>
  <c r="BZ44" i="32"/>
  <c r="BL10" i="32"/>
  <c r="BL12" i="32"/>
  <c r="BL16" i="32"/>
  <c r="BL23" i="32"/>
  <c r="BN25" i="32"/>
  <c r="BN28" i="32"/>
  <c r="BN34" i="32"/>
  <c r="BL44" i="32"/>
  <c r="BN48" i="32"/>
  <c r="BL54" i="32"/>
  <c r="BL60" i="32"/>
  <c r="BN63" i="32"/>
  <c r="BL67" i="32"/>
  <c r="BN70" i="32"/>
  <c r="BL76" i="32"/>
  <c r="BL80" i="32"/>
  <c r="BN83" i="32"/>
  <c r="BN87" i="32"/>
  <c r="BN90" i="32"/>
  <c r="BL97" i="32"/>
  <c r="BN102" i="32"/>
  <c r="BL108" i="32"/>
  <c r="BN111" i="32"/>
  <c r="BN115" i="32"/>
  <c r="BR12" i="32"/>
  <c r="BR23" i="32"/>
  <c r="BR43" i="32"/>
  <c r="BR56" i="32"/>
  <c r="BR65" i="32"/>
  <c r="BR82" i="32"/>
  <c r="BR105" i="32"/>
  <c r="BZ2" i="32"/>
  <c r="BZ11" i="32"/>
  <c r="BZ80" i="32"/>
  <c r="BL2" i="32"/>
  <c r="BL4" i="32"/>
  <c r="BN10" i="32"/>
  <c r="BN13" i="32"/>
  <c r="BN23" i="32"/>
  <c r="BL37" i="32"/>
  <c r="BN39" i="32"/>
  <c r="BL51" i="32"/>
  <c r="BN54" i="32"/>
  <c r="BN57" i="32"/>
  <c r="BL61" i="32"/>
  <c r="BL64" i="32"/>
  <c r="BL68" i="32"/>
  <c r="BL71" i="32"/>
  <c r="BL73" i="32"/>
  <c r="BL77" i="32"/>
  <c r="BN80" i="32"/>
  <c r="BL85" i="32"/>
  <c r="BL89" i="32"/>
  <c r="BL91" i="32"/>
  <c r="BN97" i="32"/>
  <c r="BL104" i="32"/>
  <c r="BL106" i="32"/>
  <c r="BN108" i="32"/>
  <c r="BN116" i="32"/>
  <c r="BR13" i="32"/>
  <c r="BR25" i="32"/>
  <c r="BR58" i="32"/>
  <c r="BR72" i="32"/>
  <c r="BZ16" i="32"/>
  <c r="BN2" i="32"/>
  <c r="BL5" i="32"/>
  <c r="BL11" i="32"/>
  <c r="BN14" i="32"/>
  <c r="BL17" i="32"/>
  <c r="BN26" i="32"/>
  <c r="BN31" i="32"/>
  <c r="BN37" i="32"/>
  <c r="BL43" i="32"/>
  <c r="BN45" i="32"/>
  <c r="BL52" i="32"/>
  <c r="BL56" i="32"/>
  <c r="BN58" i="32"/>
  <c r="BN61" i="32"/>
  <c r="BN65" i="32"/>
  <c r="BN71" i="32"/>
  <c r="BN74" i="32"/>
  <c r="BL78" i="32"/>
  <c r="BL81" i="32"/>
  <c r="BL86" i="32"/>
  <c r="BN89" i="32"/>
  <c r="BL95" i="32"/>
  <c r="BN104" i="32"/>
  <c r="BN106" i="32"/>
  <c r="BL109" i="32"/>
  <c r="BL113" i="32"/>
  <c r="BR4" i="32"/>
  <c r="BR37" i="32"/>
  <c r="BR46" i="32"/>
  <c r="BR111" i="32"/>
  <c r="BV25" i="32"/>
  <c r="BV46" i="32"/>
  <c r="BV64" i="32"/>
  <c r="BJ11" i="32"/>
  <c r="BM103" i="32"/>
  <c r="BM96" i="32"/>
  <c r="BM91" i="32"/>
  <c r="BM88" i="32"/>
  <c r="BM86" i="32"/>
  <c r="BM79" i="32"/>
  <c r="BM77" i="32"/>
  <c r="BM73" i="32"/>
  <c r="BM70" i="32"/>
  <c r="BM66" i="32"/>
  <c r="BM64" i="32"/>
  <c r="BM58" i="32"/>
  <c r="BM55" i="32"/>
  <c r="BM51" i="32"/>
  <c r="BM19" i="32"/>
  <c r="BM14" i="32"/>
  <c r="BM12" i="32"/>
  <c r="BM9" i="32"/>
  <c r="BM4" i="32"/>
  <c r="BM114" i="32"/>
  <c r="BM110" i="32"/>
  <c r="BM106" i="32"/>
  <c r="BM75" i="32"/>
  <c r="BM53" i="32"/>
  <c r="BM46" i="32"/>
  <c r="BM44" i="32"/>
  <c r="BM34" i="32"/>
  <c r="BM31" i="32"/>
  <c r="BM25" i="32"/>
  <c r="BM116" i="32"/>
  <c r="BM95" i="32"/>
  <c r="BM87" i="32"/>
  <c r="BM82" i="32"/>
  <c r="BM78" i="32"/>
  <c r="BM65" i="32"/>
  <c r="BM61" i="32"/>
  <c r="BM57" i="32"/>
  <c r="BM56" i="32"/>
  <c r="BM13" i="32"/>
  <c r="BM5" i="32"/>
  <c r="BQ116" i="32"/>
  <c r="BQ85" i="32"/>
  <c r="BQ78" i="32"/>
  <c r="BQ111" i="32"/>
  <c r="BQ76" i="32"/>
  <c r="BQ46" i="32"/>
  <c r="BQ38" i="32"/>
  <c r="BQ24" i="32"/>
  <c r="BQ19" i="32"/>
  <c r="BQ12" i="32"/>
  <c r="BQ114" i="32"/>
  <c r="BQ108" i="32"/>
  <c r="BQ104" i="32"/>
  <c r="BQ95" i="32"/>
  <c r="BQ81" i="32"/>
  <c r="BQ63" i="32"/>
  <c r="BQ51" i="32"/>
  <c r="BQ28" i="32"/>
  <c r="BQ5" i="32"/>
  <c r="BQ68" i="32"/>
  <c r="BQ55" i="32"/>
  <c r="BQ31" i="32"/>
  <c r="BQ26" i="32"/>
  <c r="BQ23" i="32"/>
  <c r="BQ10" i="32"/>
  <c r="BU85" i="32"/>
  <c r="BU64" i="32"/>
  <c r="BU71" i="32"/>
  <c r="BU51" i="32"/>
  <c r="BU28" i="32"/>
  <c r="BU13" i="32"/>
  <c r="BU105" i="32"/>
  <c r="BU83" i="32"/>
  <c r="BY74" i="32"/>
  <c r="BY67" i="32"/>
  <c r="BY23" i="32"/>
  <c r="BY10" i="32"/>
  <c r="BY115" i="32"/>
  <c r="BY91" i="32"/>
  <c r="BY60" i="32"/>
  <c r="BY37" i="32"/>
  <c r="BY19" i="32"/>
  <c r="BY15" i="32"/>
  <c r="BY11" i="32"/>
  <c r="BI110" i="32"/>
  <c r="BO44" i="32"/>
  <c r="BS112" i="32"/>
  <c r="BW17" i="32"/>
  <c r="BJ118" i="32"/>
  <c r="BT118" i="32"/>
  <c r="BX80" i="32"/>
  <c r="CB82" i="32"/>
  <c r="BL117" i="32"/>
  <c r="BN113" i="32"/>
  <c r="BR114" i="32"/>
  <c r="BQ73" i="32"/>
  <c r="BQ87" i="32"/>
  <c r="BQ101" i="32"/>
  <c r="BQ109" i="32"/>
  <c r="BQ113" i="32"/>
  <c r="BU5" i="32"/>
  <c r="BY17" i="32"/>
  <c r="BY28" i="32"/>
  <c r="BY39" i="32"/>
  <c r="BY48" i="32"/>
  <c r="BY57" i="32"/>
  <c r="BY62" i="32"/>
  <c r="BY69" i="32"/>
  <c r="BY75" i="32"/>
  <c r="BY82" i="32"/>
  <c r="BU87" i="32"/>
  <c r="BY117" i="32"/>
  <c r="BO110" i="32"/>
  <c r="BM2" i="32"/>
  <c r="BM17" i="32"/>
  <c r="BM30" i="32"/>
  <c r="BM33" i="32"/>
  <c r="BM38" i="32"/>
  <c r="BM42" i="32"/>
  <c r="BM52" i="32"/>
  <c r="BM60" i="32"/>
  <c r="BM62" i="32"/>
  <c r="BM69" i="32"/>
  <c r="BM74" i="32"/>
  <c r="BM81" i="32"/>
  <c r="BM83" i="32"/>
  <c r="BM102" i="32"/>
  <c r="BM109" i="32"/>
  <c r="BM111" i="32"/>
  <c r="BM117" i="32"/>
  <c r="BQ2" i="32"/>
  <c r="BT11" i="32"/>
  <c r="BQ14" i="32"/>
  <c r="BT19" i="32"/>
  <c r="BQ25" i="32"/>
  <c r="BQ33" i="32"/>
  <c r="BQ42" i="32"/>
  <c r="BT46" i="32"/>
  <c r="BQ53" i="32"/>
  <c r="BT56" i="32"/>
  <c r="BQ61" i="32"/>
  <c r="BQ66" i="32"/>
  <c r="BQ71" i="32"/>
  <c r="BQ79" i="32"/>
  <c r="BQ83" i="32"/>
  <c r="BQ103" i="32"/>
  <c r="BY2" i="32"/>
  <c r="BU4" i="32"/>
  <c r="BU12" i="32"/>
  <c r="BX13" i="32"/>
  <c r="BY25" i="32"/>
  <c r="BU31" i="32"/>
  <c r="BU42" i="32"/>
  <c r="BU52" i="32"/>
  <c r="CB58" i="32"/>
  <c r="BU77" i="32"/>
  <c r="BX105" i="32"/>
  <c r="BM118" i="32"/>
  <c r="BM115" i="32"/>
  <c r="BM112" i="32"/>
  <c r="BM108" i="32"/>
  <c r="BM104" i="32"/>
  <c r="BM97" i="32"/>
  <c r="BM90" i="32"/>
  <c r="BM89" i="32"/>
  <c r="BM85" i="32"/>
  <c r="BM80" i="32"/>
  <c r="BM76" i="32"/>
  <c r="BM71" i="32"/>
  <c r="BM67" i="32"/>
  <c r="BM63" i="32"/>
  <c r="BM59" i="32"/>
  <c r="BM54" i="32"/>
  <c r="BM48" i="32"/>
  <c r="BM43" i="32"/>
  <c r="BM37" i="32"/>
  <c r="BM28" i="32"/>
  <c r="BM23" i="32"/>
  <c r="BM15" i="32"/>
  <c r="BM11" i="32"/>
  <c r="BM10" i="32"/>
  <c r="BQ118" i="32"/>
  <c r="BQ115" i="32"/>
  <c r="BQ110" i="32"/>
  <c r="BQ105" i="32"/>
  <c r="BQ97" i="32"/>
  <c r="BQ91" i="32"/>
  <c r="BQ89" i="32"/>
  <c r="BQ86" i="32"/>
  <c r="BQ80" i="32"/>
  <c r="BQ75" i="32"/>
  <c r="BQ70" i="32"/>
  <c r="BQ67" i="32"/>
  <c r="BQ65" i="32"/>
  <c r="BQ62" i="32"/>
  <c r="BQ60" i="32"/>
  <c r="BQ58" i="32"/>
  <c r="BQ56" i="32"/>
  <c r="BQ54" i="32"/>
  <c r="BQ52" i="32"/>
  <c r="BQ48" i="32"/>
  <c r="BQ117" i="32"/>
  <c r="BQ112" i="32"/>
  <c r="BQ107" i="32"/>
  <c r="BQ102" i="32"/>
  <c r="BQ96" i="32"/>
  <c r="BQ88" i="32"/>
  <c r="BQ82" i="32"/>
  <c r="BQ77" i="32"/>
  <c r="BQ74" i="32"/>
  <c r="BQ72" i="32"/>
  <c r="BQ69" i="32"/>
  <c r="BQ64" i="32"/>
  <c r="BQ57" i="32"/>
  <c r="BQ45" i="32"/>
  <c r="BQ43" i="32"/>
  <c r="BQ39" i="32"/>
  <c r="BQ37" i="32"/>
  <c r="BQ17" i="32"/>
  <c r="BQ15" i="32"/>
  <c r="BQ13" i="32"/>
  <c r="BQ11" i="32"/>
  <c r="BQ9" i="32"/>
  <c r="BQ4" i="32"/>
  <c r="BU118" i="32"/>
  <c r="BU97" i="32"/>
  <c r="BU95" i="32"/>
  <c r="BU81" i="32"/>
  <c r="BU69" i="32"/>
  <c r="BU68" i="32"/>
  <c r="BU62" i="32"/>
  <c r="BU61" i="32"/>
  <c r="BU56" i="32"/>
  <c r="BU46" i="32"/>
  <c r="BU38" i="32"/>
  <c r="BU25" i="32"/>
  <c r="BU24" i="32"/>
  <c r="BU117" i="32"/>
  <c r="BU116" i="32"/>
  <c r="BU114" i="32"/>
  <c r="BU113" i="32"/>
  <c r="BU104" i="32"/>
  <c r="BU103" i="32"/>
  <c r="BU101" i="32"/>
  <c r="BU96" i="32"/>
  <c r="BU91" i="32"/>
  <c r="BU90" i="32"/>
  <c r="BU89" i="32"/>
  <c r="BU80" i="32"/>
  <c r="BU79" i="32"/>
  <c r="BU74" i="32"/>
  <c r="BU73" i="32"/>
  <c r="BU67" i="32"/>
  <c r="BU66" i="32"/>
  <c r="BU60" i="32"/>
  <c r="BU59" i="32"/>
  <c r="BU55" i="32"/>
  <c r="BU54" i="32"/>
  <c r="BU45" i="32"/>
  <c r="BU44" i="32"/>
  <c r="BU37" i="32"/>
  <c r="BU34" i="32"/>
  <c r="BU23" i="32"/>
  <c r="BU19" i="32"/>
  <c r="BU109" i="32"/>
  <c r="BU106" i="32"/>
  <c r="BU82" i="32"/>
  <c r="BU75" i="32"/>
  <c r="BU72" i="32"/>
  <c r="BU65" i="32"/>
  <c r="BU57" i="32"/>
  <c r="BU48" i="32"/>
  <c r="BU33" i="32"/>
  <c r="BU17" i="32"/>
  <c r="BU16" i="32"/>
  <c r="BU11" i="32"/>
  <c r="BU102" i="32"/>
  <c r="BU88" i="32"/>
  <c r="BU86" i="32"/>
  <c r="BU78" i="32"/>
  <c r="BU70" i="32"/>
  <c r="BU63" i="32"/>
  <c r="BU53" i="32"/>
  <c r="BU43" i="32"/>
  <c r="BU30" i="32"/>
  <c r="BU26" i="32"/>
  <c r="BU15" i="32"/>
  <c r="BU14" i="32"/>
  <c r="BU10" i="32"/>
  <c r="BU9" i="32"/>
  <c r="BU2" i="32"/>
  <c r="BU110" i="32"/>
  <c r="BY110" i="32"/>
  <c r="BY118" i="32"/>
  <c r="BY114" i="32"/>
  <c r="BY112" i="32"/>
  <c r="BY108" i="32"/>
  <c r="BY106" i="32"/>
  <c r="BY105" i="32"/>
  <c r="BY103" i="32"/>
  <c r="BY102" i="32"/>
  <c r="BY101" i="32"/>
  <c r="BY89" i="32"/>
  <c r="BY88" i="32"/>
  <c r="BY79" i="32"/>
  <c r="BY78" i="32"/>
  <c r="BY73" i="32"/>
  <c r="BY72" i="32"/>
  <c r="BY66" i="32"/>
  <c r="BY65" i="32"/>
  <c r="BY59" i="32"/>
  <c r="BY54" i="32"/>
  <c r="BY53" i="32"/>
  <c r="BY44" i="32"/>
  <c r="BY43" i="32"/>
  <c r="BY34" i="32"/>
  <c r="BY33" i="32"/>
  <c r="BY109" i="32"/>
  <c r="BY87" i="32"/>
  <c r="BY85" i="32"/>
  <c r="BY83" i="32"/>
  <c r="BY77" i="32"/>
  <c r="BY76" i="32"/>
  <c r="BY71" i="32"/>
  <c r="BY64" i="32"/>
  <c r="BY58" i="32"/>
  <c r="BY52" i="32"/>
  <c r="BY51" i="32"/>
  <c r="BY42" i="32"/>
  <c r="BY31" i="32"/>
  <c r="BY30" i="32"/>
  <c r="BY95" i="32"/>
  <c r="BY80" i="32"/>
  <c r="BY70" i="32"/>
  <c r="BY63" i="32"/>
  <c r="BY55" i="32"/>
  <c r="BY45" i="32"/>
  <c r="BY26" i="32"/>
  <c r="BY14" i="32"/>
  <c r="BY13" i="32"/>
  <c r="BY9" i="32"/>
  <c r="BY5" i="32"/>
  <c r="BY116" i="32"/>
  <c r="BY113" i="32"/>
  <c r="BY111" i="32"/>
  <c r="BY81" i="32"/>
  <c r="BY68" i="32"/>
  <c r="BY61" i="32"/>
  <c r="BY56" i="32"/>
  <c r="BY46" i="32"/>
  <c r="BY38" i="32"/>
  <c r="BY24" i="32"/>
  <c r="BY12" i="32"/>
  <c r="BY4" i="32"/>
  <c r="BY96" i="32"/>
  <c r="BV109" i="32"/>
  <c r="BV117" i="32"/>
  <c r="BV116" i="32"/>
  <c r="BV113" i="32"/>
  <c r="BV96" i="32"/>
  <c r="BV91" i="32"/>
  <c r="BV90" i="32"/>
  <c r="BV80" i="32"/>
  <c r="BV74" i="32"/>
  <c r="BV67" i="32"/>
  <c r="BV60" i="32"/>
  <c r="BV55" i="32"/>
  <c r="BV45" i="32"/>
  <c r="BV37" i="32"/>
  <c r="BV118" i="32"/>
  <c r="BV106" i="32"/>
  <c r="BV102" i="32"/>
  <c r="BV88" i="32"/>
  <c r="BV86" i="32"/>
  <c r="BV78" i="32"/>
  <c r="BV65" i="32"/>
  <c r="BV53" i="32"/>
  <c r="BV43" i="32"/>
  <c r="BV33" i="32"/>
  <c r="BZ115" i="32"/>
  <c r="BZ87" i="32"/>
  <c r="BZ85" i="32"/>
  <c r="BZ77" i="32"/>
  <c r="BZ64" i="32"/>
  <c r="BZ52" i="32"/>
  <c r="BZ42" i="32"/>
  <c r="BZ31" i="32"/>
  <c r="BZ110" i="32"/>
  <c r="BZ82" i="32"/>
  <c r="BZ75" i="32"/>
  <c r="BZ70" i="32"/>
  <c r="BZ63" i="32"/>
  <c r="BZ57" i="32"/>
  <c r="BZ48" i="32"/>
  <c r="BZ28" i="32"/>
  <c r="BN4" i="32"/>
  <c r="BL9" i="32"/>
  <c r="BN12" i="32"/>
  <c r="BL14" i="32"/>
  <c r="BN16" i="32"/>
  <c r="BL19" i="32"/>
  <c r="BN24" i="32"/>
  <c r="BL26" i="32"/>
  <c r="BN30" i="32"/>
  <c r="BL33" i="32"/>
  <c r="BL34" i="32"/>
  <c r="BN38" i="32"/>
  <c r="BL42" i="32"/>
  <c r="BN44" i="32"/>
  <c r="BL46" i="32"/>
  <c r="BN51" i="32"/>
  <c r="BL53" i="32"/>
  <c r="BN55" i="32"/>
  <c r="BL58" i="32"/>
  <c r="BN60" i="32"/>
  <c r="BL62" i="32"/>
  <c r="BN64" i="32"/>
  <c r="BL66" i="32"/>
  <c r="BN68" i="32"/>
  <c r="BL70" i="32"/>
  <c r="BN72" i="32"/>
  <c r="BN73" i="32"/>
  <c r="BL75" i="32"/>
  <c r="BN77" i="32"/>
  <c r="BL79" i="32"/>
  <c r="BN81" i="32"/>
  <c r="BL83" i="32"/>
  <c r="BN86" i="32"/>
  <c r="BL88" i="32"/>
  <c r="BN91" i="32"/>
  <c r="BL96" i="32"/>
  <c r="BN101" i="32"/>
  <c r="BL103" i="32"/>
  <c r="BN105" i="32"/>
  <c r="BL107" i="32"/>
  <c r="BN109" i="32"/>
  <c r="BL111" i="32"/>
  <c r="BR24" i="32"/>
  <c r="BR26" i="32"/>
  <c r="BR30" i="32"/>
  <c r="BR33" i="32"/>
  <c r="BR51" i="32"/>
  <c r="BR53" i="32"/>
  <c r="BR55" i="32"/>
  <c r="BR59" i="32"/>
  <c r="BR61" i="32"/>
  <c r="BR66" i="32"/>
  <c r="BR79" i="32"/>
  <c r="BR85" i="32"/>
  <c r="BR104" i="32"/>
  <c r="BR109" i="32"/>
  <c r="BV5" i="32"/>
  <c r="BZ34" i="32"/>
  <c r="BV51" i="32"/>
  <c r="BV58" i="32"/>
  <c r="BZ59" i="32"/>
  <c r="BZ66" i="32"/>
  <c r="BV76" i="32"/>
  <c r="BV83" i="32"/>
  <c r="BV2" i="32"/>
  <c r="BZ4" i="32"/>
  <c r="BV10" i="32"/>
  <c r="BV15" i="32"/>
  <c r="BV23" i="32"/>
  <c r="BZ24" i="32"/>
  <c r="BV30" i="32"/>
  <c r="BZ38" i="32"/>
  <c r="BZ61" i="32"/>
  <c r="BZ68" i="32"/>
  <c r="BZ73" i="32"/>
  <c r="BZ90" i="32"/>
  <c r="BI4" i="32"/>
  <c r="BI9" i="32"/>
  <c r="BI28" i="32"/>
  <c r="BI53" i="32"/>
  <c r="BI55" i="32"/>
  <c r="BI69" i="32"/>
  <c r="BI71" i="32"/>
  <c r="BI86" i="32"/>
  <c r="BI88" i="32"/>
  <c r="BI108" i="32"/>
  <c r="BJ4" i="32"/>
  <c r="BJ28" i="32"/>
  <c r="BJ53" i="32"/>
  <c r="BJ69" i="32"/>
  <c r="BJ86" i="32"/>
  <c r="BJ108" i="32"/>
  <c r="BT10" i="32"/>
  <c r="BT23" i="32"/>
  <c r="BT45" i="32"/>
  <c r="BT57" i="32"/>
  <c r="BT65" i="32"/>
  <c r="BT72" i="32"/>
  <c r="BT81" i="32"/>
  <c r="BT89" i="32"/>
  <c r="BT104" i="32"/>
  <c r="BT111" i="32"/>
  <c r="BX2" i="32"/>
  <c r="CB19" i="32"/>
  <c r="BZ95" i="32"/>
  <c r="BZ101" i="32"/>
  <c r="BT64" i="32"/>
  <c r="BT80" i="32"/>
  <c r="BT103" i="32"/>
  <c r="BX26" i="32"/>
  <c r="BX45" i="32"/>
  <c r="CB48" i="32"/>
  <c r="BX64" i="32"/>
  <c r="CB66" i="32"/>
  <c r="BL116" i="32"/>
  <c r="BL112" i="32"/>
  <c r="BN118" i="32"/>
  <c r="BN114" i="32"/>
  <c r="BR112" i="32"/>
  <c r="BR90" i="32"/>
  <c r="BR73" i="32"/>
  <c r="BR57" i="32"/>
  <c r="BR34" i="32"/>
  <c r="BR11" i="32"/>
  <c r="BR2" i="32"/>
  <c r="BR117" i="32"/>
  <c r="BR115" i="32"/>
  <c r="BR113" i="32"/>
  <c r="BR110" i="32"/>
  <c r="BR108" i="32"/>
  <c r="BR106" i="32"/>
  <c r="BR103" i="32"/>
  <c r="BR101" i="32"/>
  <c r="BR96" i="32"/>
  <c r="BR91" i="32"/>
  <c r="BR88" i="32"/>
  <c r="BR86" i="32"/>
  <c r="BR83" i="32"/>
  <c r="BR80" i="32"/>
  <c r="BR78" i="32"/>
  <c r="BR76" i="32"/>
  <c r="BR74" i="32"/>
  <c r="BR71" i="32"/>
  <c r="BR69" i="32"/>
  <c r="BR67" i="32"/>
  <c r="BR64" i="32"/>
  <c r="BR62" i="32"/>
  <c r="BV111" i="32"/>
  <c r="BV110" i="32"/>
  <c r="BV105" i="32"/>
  <c r="BV101" i="32"/>
  <c r="BV85" i="32"/>
  <c r="BV79" i="32"/>
  <c r="BV77" i="32"/>
  <c r="BV75" i="32"/>
  <c r="BV72" i="32"/>
  <c r="BV70" i="32"/>
  <c r="BV68" i="32"/>
  <c r="BV63" i="32"/>
  <c r="BV61" i="32"/>
  <c r="BV59" i="32"/>
  <c r="BV56" i="32"/>
  <c r="BV54" i="32"/>
  <c r="BV52" i="32"/>
  <c r="BV44" i="32"/>
  <c r="BV42" i="32"/>
  <c r="BV26" i="32"/>
  <c r="BV24" i="32"/>
  <c r="BV13" i="32"/>
  <c r="BV112" i="32"/>
  <c r="BV107" i="32"/>
  <c r="BV97" i="32"/>
  <c r="BV89" i="32"/>
  <c r="BV87" i="32"/>
  <c r="BV82" i="32"/>
  <c r="BV73" i="32"/>
  <c r="BV66" i="32"/>
  <c r="BV57" i="32"/>
  <c r="BV48" i="32"/>
  <c r="BV38" i="32"/>
  <c r="BV34" i="32"/>
  <c r="BV31" i="32"/>
  <c r="BV28" i="32"/>
  <c r="BV19" i="32"/>
  <c r="BV16" i="32"/>
  <c r="BV14" i="32"/>
  <c r="BV11" i="32"/>
  <c r="BV9" i="32"/>
  <c r="BV4" i="32"/>
  <c r="BZ111" i="32"/>
  <c r="BZ109" i="32"/>
  <c r="BZ106" i="32"/>
  <c r="BZ104" i="32"/>
  <c r="BZ103" i="32"/>
  <c r="BZ97" i="32"/>
  <c r="BZ91" i="32"/>
  <c r="BZ83" i="32"/>
  <c r="BZ78" i="32"/>
  <c r="BZ76" i="32"/>
  <c r="BZ71" i="32"/>
  <c r="BZ69" i="32"/>
  <c r="BZ67" i="32"/>
  <c r="BZ62" i="32"/>
  <c r="BZ60" i="32"/>
  <c r="BZ55" i="32"/>
  <c r="BZ53" i="32"/>
  <c r="BZ51" i="32"/>
  <c r="BZ43" i="32"/>
  <c r="BZ25" i="32"/>
  <c r="BZ23" i="32"/>
  <c r="BZ12" i="32"/>
  <c r="BZ118" i="32"/>
  <c r="BZ117" i="32"/>
  <c r="BZ114" i="32"/>
  <c r="BZ108" i="32"/>
  <c r="BZ96" i="32"/>
  <c r="BZ88" i="32"/>
  <c r="BZ86" i="32"/>
  <c r="BZ81" i="32"/>
  <c r="BZ74" i="32"/>
  <c r="BZ72" i="32"/>
  <c r="BZ65" i="32"/>
  <c r="BZ58" i="32"/>
  <c r="BZ56" i="32"/>
  <c r="BZ46" i="32"/>
  <c r="BZ39" i="32"/>
  <c r="BZ37" i="32"/>
  <c r="BZ33" i="32"/>
  <c r="BZ30" i="32"/>
  <c r="BZ26" i="32"/>
  <c r="BZ17" i="32"/>
  <c r="BZ15" i="32"/>
  <c r="BZ13" i="32"/>
  <c r="BZ10" i="32"/>
  <c r="BZ5" i="32"/>
  <c r="BO88" i="32"/>
  <c r="BO118" i="32"/>
  <c r="BO71" i="32"/>
  <c r="BO17" i="32"/>
  <c r="CA115" i="32"/>
  <c r="BP116" i="32"/>
  <c r="BP115" i="32"/>
  <c r="BP112" i="32"/>
  <c r="BP111" i="32"/>
  <c r="BP108" i="32"/>
  <c r="BP107" i="32"/>
  <c r="BP104" i="32"/>
  <c r="BP103" i="32"/>
  <c r="BP97" i="32"/>
  <c r="BP96" i="32"/>
  <c r="BP90" i="32"/>
  <c r="BP89" i="32"/>
  <c r="BP86" i="32"/>
  <c r="BP85" i="32"/>
  <c r="BP81" i="32"/>
  <c r="BP80" i="32"/>
  <c r="BP77" i="32"/>
  <c r="BP76" i="32"/>
  <c r="BP73" i="32"/>
  <c r="BP72" i="32"/>
  <c r="BP69" i="32"/>
  <c r="BP68" i="32"/>
  <c r="BP65" i="32"/>
  <c r="BP64" i="32"/>
  <c r="BP61" i="32"/>
  <c r="BP60" i="32"/>
  <c r="BP57" i="32"/>
  <c r="BP56" i="32"/>
  <c r="BP53" i="32"/>
  <c r="BP52" i="32"/>
  <c r="BP46" i="32"/>
  <c r="BP45" i="32"/>
  <c r="BP42" i="32"/>
  <c r="BP39" i="32"/>
  <c r="BP34" i="32"/>
  <c r="BP33" i="32"/>
  <c r="BP28" i="32"/>
  <c r="BP26" i="32"/>
  <c r="BP23" i="32"/>
  <c r="BP19" i="32"/>
  <c r="BP15" i="32"/>
  <c r="BP14" i="32"/>
  <c r="BP11" i="32"/>
  <c r="BP10" i="32"/>
  <c r="BP4" i="32"/>
  <c r="BX111" i="32"/>
  <c r="BX103" i="32"/>
  <c r="BX91" i="32"/>
  <c r="BX89" i="32"/>
  <c r="BX33" i="32"/>
  <c r="BX14" i="32"/>
  <c r="BX101" i="32"/>
  <c r="BX82" i="32"/>
  <c r="BX78" i="32"/>
  <c r="BX74" i="32"/>
  <c r="BX70" i="32"/>
  <c r="BX66" i="32"/>
  <c r="BX62" i="32"/>
  <c r="BX58" i="32"/>
  <c r="BX54" i="32"/>
  <c r="BX48" i="32"/>
  <c r="BX19" i="32"/>
  <c r="BX11" i="32"/>
  <c r="BX4" i="32"/>
  <c r="CB115" i="32"/>
  <c r="CB107" i="32"/>
  <c r="CB105" i="32"/>
  <c r="CB85" i="32"/>
  <c r="CB80" i="32"/>
  <c r="CB76" i="32"/>
  <c r="CB72" i="32"/>
  <c r="CB68" i="32"/>
  <c r="CB64" i="32"/>
  <c r="CB60" i="32"/>
  <c r="CB56" i="32"/>
  <c r="CB52" i="32"/>
  <c r="CB45" i="32"/>
  <c r="CB26" i="32"/>
  <c r="CB9" i="32"/>
  <c r="CB2" i="32"/>
  <c r="CB111" i="32"/>
  <c r="CB103" i="32"/>
  <c r="CB91" i="32"/>
  <c r="CB33" i="32"/>
  <c r="CB14" i="32"/>
  <c r="BO79" i="32"/>
  <c r="BT4" i="32"/>
  <c r="BT15" i="32"/>
  <c r="BT28" i="32"/>
  <c r="BT42" i="32"/>
  <c r="BT53" i="32"/>
  <c r="BT61" i="32"/>
  <c r="BT69" i="32"/>
  <c r="BT77" i="32"/>
  <c r="BT86" i="32"/>
  <c r="BT97" i="32"/>
  <c r="BT108" i="32"/>
  <c r="BT116" i="32"/>
  <c r="BX9" i="32"/>
  <c r="BX39" i="32"/>
  <c r="BW44" i="32"/>
  <c r="CB54" i="32"/>
  <c r="CB62" i="32"/>
  <c r="CB70" i="32"/>
  <c r="CB78" i="32"/>
  <c r="CB87" i="32"/>
  <c r="CB96" i="32"/>
  <c r="CB117" i="32"/>
  <c r="BO114" i="32"/>
  <c r="BO63" i="32"/>
  <c r="BO31" i="32"/>
  <c r="BO102" i="32"/>
  <c r="BT14" i="32"/>
  <c r="BT26" i="32"/>
  <c r="BT39" i="32"/>
  <c r="BT52" i="32"/>
  <c r="BT60" i="32"/>
  <c r="BT68" i="32"/>
  <c r="BT76" i="32"/>
  <c r="BT85" i="32"/>
  <c r="BT96" i="32"/>
  <c r="BT107" i="32"/>
  <c r="BT115" i="32"/>
  <c r="CB4" i="32"/>
  <c r="BW31" i="32"/>
  <c r="BX52" i="32"/>
  <c r="BX60" i="32"/>
  <c r="BX68" i="32"/>
  <c r="BX76" i="32"/>
  <c r="BX85" i="32"/>
  <c r="BX87" i="32"/>
  <c r="BX96" i="32"/>
  <c r="BX107" i="32"/>
  <c r="BX109" i="32"/>
  <c r="BX113" i="32"/>
  <c r="BP118" i="32"/>
  <c r="BV95" i="32"/>
  <c r="BZ102" i="32"/>
  <c r="BV103" i="32"/>
  <c r="BV104" i="32"/>
  <c r="BZ105" i="32"/>
  <c r="BZ107" i="32"/>
  <c r="BV108" i="32"/>
  <c r="BZ113" i="32"/>
  <c r="BV114" i="32"/>
  <c r="BV115" i="32"/>
  <c r="BZ116" i="32"/>
  <c r="CB89" i="32"/>
  <c r="CB101" i="32"/>
  <c r="CB109" i="32"/>
  <c r="CB113" i="32"/>
  <c r="BY86" i="32"/>
  <c r="BY90" i="32"/>
  <c r="BY97" i="32"/>
  <c r="BY104" i="32"/>
  <c r="BY107" i="32"/>
  <c r="BU107" i="32"/>
  <c r="BU108" i="32"/>
  <c r="BU111" i="32"/>
  <c r="BU112" i="32"/>
  <c r="BU115" i="32"/>
  <c r="BO9" i="32"/>
  <c r="BO55" i="32"/>
  <c r="BW118" i="32"/>
  <c r="BW116" i="32"/>
  <c r="BW114" i="32"/>
  <c r="BW112" i="32"/>
  <c r="BW110" i="32"/>
  <c r="BW108" i="32"/>
  <c r="BW106" i="32"/>
  <c r="BW104" i="32"/>
  <c r="BW102" i="32"/>
  <c r="BW97" i="32"/>
  <c r="BW95" i="32"/>
  <c r="BW90" i="32"/>
  <c r="BW88" i="32"/>
  <c r="BW86" i="32"/>
  <c r="BW83" i="32"/>
  <c r="BW81" i="32"/>
  <c r="BW79" i="32"/>
  <c r="BW77" i="32"/>
  <c r="BW75" i="32"/>
  <c r="BW73" i="32"/>
  <c r="BW71" i="32"/>
  <c r="BW69" i="32"/>
  <c r="BW67" i="32"/>
  <c r="BW65" i="32"/>
  <c r="BW63" i="32"/>
  <c r="BW61" i="32"/>
  <c r="BW59" i="32"/>
  <c r="BW57" i="32"/>
  <c r="BW55" i="32"/>
  <c r="BW53" i="32"/>
  <c r="BW51" i="32"/>
  <c r="BW46" i="32"/>
  <c r="BW13" i="32"/>
  <c r="BW11" i="32"/>
  <c r="BW9" i="32"/>
  <c r="BW4" i="32"/>
  <c r="BW2" i="32"/>
  <c r="BW43" i="32"/>
  <c r="BW42" i="32"/>
  <c r="BW37" i="32"/>
  <c r="BW34" i="32"/>
  <c r="BW30" i="32"/>
  <c r="BW28" i="32"/>
  <c r="BW24" i="32"/>
  <c r="BW23" i="32"/>
  <c r="BW16" i="32"/>
  <c r="BW15" i="32"/>
  <c r="BO12" i="32"/>
  <c r="BO48" i="32"/>
  <c r="BO66" i="32"/>
  <c r="BO82" i="32"/>
  <c r="BO105" i="32"/>
  <c r="BO113" i="32"/>
  <c r="BS24" i="32"/>
  <c r="BS48" i="32"/>
  <c r="BS58" i="32"/>
  <c r="BS66" i="32"/>
  <c r="BS74" i="32"/>
  <c r="BS82" i="32"/>
  <c r="BS91" i="32"/>
  <c r="BS105" i="32"/>
  <c r="BW26" i="32"/>
  <c r="CA26" i="32"/>
  <c r="BW39" i="32"/>
  <c r="BO13" i="32"/>
  <c r="BO25" i="32"/>
  <c r="BO38" i="32"/>
  <c r="BO51" i="32"/>
  <c r="BO59" i="32"/>
  <c r="BO67" i="32"/>
  <c r="BO75" i="32"/>
  <c r="BO83" i="32"/>
  <c r="BO95" i="32"/>
  <c r="BO106" i="32"/>
  <c r="BW5" i="32"/>
  <c r="BW10" i="32"/>
  <c r="BW12" i="32"/>
  <c r="BW25" i="32"/>
  <c r="BW38" i="32"/>
  <c r="BW117" i="32"/>
  <c r="BO116" i="32"/>
  <c r="BO112" i="32"/>
  <c r="BO108" i="32"/>
  <c r="BO104" i="32"/>
  <c r="BO97" i="32"/>
  <c r="BO90" i="32"/>
  <c r="BO86" i="32"/>
  <c r="BO81" i="32"/>
  <c r="BO77" i="32"/>
  <c r="BO73" i="32"/>
  <c r="BO69" i="32"/>
  <c r="BO65" i="32"/>
  <c r="BO61" i="32"/>
  <c r="BO57" i="32"/>
  <c r="BO53" i="32"/>
  <c r="BO46" i="32"/>
  <c r="BO42" i="32"/>
  <c r="BO34" i="32"/>
  <c r="BO28" i="32"/>
  <c r="BO23" i="32"/>
  <c r="BO15" i="32"/>
  <c r="BO11" i="32"/>
  <c r="BO4" i="32"/>
  <c r="BO115" i="32"/>
  <c r="BO107" i="32"/>
  <c r="BO103" i="32"/>
  <c r="BO96" i="32"/>
  <c r="BO85" i="32"/>
  <c r="BO80" i="32"/>
  <c r="BO76" i="32"/>
  <c r="BO68" i="32"/>
  <c r="BO64" i="32"/>
  <c r="BO56" i="32"/>
  <c r="BO52" i="32"/>
  <c r="BO45" i="32"/>
  <c r="BO33" i="32"/>
  <c r="BO26" i="32"/>
  <c r="BO19" i="32"/>
  <c r="BO10" i="32"/>
  <c r="BO111" i="32"/>
  <c r="BO89" i="32"/>
  <c r="BO72" i="32"/>
  <c r="BO60" i="32"/>
  <c r="BO39" i="32"/>
  <c r="BO14" i="32"/>
  <c r="BS115" i="32"/>
  <c r="BS111" i="32"/>
  <c r="BS107" i="32"/>
  <c r="BS103" i="32"/>
  <c r="BS96" i="32"/>
  <c r="BS89" i="32"/>
  <c r="BS85" i="32"/>
  <c r="BS80" i="32"/>
  <c r="BS76" i="32"/>
  <c r="BS72" i="32"/>
  <c r="BS68" i="32"/>
  <c r="BS64" i="32"/>
  <c r="BS60" i="32"/>
  <c r="BS56" i="32"/>
  <c r="BS52" i="32"/>
  <c r="BS45" i="32"/>
  <c r="BS39" i="32"/>
  <c r="BS33" i="32"/>
  <c r="BS26" i="32"/>
  <c r="BS19" i="32"/>
  <c r="BS14" i="32"/>
  <c r="BS10" i="32"/>
  <c r="BS38" i="32"/>
  <c r="BS25" i="32"/>
  <c r="BS17" i="32"/>
  <c r="BS13" i="32"/>
  <c r="BS9" i="32"/>
  <c r="BS2" i="32"/>
  <c r="BS118" i="32"/>
  <c r="BS114" i="32"/>
  <c r="BS110" i="32"/>
  <c r="BS106" i="32"/>
  <c r="BS102" i="32"/>
  <c r="BS95" i="32"/>
  <c r="BS88" i="32"/>
  <c r="BS83" i="32"/>
  <c r="BS79" i="32"/>
  <c r="BS75" i="32"/>
  <c r="BS71" i="32"/>
  <c r="BS67" i="32"/>
  <c r="BS63" i="32"/>
  <c r="BS59" i="32"/>
  <c r="BS55" i="32"/>
  <c r="BS51" i="32"/>
  <c r="BS44" i="32"/>
  <c r="BS31" i="32"/>
  <c r="CA118" i="32"/>
  <c r="CA116" i="32"/>
  <c r="CA114" i="32"/>
  <c r="CA112" i="32"/>
  <c r="CA110" i="32"/>
  <c r="CA108" i="32"/>
  <c r="CA106" i="32"/>
  <c r="CA104" i="32"/>
  <c r="CA102" i="32"/>
  <c r="CA97" i="32"/>
  <c r="CA95" i="32"/>
  <c r="CA90" i="32"/>
  <c r="CA88" i="32"/>
  <c r="CA86" i="32"/>
  <c r="CA83" i="32"/>
  <c r="CA81" i="32"/>
  <c r="CA79" i="32"/>
  <c r="CA77" i="32"/>
  <c r="CA75" i="32"/>
  <c r="CA73" i="32"/>
  <c r="CA71" i="32"/>
  <c r="CA69" i="32"/>
  <c r="CA67" i="32"/>
  <c r="CA65" i="32"/>
  <c r="CA63" i="32"/>
  <c r="CA61" i="32"/>
  <c r="CA59" i="32"/>
  <c r="CA57" i="32"/>
  <c r="CA55" i="32"/>
  <c r="CA53" i="32"/>
  <c r="CA51" i="32"/>
  <c r="CA46" i="32"/>
  <c r="CA44" i="32"/>
  <c r="CA38" i="32"/>
  <c r="CA31" i="32"/>
  <c r="CA25" i="32"/>
  <c r="CA17" i="32"/>
  <c r="CA13" i="32"/>
  <c r="CA11" i="32"/>
  <c r="CA9" i="32"/>
  <c r="CA4" i="32"/>
  <c r="CA2" i="32"/>
  <c r="CA43" i="32"/>
  <c r="CA37" i="32"/>
  <c r="CA30" i="32"/>
  <c r="CA24" i="32"/>
  <c r="CA16" i="32"/>
  <c r="BO2" i="32"/>
  <c r="BO24" i="32"/>
  <c r="BO37" i="32"/>
  <c r="BO58" i="32"/>
  <c r="BO74" i="32"/>
  <c r="BO91" i="32"/>
  <c r="BS11" i="32"/>
  <c r="BS12" i="32"/>
  <c r="BS23" i="32"/>
  <c r="BS34" i="32"/>
  <c r="BS37" i="32"/>
  <c r="BS46" i="32"/>
  <c r="BS57" i="32"/>
  <c r="BS65" i="32"/>
  <c r="BS73" i="32"/>
  <c r="BS81" i="32"/>
  <c r="BS90" i="32"/>
  <c r="BS104" i="32"/>
  <c r="BS113" i="32"/>
  <c r="CA5" i="32"/>
  <c r="CA10" i="32"/>
  <c r="CA12" i="32"/>
  <c r="BW14" i="32"/>
  <c r="CA14" i="32"/>
  <c r="CA15" i="32"/>
  <c r="CA28" i="32"/>
  <c r="CA39" i="32"/>
  <c r="CA42" i="32"/>
  <c r="CA117" i="32"/>
  <c r="BO5" i="32"/>
  <c r="BO16" i="32"/>
  <c r="BO30" i="32"/>
  <c r="BO43" i="32"/>
  <c r="BO54" i="32"/>
  <c r="BO62" i="32"/>
  <c r="BO70" i="32"/>
  <c r="BO78" i="32"/>
  <c r="BO87" i="32"/>
  <c r="BO101" i="32"/>
  <c r="BO109" i="32"/>
  <c r="BO117" i="32"/>
  <c r="BS4" i="32"/>
  <c r="BS5" i="32"/>
  <c r="BS15" i="32"/>
  <c r="BS16" i="32"/>
  <c r="BS28" i="32"/>
  <c r="BS30" i="32"/>
  <c r="BS42" i="32"/>
  <c r="BS43" i="32"/>
  <c r="BS53" i="32"/>
  <c r="BS54" i="32"/>
  <c r="BS61" i="32"/>
  <c r="BS62" i="32"/>
  <c r="BS69" i="32"/>
  <c r="BS70" i="32"/>
  <c r="BS77" i="32"/>
  <c r="BS78" i="32"/>
  <c r="BS86" i="32"/>
  <c r="BS87" i="32"/>
  <c r="BS97" i="32"/>
  <c r="BS101" i="32"/>
  <c r="BS108" i="32"/>
  <c r="BS109" i="32"/>
  <c r="BS116" i="32"/>
  <c r="BS117" i="32"/>
  <c r="BW19" i="32"/>
  <c r="CA19" i="32"/>
  <c r="CA23" i="32"/>
  <c r="BW33" i="32"/>
  <c r="CA33" i="32"/>
  <c r="CA34" i="32"/>
  <c r="BW45" i="32"/>
  <c r="CA45" i="32"/>
  <c r="BW48" i="32"/>
  <c r="CA48" i="32"/>
  <c r="BW52" i="32"/>
  <c r="CA52" i="32"/>
  <c r="BW54" i="32"/>
  <c r="CA54" i="32"/>
  <c r="BW56" i="32"/>
  <c r="CA56" i="32"/>
  <c r="BW58" i="32"/>
  <c r="CA58" i="32"/>
  <c r="BW60" i="32"/>
  <c r="CA60" i="32"/>
  <c r="BW62" i="32"/>
  <c r="CA62" i="32"/>
  <c r="BW64" i="32"/>
  <c r="CA64" i="32"/>
  <c r="BW66" i="32"/>
  <c r="CA66" i="32"/>
  <c r="BW68" i="32"/>
  <c r="CA68" i="32"/>
  <c r="BW70" i="32"/>
  <c r="CA70" i="32"/>
  <c r="BW72" i="32"/>
  <c r="CA72" i="32"/>
  <c r="BW74" i="32"/>
  <c r="CA74" i="32"/>
  <c r="BW76" i="32"/>
  <c r="CA76" i="32"/>
  <c r="BW78" i="32"/>
  <c r="CA78" i="32"/>
  <c r="BW80" i="32"/>
  <c r="CA80" i="32"/>
  <c r="BW82" i="32"/>
  <c r="CA82" i="32"/>
  <c r="BW85" i="32"/>
  <c r="CA85" i="32"/>
  <c r="BW87" i="32"/>
  <c r="CA87" i="32"/>
  <c r="BW89" i="32"/>
  <c r="CA89" i="32"/>
  <c r="BW91" i="32"/>
  <c r="CA91" i="32"/>
  <c r="BW96" i="32"/>
  <c r="CA96" i="32"/>
  <c r="BW101" i="32"/>
  <c r="CA101" i="32"/>
  <c r="BW103" i="32"/>
  <c r="CA103" i="32"/>
  <c r="BW105" i="32"/>
  <c r="CA105" i="32"/>
  <c r="BW107" i="32"/>
  <c r="CA107" i="32"/>
  <c r="BW109" i="32"/>
  <c r="CA109" i="32"/>
  <c r="BW111" i="32"/>
  <c r="CA111" i="32"/>
  <c r="BW113" i="32"/>
  <c r="CA113" i="32"/>
  <c r="BW115" i="32"/>
  <c r="BX115" i="32"/>
  <c r="BX117" i="32"/>
  <c r="CB118" i="32"/>
  <c r="CB116" i="32"/>
  <c r="CB114" i="32"/>
  <c r="CB112" i="32"/>
  <c r="CB110" i="32"/>
  <c r="CB108" i="32"/>
  <c r="CB106" i="32"/>
  <c r="CB104" i="32"/>
  <c r="CB102" i="32"/>
  <c r="CB97" i="32"/>
  <c r="CB95" i="32"/>
  <c r="CB90" i="32"/>
  <c r="CB88" i="32"/>
  <c r="CB86" i="32"/>
  <c r="CB83" i="32"/>
  <c r="CB81" i="32"/>
  <c r="CB79" i="32"/>
  <c r="CB77" i="32"/>
  <c r="CB75" i="32"/>
  <c r="CB73" i="32"/>
  <c r="CB71" i="32"/>
  <c r="CB69" i="32"/>
  <c r="CB67" i="32"/>
  <c r="CB65" i="32"/>
  <c r="CB63" i="32"/>
  <c r="CB61" i="32"/>
  <c r="CB59" i="32"/>
  <c r="CB57" i="32"/>
  <c r="CB55" i="32"/>
  <c r="CB53" i="32"/>
  <c r="CB51" i="32"/>
  <c r="CB46" i="32"/>
  <c r="CB44" i="32"/>
  <c r="CB42" i="32"/>
  <c r="CB38" i="32"/>
  <c r="CB34" i="32"/>
  <c r="CB31" i="32"/>
  <c r="CB28" i="32"/>
  <c r="CB25" i="32"/>
  <c r="CB23" i="32"/>
  <c r="CB17" i="32"/>
  <c r="CB15" i="32"/>
  <c r="CB13" i="32"/>
  <c r="BP5" i="32"/>
  <c r="BT12" i="32"/>
  <c r="BP37" i="32"/>
  <c r="BP43" i="32"/>
  <c r="BP48" i="32"/>
  <c r="BT48" i="32"/>
  <c r="BP54" i="32"/>
  <c r="BT54" i="32"/>
  <c r="BP58" i="32"/>
  <c r="BT58" i="32"/>
  <c r="BP62" i="32"/>
  <c r="BT62" i="32"/>
  <c r="BP66" i="32"/>
  <c r="BT66" i="32"/>
  <c r="BP70" i="32"/>
  <c r="BT70" i="32"/>
  <c r="BP74" i="32"/>
  <c r="BT74" i="32"/>
  <c r="BP78" i="32"/>
  <c r="BT78" i="32"/>
  <c r="BP82" i="32"/>
  <c r="BT82" i="32"/>
  <c r="BP87" i="32"/>
  <c r="BT87" i="32"/>
  <c r="BP91" i="32"/>
  <c r="BT91" i="32"/>
  <c r="BP101" i="32"/>
  <c r="BT101" i="32"/>
  <c r="BP105" i="32"/>
  <c r="BT105" i="32"/>
  <c r="BP109" i="32"/>
  <c r="BT109" i="32"/>
  <c r="BP113" i="32"/>
  <c r="BT113" i="32"/>
  <c r="BP117" i="32"/>
  <c r="BT117" i="32"/>
  <c r="BX5" i="32"/>
  <c r="CB5" i="32"/>
  <c r="BX10" i="32"/>
  <c r="CB10" i="32"/>
  <c r="CB12" i="32"/>
  <c r="BX118" i="32"/>
  <c r="BX116" i="32"/>
  <c r="BX114" i="32"/>
  <c r="BX112" i="32"/>
  <c r="BX110" i="32"/>
  <c r="BX108" i="32"/>
  <c r="BX106" i="32"/>
  <c r="BX104" i="32"/>
  <c r="BX102" i="32"/>
  <c r="BX97" i="32"/>
  <c r="BX95" i="32"/>
  <c r="BX90" i="32"/>
  <c r="BX88" i="32"/>
  <c r="BX86" i="32"/>
  <c r="BX83" i="32"/>
  <c r="BX81" i="32"/>
  <c r="BX79" i="32"/>
  <c r="BX77" i="32"/>
  <c r="BX75" i="32"/>
  <c r="BX73" i="32"/>
  <c r="BX71" i="32"/>
  <c r="BX69" i="32"/>
  <c r="BX67" i="32"/>
  <c r="BX65" i="32"/>
  <c r="BX63" i="32"/>
  <c r="BX61" i="32"/>
  <c r="BX59" i="32"/>
  <c r="BX57" i="32"/>
  <c r="BX55" i="32"/>
  <c r="BX53" i="32"/>
  <c r="BX51" i="32"/>
  <c r="BX46" i="32"/>
  <c r="BX44" i="32"/>
  <c r="BX42" i="32"/>
  <c r="BX38" i="32"/>
  <c r="BX34" i="32"/>
  <c r="BX31" i="32"/>
  <c r="BX28" i="32"/>
  <c r="BX25" i="32"/>
  <c r="BX23" i="32"/>
  <c r="BX17" i="32"/>
  <c r="BX15" i="32"/>
  <c r="BT5" i="32"/>
  <c r="BP12" i="32"/>
  <c r="BP16" i="32"/>
  <c r="BT16" i="32"/>
  <c r="BP24" i="32"/>
  <c r="BT24" i="32"/>
  <c r="BP30" i="32"/>
  <c r="BT30" i="32"/>
  <c r="BT37" i="32"/>
  <c r="BT43" i="32"/>
  <c r="BP2" i="32"/>
  <c r="BT2" i="32"/>
  <c r="BP9" i="32"/>
  <c r="BT9" i="32"/>
  <c r="BP13" i="32"/>
  <c r="BT13" i="32"/>
  <c r="BP17" i="32"/>
  <c r="BT17" i="32"/>
  <c r="BP25" i="32"/>
  <c r="BT25" i="32"/>
  <c r="BP31" i="32"/>
  <c r="BT31" i="32"/>
  <c r="BP38" i="32"/>
  <c r="BT38" i="32"/>
  <c r="BP44" i="32"/>
  <c r="BT44" i="32"/>
  <c r="BP51" i="32"/>
  <c r="BT51" i="32"/>
  <c r="BP55" i="32"/>
  <c r="BT55" i="32"/>
  <c r="BP59" i="32"/>
  <c r="BT59" i="32"/>
  <c r="BP63" i="32"/>
  <c r="BT63" i="32"/>
  <c r="BP67" i="32"/>
  <c r="BT67" i="32"/>
  <c r="BP71" i="32"/>
  <c r="BT71" i="32"/>
  <c r="BP75" i="32"/>
  <c r="BT75" i="32"/>
  <c r="BP79" i="32"/>
  <c r="BT79" i="32"/>
  <c r="BP83" i="32"/>
  <c r="BT83" i="32"/>
  <c r="BP88" i="32"/>
  <c r="BT88" i="32"/>
  <c r="BP95" i="32"/>
  <c r="BT95" i="32"/>
  <c r="BP102" i="32"/>
  <c r="BT102" i="32"/>
  <c r="BP106" i="32"/>
  <c r="BT106" i="32"/>
  <c r="BP110" i="32"/>
  <c r="BT110" i="32"/>
  <c r="BP114" i="32"/>
  <c r="BT114" i="32"/>
  <c r="BX16" i="32"/>
  <c r="CB16" i="32"/>
  <c r="BX24" i="32"/>
  <c r="CB24" i="32"/>
  <c r="BX30" i="32"/>
  <c r="CB30" i="32"/>
  <c r="BX37" i="32"/>
  <c r="CB37" i="32"/>
  <c r="BX43" i="32"/>
  <c r="CB43" i="32"/>
  <c r="BI2" i="32"/>
  <c r="BI23" i="32"/>
  <c r="BI65" i="32"/>
  <c r="BI81" i="32"/>
  <c r="BI83" i="32"/>
  <c r="BI104" i="32"/>
  <c r="BI80" i="32"/>
  <c r="BJ2" i="32"/>
  <c r="BI15" i="32"/>
  <c r="BI17" i="32"/>
  <c r="BJ23" i="32"/>
  <c r="BI42" i="32"/>
  <c r="BI44" i="32"/>
  <c r="BJ46" i="32"/>
  <c r="BI61" i="32"/>
  <c r="BI63" i="32"/>
  <c r="BJ65" i="32"/>
  <c r="BI77" i="32"/>
  <c r="BI79" i="32"/>
  <c r="BJ81" i="32"/>
  <c r="BI97" i="32"/>
  <c r="BI102" i="32"/>
  <c r="BJ104" i="32"/>
  <c r="BI116" i="32"/>
  <c r="BI118" i="32"/>
  <c r="BI25" i="32"/>
  <c r="BI46" i="32"/>
  <c r="BI51" i="32"/>
  <c r="BI67" i="32"/>
  <c r="BI106" i="32"/>
  <c r="BI11" i="32"/>
  <c r="BI13" i="32"/>
  <c r="BJ15" i="32"/>
  <c r="BI34" i="32"/>
  <c r="BI38" i="32"/>
  <c r="BJ42" i="32"/>
  <c r="BI57" i="32"/>
  <c r="BI59" i="32"/>
  <c r="BJ61" i="32"/>
  <c r="BI73" i="32"/>
  <c r="BI75" i="32"/>
  <c r="BJ77" i="32"/>
  <c r="BI90" i="32"/>
  <c r="BI95" i="32"/>
  <c r="BJ97" i="32"/>
  <c r="BI112" i="32"/>
  <c r="BJ116" i="32"/>
  <c r="BK2" i="32"/>
  <c r="BK4" i="32"/>
  <c r="BK5" i="32"/>
  <c r="BK11" i="32"/>
  <c r="BK12" i="32"/>
  <c r="BK15" i="32"/>
  <c r="BK16" i="32"/>
  <c r="BK23" i="32"/>
  <c r="BK24" i="32"/>
  <c r="BK28" i="32"/>
  <c r="BK30" i="32"/>
  <c r="BK34" i="32"/>
  <c r="BK37" i="32"/>
  <c r="BK42" i="32"/>
  <c r="BK43" i="32"/>
  <c r="BK46" i="32"/>
  <c r="BK48" i="32"/>
  <c r="BK53" i="32"/>
  <c r="BK54" i="32"/>
  <c r="BK57" i="32"/>
  <c r="BK58" i="32"/>
  <c r="BK61" i="32"/>
  <c r="BK62" i="32"/>
  <c r="BK65" i="32"/>
  <c r="BK66" i="32"/>
  <c r="BK69" i="32"/>
  <c r="BK70" i="32"/>
  <c r="BK73" i="32"/>
  <c r="BK74" i="32"/>
  <c r="BK77" i="32"/>
  <c r="BK78" i="32"/>
  <c r="BK81" i="32"/>
  <c r="BK82" i="32"/>
  <c r="BK86" i="32"/>
  <c r="BK87" i="32"/>
  <c r="BK90" i="32"/>
  <c r="BK91" i="32"/>
  <c r="BK97" i="32"/>
  <c r="BK101" i="32"/>
  <c r="BK104" i="32"/>
  <c r="BK105" i="32"/>
  <c r="BK108" i="32"/>
  <c r="BK109" i="32"/>
  <c r="BK112" i="32"/>
  <c r="BK113" i="32"/>
  <c r="BK116" i="32"/>
  <c r="BK117" i="32"/>
  <c r="BJ9" i="32"/>
  <c r="BJ13" i="32"/>
  <c r="BJ17" i="32"/>
  <c r="BJ25" i="32"/>
  <c r="BJ38" i="32"/>
  <c r="BJ44" i="32"/>
  <c r="BJ51" i="32"/>
  <c r="BJ55" i="32"/>
  <c r="BJ59" i="32"/>
  <c r="BJ63" i="32"/>
  <c r="BJ67" i="32"/>
  <c r="BJ71" i="32"/>
  <c r="BJ75" i="32"/>
  <c r="BJ79" i="32"/>
  <c r="BJ83" i="32"/>
  <c r="BJ88" i="32"/>
  <c r="BJ95" i="32"/>
  <c r="BJ102" i="32"/>
  <c r="BJ106" i="32"/>
  <c r="BJ110" i="32"/>
  <c r="BJ114" i="32"/>
  <c r="BK9" i="32"/>
  <c r="BK10" i="32"/>
  <c r="BK13" i="32"/>
  <c r="BK14" i="32"/>
  <c r="BK17" i="32"/>
  <c r="BK19" i="32"/>
  <c r="BK25" i="32"/>
  <c r="BK26" i="32"/>
  <c r="BK33" i="32"/>
  <c r="BK38" i="32"/>
  <c r="BK44" i="32"/>
  <c r="BK45" i="32"/>
  <c r="BK51" i="32"/>
  <c r="BK52" i="32"/>
  <c r="BK55" i="32"/>
  <c r="BK56" i="32"/>
  <c r="BK59" i="32"/>
  <c r="BK60" i="32"/>
  <c r="BK63" i="32"/>
  <c r="BK64" i="32"/>
  <c r="BK67" i="32"/>
  <c r="BK68" i="32"/>
  <c r="BK71" i="32"/>
  <c r="BK72" i="32"/>
  <c r="BK75" i="32"/>
  <c r="BK76" i="32"/>
  <c r="BK79" i="32"/>
  <c r="BK80" i="32"/>
  <c r="BK83" i="32"/>
  <c r="BK85" i="32"/>
  <c r="BK88" i="32"/>
  <c r="BK89" i="32"/>
  <c r="BK95" i="32"/>
  <c r="BK96" i="32"/>
  <c r="BK102" i="32"/>
  <c r="BK103" i="32"/>
  <c r="BK106" i="32"/>
  <c r="BK107" i="32"/>
  <c r="BK110" i="32"/>
  <c r="BK111" i="32"/>
  <c r="BK114" i="32"/>
  <c r="BK115" i="32"/>
  <c r="BK118" i="32"/>
  <c r="BI5" i="32"/>
  <c r="BI10" i="32"/>
  <c r="BI12" i="32"/>
  <c r="BI26" i="32"/>
  <c r="BI30" i="32"/>
  <c r="BI33" i="32"/>
  <c r="BI37" i="32"/>
  <c r="BI43" i="32"/>
  <c r="BI45" i="32"/>
  <c r="BI56" i="32"/>
  <c r="BI58" i="32"/>
  <c r="BI60" i="32"/>
  <c r="BI62" i="32"/>
  <c r="BI64" i="32"/>
  <c r="BI66" i="32"/>
  <c r="BI68" i="32"/>
  <c r="BI74" i="32"/>
  <c r="BI76" i="32"/>
  <c r="BI82" i="32"/>
  <c r="BI85" i="32"/>
  <c r="BI87" i="32"/>
  <c r="BI89" i="32"/>
  <c r="BI91" i="32"/>
  <c r="BI96" i="32"/>
  <c r="BI101" i="32"/>
  <c r="BI103" i="32"/>
  <c r="BI105" i="32"/>
  <c r="BI107" i="32"/>
  <c r="BI109" i="32"/>
  <c r="BI111" i="32"/>
  <c r="BI113" i="32"/>
  <c r="BI115" i="32"/>
  <c r="BI117" i="32"/>
  <c r="BI14" i="32"/>
  <c r="BI16" i="32"/>
  <c r="BI19" i="32"/>
  <c r="BI24" i="32"/>
  <c r="BI48" i="32"/>
  <c r="BI52" i="32"/>
  <c r="BI54" i="32"/>
  <c r="BI70" i="32"/>
  <c r="BI72" i="32"/>
  <c r="BI78" i="32"/>
  <c r="BJ5" i="32"/>
  <c r="BJ10" i="32"/>
  <c r="BJ12" i="32"/>
  <c r="BJ14" i="32"/>
  <c r="BJ16" i="32"/>
  <c r="BJ19" i="32"/>
  <c r="BJ24" i="32"/>
  <c r="BJ26" i="32"/>
  <c r="BJ30" i="32"/>
  <c r="BJ33" i="32"/>
  <c r="BJ37" i="32"/>
  <c r="BJ43" i="32"/>
  <c r="BJ45" i="32"/>
  <c r="BJ48" i="32"/>
  <c r="BJ52" i="32"/>
  <c r="BJ54" i="32"/>
  <c r="BJ56" i="32"/>
  <c r="BJ58" i="32"/>
  <c r="BJ60" i="32"/>
  <c r="BJ62" i="32"/>
  <c r="BJ64" i="32"/>
  <c r="BJ66" i="32"/>
  <c r="BJ68" i="32"/>
  <c r="BJ70" i="32"/>
  <c r="BJ72" i="32"/>
  <c r="BJ74" i="32"/>
  <c r="BJ76" i="32"/>
  <c r="BJ78" i="32"/>
  <c r="BJ80" i="32"/>
  <c r="BJ82" i="32"/>
  <c r="BJ85" i="32"/>
  <c r="BJ87" i="32"/>
  <c r="BJ89" i="32"/>
  <c r="BJ91" i="32"/>
  <c r="BJ96" i="32"/>
  <c r="BJ101" i="32"/>
  <c r="BJ103" i="32"/>
  <c r="BJ105" i="32"/>
  <c r="BJ107" i="32"/>
  <c r="BJ109" i="32"/>
  <c r="BJ111" i="32"/>
  <c r="BJ113" i="32"/>
  <c r="BJ115" i="32"/>
  <c r="BJ117" i="32"/>
  <c r="N236" i="36" l="1"/>
  <c r="N237" i="36" s="1"/>
  <c r="N238" i="36" s="1"/>
  <c r="N239" i="36" s="1"/>
  <c r="N240" i="36" s="1"/>
  <c r="N241" i="36" s="1"/>
  <c r="N242" i="36" s="1"/>
  <c r="N243" i="36" s="1"/>
  <c r="N244" i="36" s="1"/>
  <c r="N245" i="36" s="1"/>
  <c r="N246" i="36" s="1"/>
  <c r="N247" i="36" s="1"/>
  <c r="N248" i="36" s="1"/>
  <c r="N249" i="36" s="1"/>
  <c r="N250" i="36" s="1"/>
  <c r="N251" i="36" s="1"/>
  <c r="N252" i="36" s="1"/>
  <c r="N253" i="36" s="1"/>
  <c r="N254" i="36" s="1"/>
  <c r="N255" i="36" s="1"/>
  <c r="N256" i="36" s="1"/>
  <c r="N257" i="36" s="1"/>
  <c r="N258" i="36" s="1"/>
  <c r="N259" i="36" s="1"/>
  <c r="N260" i="36" s="1"/>
  <c r="N261" i="36" s="1"/>
  <c r="N262" i="36" s="1"/>
  <c r="N263" i="36" s="1"/>
  <c r="N264" i="36" s="1"/>
  <c r="N265" i="36" s="1"/>
  <c r="N266" i="36" s="1"/>
  <c r="N267" i="36" s="1"/>
  <c r="N268" i="36" s="1"/>
  <c r="N269" i="36" s="1"/>
  <c r="N270" i="36" s="1"/>
  <c r="N271" i="36" s="1"/>
  <c r="N272" i="36" s="1"/>
  <c r="N273" i="36" s="1"/>
  <c r="N274" i="36" s="1"/>
  <c r="N275" i="36" s="1"/>
  <c r="N276" i="36" s="1"/>
  <c r="N280" i="36" s="1"/>
  <c r="N281" i="36" s="1"/>
  <c r="N282" i="36" s="1"/>
  <c r="N286" i="36" s="1"/>
  <c r="N287" i="36" s="1"/>
  <c r="N288" i="36" s="1"/>
  <c r="N289" i="36" s="1"/>
  <c r="N290" i="36" s="1"/>
  <c r="N291" i="36" s="1"/>
  <c r="N292" i="36" s="1"/>
  <c r="N293" i="36" s="1"/>
  <c r="N294" i="36" s="1"/>
  <c r="N295" i="36" s="1"/>
  <c r="N296" i="36" s="1"/>
  <c r="N297" i="36" s="1"/>
  <c r="N298" i="36" s="1"/>
  <c r="N299" i="36" s="1"/>
  <c r="N300" i="36" s="1"/>
  <c r="N301" i="36" s="1"/>
  <c r="N302" i="36" s="1"/>
  <c r="N303" i="36" s="1"/>
  <c r="N162" i="36"/>
  <c r="N163" i="36" s="1"/>
  <c r="N164" i="36" s="1"/>
  <c r="N165" i="36" s="1"/>
  <c r="N166" i="36" s="1"/>
  <c r="N167" i="36" s="1"/>
  <c r="N168" i="36" s="1"/>
  <c r="N169" i="36" s="1"/>
  <c r="N170" i="36" s="1"/>
  <c r="N171" i="36" s="1"/>
  <c r="N172" i="36" s="1"/>
  <c r="N173" i="36" s="1"/>
  <c r="N174" i="36" s="1"/>
  <c r="N175" i="36" s="1"/>
  <c r="N176" i="36" s="1"/>
  <c r="N177" i="36" s="1"/>
  <c r="N178" i="36" s="1"/>
  <c r="N179" i="36" s="1"/>
  <c r="N180" i="36" s="1"/>
  <c r="N181" i="36" s="1"/>
  <c r="N182" i="36" s="1"/>
  <c r="N183" i="36" s="1"/>
  <c r="N184" i="36" s="1"/>
  <c r="N185" i="36" s="1"/>
  <c r="N186" i="36" s="1"/>
  <c r="N187" i="36" s="1"/>
  <c r="N188" i="36" s="1"/>
  <c r="N189" i="36" s="1"/>
  <c r="N190" i="36" s="1"/>
  <c r="N191" i="36" s="1"/>
  <c r="N192" i="36" s="1"/>
  <c r="N193" i="36" s="1"/>
  <c r="N194" i="36" s="1"/>
  <c r="N195" i="36" s="1"/>
  <c r="N196" i="36" s="1"/>
  <c r="N197" i="36" s="1"/>
  <c r="N198" i="36" s="1"/>
  <c r="N199" i="36" s="1"/>
  <c r="N200" i="36" s="1"/>
  <c r="N201" i="36" s="1"/>
  <c r="N202" i="36" s="1"/>
  <c r="N206" i="36" s="1"/>
  <c r="N207" i="36" s="1"/>
  <c r="N208" i="36" s="1"/>
  <c r="N212" i="36" s="1"/>
  <c r="N213" i="36" s="1"/>
  <c r="N214" i="36" s="1"/>
  <c r="N215" i="36" s="1"/>
  <c r="N216" i="36" s="1"/>
  <c r="N217" i="36" s="1"/>
  <c r="N218" i="36" s="1"/>
  <c r="N219" i="36" s="1"/>
  <c r="N220" i="36" s="1"/>
  <c r="N221" i="36" s="1"/>
  <c r="N222" i="36" s="1"/>
  <c r="N223" i="36" s="1"/>
  <c r="N224" i="36" s="1"/>
  <c r="N225" i="36" s="1"/>
  <c r="N226" i="36" s="1"/>
  <c r="N227" i="36" s="1"/>
  <c r="N228" i="36" s="1"/>
  <c r="N229" i="36" s="1"/>
  <c r="N88" i="36"/>
  <c r="N89" i="36" s="1"/>
  <c r="N90" i="36" s="1"/>
  <c r="N91" i="36" s="1"/>
  <c r="N92" i="36" s="1"/>
  <c r="N93" i="36" s="1"/>
  <c r="N94" i="36" s="1"/>
  <c r="N95" i="36" s="1"/>
  <c r="N96" i="36" s="1"/>
  <c r="N97" i="36" s="1"/>
  <c r="N98" i="36" s="1"/>
  <c r="N99" i="36" s="1"/>
  <c r="N100" i="36" s="1"/>
  <c r="N101" i="36" s="1"/>
  <c r="N102" i="36" s="1"/>
  <c r="N103" i="36" s="1"/>
  <c r="N104" i="36" s="1"/>
  <c r="N105" i="36" s="1"/>
  <c r="N106" i="36" s="1"/>
  <c r="N107" i="36" s="1"/>
  <c r="N108" i="36" s="1"/>
  <c r="N109" i="36" s="1"/>
  <c r="N110" i="36" s="1"/>
  <c r="N111" i="36" s="1"/>
  <c r="N112" i="36" s="1"/>
  <c r="N113" i="36" s="1"/>
  <c r="N114" i="36" s="1"/>
  <c r="N115" i="36" s="1"/>
  <c r="N116" i="36" s="1"/>
  <c r="N117" i="36" s="1"/>
  <c r="N118" i="36" s="1"/>
  <c r="N119" i="36" s="1"/>
  <c r="N120" i="36" s="1"/>
  <c r="N121" i="36" s="1"/>
  <c r="N122" i="36" s="1"/>
  <c r="N123" i="36" s="1"/>
  <c r="N124" i="36" s="1"/>
  <c r="N125" i="36" s="1"/>
  <c r="N126" i="36" s="1"/>
  <c r="N127" i="36" s="1"/>
  <c r="N128" i="36" s="1"/>
  <c r="N132" i="36" s="1"/>
  <c r="N133" i="36" s="1"/>
  <c r="N134" i="36" s="1"/>
  <c r="N138" i="36" s="1"/>
  <c r="N139" i="36" s="1"/>
  <c r="N140" i="36" s="1"/>
  <c r="N141" i="36" s="1"/>
  <c r="N142" i="36" s="1"/>
  <c r="N143" i="36" s="1"/>
  <c r="N144" i="36" s="1"/>
  <c r="N145" i="36" s="1"/>
  <c r="N146" i="36" s="1"/>
  <c r="N147" i="36" s="1"/>
  <c r="N148" i="36" s="1"/>
  <c r="N149" i="36" s="1"/>
  <c r="N150" i="36" s="1"/>
  <c r="N151" i="36" s="1"/>
  <c r="N152" i="36" s="1"/>
  <c r="N153" i="36" s="1"/>
  <c r="N154" i="36" s="1"/>
  <c r="N155" i="36" s="1"/>
  <c r="AA236" i="36" l="1"/>
  <c r="AA162" i="36"/>
  <c r="AA237" i="36" l="1"/>
  <c r="AA238" i="36" s="1"/>
  <c r="AA239" i="36" s="1"/>
  <c r="AA240" i="36" s="1"/>
  <c r="AA241" i="36" s="1"/>
  <c r="AA242" i="36" s="1"/>
  <c r="AA243" i="36" s="1"/>
  <c r="AA244" i="36" s="1"/>
  <c r="AA245" i="36" s="1"/>
  <c r="AA246" i="36" s="1"/>
  <c r="AA247" i="36" s="1"/>
  <c r="AA248" i="36" s="1"/>
  <c r="AA249" i="36" s="1"/>
  <c r="AA250" i="36"/>
  <c r="AA251" i="36" s="1"/>
  <c r="AA252" i="36" s="1"/>
  <c r="AA253" i="36" s="1"/>
  <c r="AA254" i="36" s="1"/>
  <c r="AA255" i="36" s="1"/>
  <c r="AA256" i="36" s="1"/>
  <c r="AA257" i="36" s="1"/>
  <c r="AA258" i="36" s="1"/>
  <c r="AA259" i="36" s="1"/>
  <c r="AA260" i="36" s="1"/>
  <c r="AA261" i="36" s="1"/>
  <c r="AA262" i="36" s="1"/>
  <c r="AA263" i="36" s="1"/>
  <c r="AA264" i="36" s="1"/>
  <c r="AA265" i="36" s="1"/>
  <c r="AA266" i="36" s="1"/>
  <c r="AA267" i="36" s="1"/>
  <c r="AA268" i="36" s="1"/>
  <c r="AA269" i="36" s="1"/>
  <c r="AA270" i="36" s="1"/>
  <c r="AA271" i="36" s="1"/>
  <c r="AA272" i="36" s="1"/>
  <c r="AA273" i="36" s="1"/>
  <c r="AA274" i="36" s="1"/>
  <c r="AA275" i="36" s="1"/>
  <c r="AA276" i="36" s="1"/>
  <c r="AA280" i="36" s="1"/>
  <c r="AA281" i="36" s="1"/>
  <c r="AA282" i="36" s="1"/>
  <c r="AA286" i="36" s="1"/>
  <c r="AA287" i="36" s="1"/>
  <c r="AA288" i="36" s="1"/>
  <c r="AA289" i="36" s="1"/>
  <c r="AA290" i="36" s="1"/>
  <c r="AA291" i="36" s="1"/>
  <c r="AA292" i="36" s="1"/>
  <c r="AA293" i="36" s="1"/>
  <c r="AA294" i="36" s="1"/>
  <c r="AA295" i="36" s="1"/>
  <c r="AA296" i="36" s="1"/>
  <c r="AA297" i="36" s="1"/>
  <c r="AA298" i="36" s="1"/>
  <c r="AA299" i="36" s="1"/>
  <c r="AA300" i="36" s="1"/>
  <c r="AA301" i="36" s="1"/>
  <c r="AA302" i="36" s="1"/>
  <c r="AA303" i="36" s="1"/>
  <c r="AA163" i="36"/>
  <c r="AA164" i="36" s="1"/>
  <c r="AA165" i="36" s="1"/>
  <c r="AA166" i="36" s="1"/>
  <c r="AA167" i="36" s="1"/>
  <c r="AA168" i="36" s="1"/>
  <c r="AA169" i="36" s="1"/>
  <c r="AA170" i="36" s="1"/>
  <c r="AA171" i="36" s="1"/>
  <c r="AA172" i="36" s="1"/>
  <c r="AA173" i="36" s="1"/>
  <c r="AA174" i="36" s="1"/>
  <c r="AA175" i="36" s="1"/>
  <c r="AA176" i="36"/>
  <c r="AA177" i="36" s="1"/>
  <c r="AA178" i="36" s="1"/>
  <c r="AA179" i="36" s="1"/>
  <c r="AA180" i="36" s="1"/>
  <c r="AA181" i="36" s="1"/>
  <c r="AA182" i="36" s="1"/>
  <c r="AA183" i="36" s="1"/>
  <c r="AA184" i="36" s="1"/>
  <c r="AA185" i="36" s="1"/>
  <c r="AA186" i="36" s="1"/>
  <c r="AA187" i="36" s="1"/>
  <c r="AA188" i="36" s="1"/>
  <c r="AA189" i="36" s="1"/>
  <c r="AA190" i="36" s="1"/>
  <c r="AA191" i="36" s="1"/>
  <c r="AA192" i="36" s="1"/>
  <c r="AA193" i="36" s="1"/>
  <c r="AA194" i="36" s="1"/>
  <c r="AA195" i="36" s="1"/>
  <c r="AA196" i="36" s="1"/>
  <c r="AA197" i="36" s="1"/>
  <c r="AA198" i="36" s="1"/>
  <c r="AA199" i="36" s="1"/>
  <c r="AA200" i="36" s="1"/>
  <c r="AA201" i="36" s="1"/>
  <c r="AA202" i="36" s="1"/>
  <c r="AA206" i="36" s="1"/>
  <c r="AA207" i="36" s="1"/>
  <c r="AA208" i="36" s="1"/>
  <c r="AA212" i="36" s="1"/>
  <c r="AA213" i="36" s="1"/>
  <c r="AA214" i="36" s="1"/>
  <c r="AA215" i="36" s="1"/>
  <c r="AA216" i="36" s="1"/>
  <c r="AA217" i="36" s="1"/>
  <c r="AA218" i="36" s="1"/>
  <c r="AA219" i="36" s="1"/>
  <c r="AA220" i="36" s="1"/>
  <c r="AA221" i="36" s="1"/>
  <c r="AA222" i="36" s="1"/>
  <c r="AA223" i="36" s="1"/>
  <c r="AA224" i="36" s="1"/>
  <c r="AA225" i="36" s="1"/>
  <c r="AA226" i="36" s="1"/>
  <c r="AA227" i="36" s="1"/>
  <c r="AA228" i="36" s="1"/>
  <c r="AA229" i="36" s="1"/>
  <c r="AA88" i="36"/>
  <c r="N14" i="36"/>
  <c r="AA89" i="36" l="1"/>
  <c r="AA90" i="36" s="1"/>
  <c r="AA91" i="36" s="1"/>
  <c r="AA92" i="36" s="1"/>
  <c r="AA93" i="36" s="1"/>
  <c r="AA94" i="36" s="1"/>
  <c r="AA95" i="36" s="1"/>
  <c r="AA96" i="36" s="1"/>
  <c r="AA97" i="36" s="1"/>
  <c r="AA98" i="36" s="1"/>
  <c r="AA99" i="36" s="1"/>
  <c r="AA100" i="36" s="1"/>
  <c r="AA101" i="36" s="1"/>
  <c r="AA102" i="36"/>
  <c r="AA103" i="36" s="1"/>
  <c r="AA104" i="36" s="1"/>
  <c r="AA105" i="36" s="1"/>
  <c r="AA106" i="36" s="1"/>
  <c r="AA107" i="36" s="1"/>
  <c r="AA108" i="36" s="1"/>
  <c r="AA109" i="36" s="1"/>
  <c r="AA110" i="36" s="1"/>
  <c r="AA111" i="36" s="1"/>
  <c r="AA112" i="36" s="1"/>
  <c r="AA113" i="36" s="1"/>
  <c r="AA114" i="36" s="1"/>
  <c r="AA115" i="36" s="1"/>
  <c r="AA116" i="36" s="1"/>
  <c r="AA117" i="36" s="1"/>
  <c r="AA118" i="36" s="1"/>
  <c r="AA119" i="36" s="1"/>
  <c r="AA120" i="36" s="1"/>
  <c r="AA121" i="36" s="1"/>
  <c r="AA122" i="36" s="1"/>
  <c r="AA123" i="36" s="1"/>
  <c r="AA124" i="36" s="1"/>
  <c r="AA125" i="36" s="1"/>
  <c r="AA126" i="36" s="1"/>
  <c r="AA127" i="36" s="1"/>
  <c r="AA128" i="36" s="1"/>
  <c r="AA132" i="36" s="1"/>
  <c r="AA133" i="36" s="1"/>
  <c r="AA134" i="36" s="1"/>
  <c r="AA138" i="36" s="1"/>
  <c r="AA139" i="36" s="1"/>
  <c r="AA140" i="36" s="1"/>
  <c r="AA141" i="36" s="1"/>
  <c r="AA142" i="36" s="1"/>
  <c r="AA143" i="36" s="1"/>
  <c r="AA144" i="36" s="1"/>
  <c r="AA145" i="36" s="1"/>
  <c r="AA146" i="36" s="1"/>
  <c r="AA147" i="36" s="1"/>
  <c r="AA148" i="36" s="1"/>
  <c r="AA149" i="36" s="1"/>
  <c r="AA150" i="36" s="1"/>
  <c r="AA151" i="36" s="1"/>
  <c r="AA152" i="36" s="1"/>
  <c r="AA153" i="36" s="1"/>
  <c r="AA154" i="36" s="1"/>
  <c r="AA155" i="36" s="1"/>
  <c r="N15" i="36"/>
  <c r="N16" i="36" l="1"/>
  <c r="N17" i="36" l="1"/>
  <c r="N18" i="36" l="1"/>
  <c r="E5" i="35"/>
  <c r="A34" i="35"/>
  <c r="A29" i="35"/>
  <c r="A10" i="35"/>
  <c r="B8" i="35"/>
  <c r="E8" i="35" s="1"/>
  <c r="F8" i="35" s="1"/>
  <c r="C5" i="35"/>
  <c r="F5" i="35" s="1"/>
  <c r="N19" i="36" l="1"/>
  <c r="C8" i="35"/>
  <c r="O185" i="34"/>
  <c r="O184" i="34"/>
  <c r="O183" i="34"/>
  <c r="O182" i="34"/>
  <c r="O181" i="34"/>
  <c r="O180" i="34"/>
  <c r="O179" i="34"/>
  <c r="O123" i="34"/>
  <c r="O122" i="34"/>
  <c r="O121" i="34"/>
  <c r="O120" i="34"/>
  <c r="O119" i="34"/>
  <c r="O118" i="34"/>
  <c r="O117" i="34"/>
  <c r="O174" i="34"/>
  <c r="O173" i="34"/>
  <c r="O172" i="34"/>
  <c r="O171" i="34"/>
  <c r="O170" i="34"/>
  <c r="O169" i="34"/>
  <c r="O168" i="34"/>
  <c r="O112" i="34"/>
  <c r="O111" i="34"/>
  <c r="O110" i="34"/>
  <c r="O109" i="34"/>
  <c r="O108" i="34"/>
  <c r="O107" i="34"/>
  <c r="O106" i="34"/>
  <c r="O163" i="34"/>
  <c r="O162" i="34"/>
  <c r="O101" i="34"/>
  <c r="O100" i="34"/>
  <c r="N20" i="36" l="1"/>
  <c r="B8" i="30"/>
  <c r="N6" i="37" s="1"/>
  <c r="N21" i="36" l="1"/>
  <c r="F21" i="18"/>
  <c r="E21" i="18"/>
  <c r="D21" i="18"/>
  <c r="C21" i="18"/>
  <c r="B21" i="18"/>
  <c r="F20" i="18"/>
  <c r="E20" i="18"/>
  <c r="D20" i="18"/>
  <c r="C20" i="18"/>
  <c r="B20" i="18"/>
  <c r="F17" i="18"/>
  <c r="E17" i="18"/>
  <c r="D17" i="18"/>
  <c r="C17" i="18"/>
  <c r="B17" i="18"/>
  <c r="F16" i="18"/>
  <c r="E16" i="18"/>
  <c r="D16" i="18"/>
  <c r="C16" i="18"/>
  <c r="B16" i="18"/>
  <c r="G37" i="16"/>
  <c r="F37" i="16"/>
  <c r="E37" i="16"/>
  <c r="D37" i="16"/>
  <c r="C37" i="16"/>
  <c r="B37" i="16"/>
  <c r="A37" i="16"/>
  <c r="G30" i="16"/>
  <c r="F30" i="16"/>
  <c r="E30" i="16"/>
  <c r="D30" i="16"/>
  <c r="C30" i="16"/>
  <c r="B30" i="16"/>
  <c r="A30" i="16"/>
  <c r="G25" i="16"/>
  <c r="F25" i="16"/>
  <c r="E25" i="16"/>
  <c r="D25" i="16"/>
  <c r="C25" i="16"/>
  <c r="B25" i="16"/>
  <c r="A25" i="16"/>
  <c r="G17" i="16"/>
  <c r="F17" i="16"/>
  <c r="E17" i="16"/>
  <c r="D17" i="16"/>
  <c r="C17" i="16"/>
  <c r="B17" i="16"/>
  <c r="A17" i="16"/>
  <c r="A16" i="16"/>
  <c r="N22" i="36" l="1"/>
  <c r="N23" i="36" l="1"/>
  <c r="N24" i="36" l="1"/>
  <c r="N25" i="36" l="1"/>
  <c r="I192" i="34"/>
  <c r="I254" i="34"/>
  <c r="I255" i="34" s="1"/>
  <c r="I256" i="34" s="1"/>
  <c r="I257" i="34" s="1"/>
  <c r="I258" i="34" s="1"/>
  <c r="I259" i="34" s="1"/>
  <c r="I260" i="34" s="1"/>
  <c r="I261" i="34" s="1"/>
  <c r="I262" i="34" s="1"/>
  <c r="I263" i="34" s="1"/>
  <c r="I264" i="34" s="1"/>
  <c r="I265" i="34" s="1"/>
  <c r="I266" i="34" s="1"/>
  <c r="I267" i="34" s="1"/>
  <c r="I272" i="34" s="1"/>
  <c r="I273" i="34" s="1"/>
  <c r="I274" i="34" s="1"/>
  <c r="I275" i="34" s="1"/>
  <c r="I276" i="34" s="1"/>
  <c r="I277" i="34" s="1"/>
  <c r="I278" i="34" s="1"/>
  <c r="I279" i="34" s="1"/>
  <c r="I280" i="34" s="1"/>
  <c r="I281" i="34" s="1"/>
  <c r="I286" i="34" s="1"/>
  <c r="I287" i="34" s="1"/>
  <c r="I292" i="34" s="1"/>
  <c r="I293" i="34" s="1"/>
  <c r="I294" i="34" s="1"/>
  <c r="I295" i="34" s="1"/>
  <c r="I296" i="34" s="1"/>
  <c r="I297" i="34" s="1"/>
  <c r="I298" i="34" s="1"/>
  <c r="I303" i="34" s="1"/>
  <c r="I304" i="34" s="1"/>
  <c r="I305" i="34" s="1"/>
  <c r="I306" i="34" s="1"/>
  <c r="I307" i="34" s="1"/>
  <c r="I308" i="34" s="1"/>
  <c r="I309" i="34" s="1"/>
  <c r="I316" i="34"/>
  <c r="I317" i="34" s="1"/>
  <c r="I318" i="34" s="1"/>
  <c r="I319" i="34" s="1"/>
  <c r="I320" i="34" s="1"/>
  <c r="I321" i="34" s="1"/>
  <c r="I322" i="34" s="1"/>
  <c r="I323" i="34" s="1"/>
  <c r="I324" i="34" s="1"/>
  <c r="I325" i="34" s="1"/>
  <c r="I326" i="34" s="1"/>
  <c r="I327" i="34" s="1"/>
  <c r="I328" i="34" s="1"/>
  <c r="I329" i="34" s="1"/>
  <c r="I334" i="34" s="1"/>
  <c r="I335" i="34" s="1"/>
  <c r="I336" i="34" s="1"/>
  <c r="I337" i="34" s="1"/>
  <c r="I338" i="34" s="1"/>
  <c r="I339" i="34" s="1"/>
  <c r="I340" i="34" s="1"/>
  <c r="I341" i="34" s="1"/>
  <c r="I342" i="34" s="1"/>
  <c r="I343" i="34" s="1"/>
  <c r="I348" i="34" s="1"/>
  <c r="I349" i="34" s="1"/>
  <c r="I354" i="34" s="1"/>
  <c r="I355" i="34" s="1"/>
  <c r="I356" i="34" s="1"/>
  <c r="I357" i="34" s="1"/>
  <c r="I358" i="34" s="1"/>
  <c r="I359" i="34" s="1"/>
  <c r="I360" i="34" s="1"/>
  <c r="I365" i="34" s="1"/>
  <c r="I366" i="34" s="1"/>
  <c r="I367" i="34" s="1"/>
  <c r="I368" i="34" s="1"/>
  <c r="I369" i="34" s="1"/>
  <c r="I370" i="34" s="1"/>
  <c r="I371" i="34" s="1"/>
  <c r="I378" i="34"/>
  <c r="I379" i="34" s="1"/>
  <c r="I380" i="34" s="1"/>
  <c r="I381" i="34" s="1"/>
  <c r="I382" i="34" s="1"/>
  <c r="I383" i="34" s="1"/>
  <c r="I384" i="34" s="1"/>
  <c r="I385" i="34" s="1"/>
  <c r="I386" i="34" s="1"/>
  <c r="I387" i="34" s="1"/>
  <c r="I388" i="34" s="1"/>
  <c r="I389" i="34" s="1"/>
  <c r="I390" i="34" s="1"/>
  <c r="I391" i="34" s="1"/>
  <c r="I396" i="34" s="1"/>
  <c r="I397" i="34" s="1"/>
  <c r="I398" i="34" s="1"/>
  <c r="I399" i="34" s="1"/>
  <c r="I400" i="34" s="1"/>
  <c r="I401" i="34" s="1"/>
  <c r="I402" i="34" s="1"/>
  <c r="I403" i="34" s="1"/>
  <c r="I404" i="34" s="1"/>
  <c r="I405" i="34" s="1"/>
  <c r="I410" i="34" s="1"/>
  <c r="I411" i="34" s="1"/>
  <c r="I416" i="34" s="1"/>
  <c r="I417" i="34" s="1"/>
  <c r="I418" i="34" s="1"/>
  <c r="I419" i="34" s="1"/>
  <c r="I420" i="34" s="1"/>
  <c r="I421" i="34" s="1"/>
  <c r="I422" i="34" s="1"/>
  <c r="I427" i="34" s="1"/>
  <c r="I428" i="34" s="1"/>
  <c r="I429" i="34" s="1"/>
  <c r="I430" i="34" s="1"/>
  <c r="I431" i="34" s="1"/>
  <c r="I432" i="34" s="1"/>
  <c r="I433" i="34" s="1"/>
  <c r="I440" i="34"/>
  <c r="I441" i="34" s="1"/>
  <c r="I442" i="34" s="1"/>
  <c r="I443" i="34" s="1"/>
  <c r="I444" i="34" s="1"/>
  <c r="I445" i="34" s="1"/>
  <c r="I446" i="34" s="1"/>
  <c r="I447" i="34" s="1"/>
  <c r="I448" i="34" s="1"/>
  <c r="I449" i="34" s="1"/>
  <c r="I450" i="34" s="1"/>
  <c r="I451" i="34" s="1"/>
  <c r="I452" i="34" s="1"/>
  <c r="I453" i="34" s="1"/>
  <c r="I458" i="34" s="1"/>
  <c r="I459" i="34" s="1"/>
  <c r="I460" i="34" s="1"/>
  <c r="I461" i="34" s="1"/>
  <c r="I462" i="34" s="1"/>
  <c r="I463" i="34" s="1"/>
  <c r="I464" i="34" s="1"/>
  <c r="I465" i="34" s="1"/>
  <c r="I466" i="34" s="1"/>
  <c r="I467" i="34" s="1"/>
  <c r="I472" i="34" s="1"/>
  <c r="I473" i="34" s="1"/>
  <c r="I478" i="34" s="1"/>
  <c r="I479" i="34" s="1"/>
  <c r="I480" i="34" s="1"/>
  <c r="I481" i="34" s="1"/>
  <c r="I482" i="34" s="1"/>
  <c r="I483" i="34" s="1"/>
  <c r="I484" i="34" s="1"/>
  <c r="I489" i="34" s="1"/>
  <c r="I490" i="34" s="1"/>
  <c r="I491" i="34" s="1"/>
  <c r="I492" i="34" s="1"/>
  <c r="I493" i="34" s="1"/>
  <c r="I494" i="34" s="1"/>
  <c r="I495" i="34" s="1"/>
  <c r="I502" i="34"/>
  <c r="I503" i="34" s="1"/>
  <c r="I504" i="34" s="1"/>
  <c r="I505" i="34" s="1"/>
  <c r="I506" i="34" s="1"/>
  <c r="I507" i="34" s="1"/>
  <c r="I508" i="34" s="1"/>
  <c r="I509" i="34" s="1"/>
  <c r="I510" i="34" s="1"/>
  <c r="I511" i="34" s="1"/>
  <c r="I512" i="34" s="1"/>
  <c r="I513" i="34" s="1"/>
  <c r="I514" i="34" s="1"/>
  <c r="I515" i="34" s="1"/>
  <c r="I520" i="34" s="1"/>
  <c r="I521" i="34" s="1"/>
  <c r="I522" i="34" s="1"/>
  <c r="I523" i="34" s="1"/>
  <c r="I524" i="34" s="1"/>
  <c r="I525" i="34" s="1"/>
  <c r="I526" i="34" s="1"/>
  <c r="I527" i="34" s="1"/>
  <c r="I528" i="34" s="1"/>
  <c r="I529" i="34" s="1"/>
  <c r="I534" i="34" s="1"/>
  <c r="I535" i="34" s="1"/>
  <c r="I540" i="34" s="1"/>
  <c r="I541" i="34" s="1"/>
  <c r="I542" i="34" s="1"/>
  <c r="I543" i="34" s="1"/>
  <c r="I544" i="34" s="1"/>
  <c r="I545" i="34" s="1"/>
  <c r="I546" i="34" s="1"/>
  <c r="I551" i="34" s="1"/>
  <c r="I552" i="34" s="1"/>
  <c r="I553" i="34" s="1"/>
  <c r="I554" i="34" s="1"/>
  <c r="I555" i="34" s="1"/>
  <c r="I556" i="34" s="1"/>
  <c r="I557" i="34" s="1"/>
  <c r="I564" i="34"/>
  <c r="I565" i="34" s="1"/>
  <c r="I566" i="34" s="1"/>
  <c r="I567" i="34" s="1"/>
  <c r="I568" i="34" s="1"/>
  <c r="I569" i="34" s="1"/>
  <c r="I570" i="34" s="1"/>
  <c r="I571" i="34" s="1"/>
  <c r="I572" i="34" s="1"/>
  <c r="I573" i="34" s="1"/>
  <c r="I574" i="34" s="1"/>
  <c r="I575" i="34" s="1"/>
  <c r="I576" i="34" s="1"/>
  <c r="I577" i="34" s="1"/>
  <c r="I582" i="34" s="1"/>
  <c r="I583" i="34" s="1"/>
  <c r="I584" i="34" s="1"/>
  <c r="I585" i="34" s="1"/>
  <c r="I586" i="34" s="1"/>
  <c r="I587" i="34" s="1"/>
  <c r="I588" i="34" s="1"/>
  <c r="I589" i="34" s="1"/>
  <c r="I590" i="34" s="1"/>
  <c r="I591" i="34" s="1"/>
  <c r="I596" i="34" s="1"/>
  <c r="I597" i="34" s="1"/>
  <c r="I602" i="34" s="1"/>
  <c r="I603" i="34" s="1"/>
  <c r="I604" i="34" s="1"/>
  <c r="I605" i="34" s="1"/>
  <c r="I606" i="34" s="1"/>
  <c r="I607" i="34" s="1"/>
  <c r="I608" i="34" s="1"/>
  <c r="I613" i="34" s="1"/>
  <c r="I614" i="34" s="1"/>
  <c r="I615" i="34" s="1"/>
  <c r="I616" i="34" s="1"/>
  <c r="I617" i="34" s="1"/>
  <c r="I618" i="34" s="1"/>
  <c r="I619" i="34" s="1"/>
  <c r="I626" i="34"/>
  <c r="I627" i="34" s="1"/>
  <c r="I628" i="34" s="1"/>
  <c r="I629" i="34" s="1"/>
  <c r="I630" i="34" s="1"/>
  <c r="I631" i="34" s="1"/>
  <c r="I632" i="34" s="1"/>
  <c r="I633" i="34" s="1"/>
  <c r="I634" i="34" s="1"/>
  <c r="I635" i="34" s="1"/>
  <c r="I636" i="34" s="1"/>
  <c r="I637" i="34" s="1"/>
  <c r="I638" i="34" s="1"/>
  <c r="I639" i="34" s="1"/>
  <c r="I644" i="34" s="1"/>
  <c r="I645" i="34" s="1"/>
  <c r="I646" i="34" s="1"/>
  <c r="I647" i="34" s="1"/>
  <c r="I648" i="34" s="1"/>
  <c r="I649" i="34" s="1"/>
  <c r="I650" i="34" s="1"/>
  <c r="I651" i="34" s="1"/>
  <c r="I652" i="34" s="1"/>
  <c r="I653" i="34" s="1"/>
  <c r="I658" i="34" s="1"/>
  <c r="I659" i="34" s="1"/>
  <c r="I664" i="34" s="1"/>
  <c r="I665" i="34" s="1"/>
  <c r="I666" i="34" s="1"/>
  <c r="I667" i="34" s="1"/>
  <c r="I668" i="34" s="1"/>
  <c r="I669" i="34" s="1"/>
  <c r="I670" i="34" s="1"/>
  <c r="I675" i="34" s="1"/>
  <c r="I676" i="34" s="1"/>
  <c r="I677" i="34" s="1"/>
  <c r="I678" i="34" s="1"/>
  <c r="I679" i="34" s="1"/>
  <c r="I680" i="34" s="1"/>
  <c r="I681" i="34" s="1"/>
  <c r="I688" i="34"/>
  <c r="I689" i="34" s="1"/>
  <c r="I690" i="34" s="1"/>
  <c r="I691" i="34" s="1"/>
  <c r="I692" i="34" s="1"/>
  <c r="I693" i="34" s="1"/>
  <c r="I694" i="34" s="1"/>
  <c r="I695" i="34" s="1"/>
  <c r="I696" i="34" s="1"/>
  <c r="I697" i="34" s="1"/>
  <c r="I698" i="34" s="1"/>
  <c r="I699" i="34" s="1"/>
  <c r="I700" i="34" s="1"/>
  <c r="I701" i="34" s="1"/>
  <c r="I706" i="34" s="1"/>
  <c r="I707" i="34" s="1"/>
  <c r="I708" i="34" s="1"/>
  <c r="I709" i="34" s="1"/>
  <c r="I710" i="34" s="1"/>
  <c r="I711" i="34" s="1"/>
  <c r="I712" i="34" s="1"/>
  <c r="I713" i="34" s="1"/>
  <c r="I714" i="34" s="1"/>
  <c r="I715" i="34" s="1"/>
  <c r="I720" i="34" s="1"/>
  <c r="I721" i="34" s="1"/>
  <c r="I726" i="34" s="1"/>
  <c r="I727" i="34" s="1"/>
  <c r="I728" i="34" s="1"/>
  <c r="I729" i="34" s="1"/>
  <c r="I730" i="34" s="1"/>
  <c r="I731" i="34" s="1"/>
  <c r="I732" i="34" s="1"/>
  <c r="I737" i="34" s="1"/>
  <c r="I738" i="34" s="1"/>
  <c r="I739" i="34" s="1"/>
  <c r="I740" i="34" s="1"/>
  <c r="I741" i="34" s="1"/>
  <c r="I742" i="34" s="1"/>
  <c r="I743" i="34" s="1"/>
  <c r="I750" i="34"/>
  <c r="I751" i="34" s="1"/>
  <c r="I752" i="34" s="1"/>
  <c r="I753" i="34" s="1"/>
  <c r="I754" i="34" s="1"/>
  <c r="I755" i="34" s="1"/>
  <c r="I756" i="34" s="1"/>
  <c r="I757" i="34" s="1"/>
  <c r="I758" i="34" s="1"/>
  <c r="I759" i="34" s="1"/>
  <c r="I760" i="34" s="1"/>
  <c r="I761" i="34" s="1"/>
  <c r="I762" i="34" s="1"/>
  <c r="I763" i="34" s="1"/>
  <c r="I768" i="34" s="1"/>
  <c r="I769" i="34" s="1"/>
  <c r="I770" i="34" s="1"/>
  <c r="I771" i="34" s="1"/>
  <c r="I772" i="34" s="1"/>
  <c r="I773" i="34" s="1"/>
  <c r="I774" i="34" s="1"/>
  <c r="I775" i="34" s="1"/>
  <c r="I776" i="34" s="1"/>
  <c r="I777" i="34" s="1"/>
  <c r="I782" i="34" s="1"/>
  <c r="I783" i="34" s="1"/>
  <c r="I788" i="34" s="1"/>
  <c r="I789" i="34" s="1"/>
  <c r="I790" i="34" s="1"/>
  <c r="I791" i="34" s="1"/>
  <c r="I792" i="34" s="1"/>
  <c r="I793" i="34" s="1"/>
  <c r="I794" i="34" s="1"/>
  <c r="I799" i="34" s="1"/>
  <c r="I800" i="34" s="1"/>
  <c r="I801" i="34" s="1"/>
  <c r="I802" i="34" s="1"/>
  <c r="I803" i="34" s="1"/>
  <c r="I804" i="34" s="1"/>
  <c r="I805" i="34" s="1"/>
  <c r="I812" i="34"/>
  <c r="I813" i="34" s="1"/>
  <c r="I814" i="34" s="1"/>
  <c r="I815" i="34" s="1"/>
  <c r="I816" i="34" s="1"/>
  <c r="I817" i="34" s="1"/>
  <c r="I818" i="34" s="1"/>
  <c r="I819" i="34" s="1"/>
  <c r="I820" i="34" s="1"/>
  <c r="I821" i="34" s="1"/>
  <c r="I822" i="34" s="1"/>
  <c r="I823" i="34" s="1"/>
  <c r="I824" i="34" s="1"/>
  <c r="I825" i="34" s="1"/>
  <c r="I830" i="34" s="1"/>
  <c r="I831" i="34" s="1"/>
  <c r="I832" i="34" s="1"/>
  <c r="I833" i="34" s="1"/>
  <c r="I834" i="34" s="1"/>
  <c r="I835" i="34" s="1"/>
  <c r="I836" i="34" s="1"/>
  <c r="I837" i="34" s="1"/>
  <c r="I838" i="34" s="1"/>
  <c r="I839" i="34" s="1"/>
  <c r="I844" i="34" s="1"/>
  <c r="I845" i="34" s="1"/>
  <c r="I850" i="34" s="1"/>
  <c r="I851" i="34" s="1"/>
  <c r="I852" i="34" s="1"/>
  <c r="I853" i="34" s="1"/>
  <c r="I854" i="34" s="1"/>
  <c r="I855" i="34" s="1"/>
  <c r="I856" i="34" s="1"/>
  <c r="I861" i="34" s="1"/>
  <c r="I862" i="34" s="1"/>
  <c r="I863" i="34" s="1"/>
  <c r="I864" i="34" s="1"/>
  <c r="I865" i="34" s="1"/>
  <c r="I866" i="34" s="1"/>
  <c r="I867" i="34" s="1"/>
  <c r="I874" i="34"/>
  <c r="I875" i="34" s="1"/>
  <c r="I876" i="34" s="1"/>
  <c r="I877" i="34" s="1"/>
  <c r="I878" i="34" s="1"/>
  <c r="I879" i="34" s="1"/>
  <c r="I880" i="34" s="1"/>
  <c r="I881" i="34" s="1"/>
  <c r="I882" i="34" s="1"/>
  <c r="I883" i="34" s="1"/>
  <c r="I884" i="34" s="1"/>
  <c r="I885" i="34" s="1"/>
  <c r="I886" i="34" s="1"/>
  <c r="I887" i="34" s="1"/>
  <c r="I892" i="34" s="1"/>
  <c r="I893" i="34" s="1"/>
  <c r="I894" i="34" s="1"/>
  <c r="I895" i="34" s="1"/>
  <c r="I896" i="34" s="1"/>
  <c r="I897" i="34" s="1"/>
  <c r="I898" i="34" s="1"/>
  <c r="I899" i="34" s="1"/>
  <c r="I900" i="34" s="1"/>
  <c r="I901" i="34" s="1"/>
  <c r="I906" i="34" s="1"/>
  <c r="I907" i="34" s="1"/>
  <c r="I912" i="34" s="1"/>
  <c r="I913" i="34" s="1"/>
  <c r="I914" i="34" s="1"/>
  <c r="I915" i="34" s="1"/>
  <c r="I916" i="34" s="1"/>
  <c r="I917" i="34" s="1"/>
  <c r="I918" i="34" s="1"/>
  <c r="I923" i="34" s="1"/>
  <c r="I924" i="34" s="1"/>
  <c r="I925" i="34" s="1"/>
  <c r="I926" i="34" s="1"/>
  <c r="I927" i="34" s="1"/>
  <c r="I928" i="34" s="1"/>
  <c r="I929" i="34" s="1"/>
  <c r="I936" i="34"/>
  <c r="I937" i="34" s="1"/>
  <c r="I938" i="34" s="1"/>
  <c r="I939" i="34" s="1"/>
  <c r="I940" i="34" s="1"/>
  <c r="I941" i="34" s="1"/>
  <c r="I942" i="34" s="1"/>
  <c r="I943" i="34" s="1"/>
  <c r="I944" i="34" s="1"/>
  <c r="I945" i="34" s="1"/>
  <c r="I946" i="34" s="1"/>
  <c r="I947" i="34" s="1"/>
  <c r="I948" i="34" s="1"/>
  <c r="I949" i="34" s="1"/>
  <c r="I954" i="34" s="1"/>
  <c r="I955" i="34" s="1"/>
  <c r="I956" i="34" s="1"/>
  <c r="I957" i="34" s="1"/>
  <c r="I958" i="34" s="1"/>
  <c r="I959" i="34" s="1"/>
  <c r="I960" i="34" s="1"/>
  <c r="I961" i="34" s="1"/>
  <c r="I962" i="34" s="1"/>
  <c r="I963" i="34" s="1"/>
  <c r="I968" i="34" s="1"/>
  <c r="I969" i="34" s="1"/>
  <c r="I974" i="34" s="1"/>
  <c r="I975" i="34" s="1"/>
  <c r="I976" i="34" s="1"/>
  <c r="I977" i="34" s="1"/>
  <c r="I978" i="34" s="1"/>
  <c r="I979" i="34" s="1"/>
  <c r="I980" i="34" s="1"/>
  <c r="I985" i="34" s="1"/>
  <c r="I986" i="34" s="1"/>
  <c r="I987" i="34" s="1"/>
  <c r="I988" i="34" s="1"/>
  <c r="I989" i="34" s="1"/>
  <c r="I990" i="34" s="1"/>
  <c r="I991" i="34" s="1"/>
  <c r="I998" i="34"/>
  <c r="I999" i="34" s="1"/>
  <c r="I1000" i="34" s="1"/>
  <c r="I1001" i="34" s="1"/>
  <c r="I1002" i="34" s="1"/>
  <c r="I1003" i="34" s="1"/>
  <c r="I1004" i="34" s="1"/>
  <c r="I1005" i="34" s="1"/>
  <c r="I1006" i="34" s="1"/>
  <c r="I1007" i="34" s="1"/>
  <c r="I1008" i="34" s="1"/>
  <c r="I1009" i="34" s="1"/>
  <c r="I1010" i="34" s="1"/>
  <c r="I1011" i="34" s="1"/>
  <c r="I1016" i="34" s="1"/>
  <c r="I1017" i="34" s="1"/>
  <c r="I1018" i="34" s="1"/>
  <c r="I1019" i="34" s="1"/>
  <c r="I1020" i="34" s="1"/>
  <c r="I1021" i="34" s="1"/>
  <c r="I1022" i="34" s="1"/>
  <c r="I1023" i="34" s="1"/>
  <c r="I1024" i="34" s="1"/>
  <c r="I1025" i="34" s="1"/>
  <c r="I1030" i="34" s="1"/>
  <c r="I1031" i="34" s="1"/>
  <c r="I1036" i="34" s="1"/>
  <c r="I1037" i="34" s="1"/>
  <c r="I1038" i="34" s="1"/>
  <c r="I1039" i="34" s="1"/>
  <c r="I1040" i="34" s="1"/>
  <c r="I1041" i="34" s="1"/>
  <c r="I1042" i="34" s="1"/>
  <c r="I1047" i="34" s="1"/>
  <c r="I1048" i="34" s="1"/>
  <c r="I1049" i="34" s="1"/>
  <c r="I1050" i="34" s="1"/>
  <c r="I1051" i="34" s="1"/>
  <c r="I1052" i="34" s="1"/>
  <c r="I1053" i="34" s="1"/>
  <c r="I1060" i="34"/>
  <c r="I1061" i="34" s="1"/>
  <c r="I1062" i="34" s="1"/>
  <c r="I1063" i="34" s="1"/>
  <c r="I1064" i="34" s="1"/>
  <c r="I1065" i="34" s="1"/>
  <c r="I1066" i="34" s="1"/>
  <c r="I1067" i="34" s="1"/>
  <c r="I1068" i="34" s="1"/>
  <c r="I1069" i="34" s="1"/>
  <c r="I1070" i="34" s="1"/>
  <c r="I1071" i="34" s="1"/>
  <c r="I1072" i="34" s="1"/>
  <c r="I1073" i="34" s="1"/>
  <c r="I1078" i="34" s="1"/>
  <c r="I1079" i="34" s="1"/>
  <c r="I1080" i="34" s="1"/>
  <c r="I1081" i="34" s="1"/>
  <c r="I1082" i="34" s="1"/>
  <c r="I1083" i="34" s="1"/>
  <c r="I1084" i="34" s="1"/>
  <c r="I1085" i="34" s="1"/>
  <c r="I1086" i="34" s="1"/>
  <c r="I1087" i="34" s="1"/>
  <c r="I1092" i="34" s="1"/>
  <c r="I1093" i="34" s="1"/>
  <c r="I1098" i="34" s="1"/>
  <c r="I1099" i="34" s="1"/>
  <c r="I1100" i="34" s="1"/>
  <c r="I1101" i="34" s="1"/>
  <c r="I1102" i="34" s="1"/>
  <c r="I1103" i="34" s="1"/>
  <c r="I1104" i="34" s="1"/>
  <c r="I1109" i="34" s="1"/>
  <c r="I1110" i="34" s="1"/>
  <c r="I1111" i="34" s="1"/>
  <c r="I1112" i="34" s="1"/>
  <c r="I1113" i="34" s="1"/>
  <c r="I1114" i="34" s="1"/>
  <c r="I1115" i="34" s="1"/>
  <c r="I1122" i="34"/>
  <c r="I1123" i="34" s="1"/>
  <c r="I1124" i="34" s="1"/>
  <c r="I1125" i="34" s="1"/>
  <c r="I1126" i="34" s="1"/>
  <c r="I1127" i="34" s="1"/>
  <c r="I1128" i="34" s="1"/>
  <c r="I1129" i="34" s="1"/>
  <c r="I1130" i="34" s="1"/>
  <c r="I1131" i="34" s="1"/>
  <c r="I1132" i="34" s="1"/>
  <c r="I1133" i="34" s="1"/>
  <c r="I1134" i="34" s="1"/>
  <c r="I1135" i="34" s="1"/>
  <c r="I1140" i="34" s="1"/>
  <c r="I1141" i="34" s="1"/>
  <c r="I1142" i="34" s="1"/>
  <c r="I1143" i="34" s="1"/>
  <c r="I1144" i="34" s="1"/>
  <c r="I1145" i="34" s="1"/>
  <c r="I1146" i="34" s="1"/>
  <c r="I1147" i="34" s="1"/>
  <c r="I1148" i="34" s="1"/>
  <c r="I1149" i="34" s="1"/>
  <c r="I1154" i="34" s="1"/>
  <c r="I1155" i="34" s="1"/>
  <c r="I1160" i="34" s="1"/>
  <c r="I1161" i="34" s="1"/>
  <c r="I1162" i="34" s="1"/>
  <c r="I1163" i="34" s="1"/>
  <c r="I1164" i="34" s="1"/>
  <c r="I1165" i="34" s="1"/>
  <c r="I1166" i="34" s="1"/>
  <c r="I1171" i="34" s="1"/>
  <c r="I1172" i="34" s="1"/>
  <c r="I1173" i="34" s="1"/>
  <c r="I1174" i="34" s="1"/>
  <c r="I1175" i="34" s="1"/>
  <c r="I1176" i="34" s="1"/>
  <c r="I1177" i="34" s="1"/>
  <c r="I1184" i="34"/>
  <c r="I1185" i="34" s="1"/>
  <c r="I1186" i="34" s="1"/>
  <c r="I1187" i="34" s="1"/>
  <c r="I1188" i="34" s="1"/>
  <c r="I1189" i="34" s="1"/>
  <c r="I1190" i="34" s="1"/>
  <c r="I1191" i="34" s="1"/>
  <c r="I1192" i="34" s="1"/>
  <c r="I1193" i="34" s="1"/>
  <c r="I1194" i="34" s="1"/>
  <c r="I1195" i="34" s="1"/>
  <c r="I1196" i="34" s="1"/>
  <c r="I1197" i="34" s="1"/>
  <c r="I1202" i="34" s="1"/>
  <c r="I1203" i="34" s="1"/>
  <c r="I1204" i="34" s="1"/>
  <c r="I1205" i="34" s="1"/>
  <c r="I1206" i="34" s="1"/>
  <c r="I1207" i="34" s="1"/>
  <c r="I1208" i="34" s="1"/>
  <c r="I1209" i="34" s="1"/>
  <c r="I1210" i="34" s="1"/>
  <c r="I1211" i="34" s="1"/>
  <c r="I1216" i="34" s="1"/>
  <c r="I1217" i="34" s="1"/>
  <c r="I1222" i="34" s="1"/>
  <c r="I1223" i="34" s="1"/>
  <c r="I1224" i="34" s="1"/>
  <c r="I1225" i="34" s="1"/>
  <c r="I1226" i="34" s="1"/>
  <c r="I1227" i="34" s="1"/>
  <c r="I1228" i="34" s="1"/>
  <c r="I1233" i="34" s="1"/>
  <c r="I1234" i="34" s="1"/>
  <c r="I1235" i="34" s="1"/>
  <c r="I1236" i="34" s="1"/>
  <c r="I1237" i="34" s="1"/>
  <c r="I1238" i="34" s="1"/>
  <c r="I1239" i="34" s="1"/>
  <c r="I1246" i="34"/>
  <c r="I1247" i="34" s="1"/>
  <c r="I1248" i="34" s="1"/>
  <c r="I1249" i="34" s="1"/>
  <c r="I1250" i="34" s="1"/>
  <c r="I1251" i="34" s="1"/>
  <c r="I1252" i="34" s="1"/>
  <c r="I1253" i="34" s="1"/>
  <c r="I1254" i="34" s="1"/>
  <c r="I1255" i="34" s="1"/>
  <c r="I1256" i="34" s="1"/>
  <c r="I1257" i="34" s="1"/>
  <c r="I1258" i="34" s="1"/>
  <c r="I1259" i="34" s="1"/>
  <c r="I1264" i="34" s="1"/>
  <c r="I1265" i="34" s="1"/>
  <c r="I1266" i="34" s="1"/>
  <c r="I1267" i="34" s="1"/>
  <c r="I1268" i="34" s="1"/>
  <c r="I1269" i="34" s="1"/>
  <c r="I1270" i="34" s="1"/>
  <c r="I1271" i="34" s="1"/>
  <c r="I1272" i="34" s="1"/>
  <c r="I1273" i="34" s="1"/>
  <c r="I1278" i="34" s="1"/>
  <c r="I1279" i="34" s="1"/>
  <c r="I1284" i="34" s="1"/>
  <c r="I1285" i="34" s="1"/>
  <c r="I1286" i="34" s="1"/>
  <c r="I1287" i="34" s="1"/>
  <c r="I1288" i="34" s="1"/>
  <c r="I1289" i="34" s="1"/>
  <c r="I1290" i="34" s="1"/>
  <c r="I1295" i="34" s="1"/>
  <c r="I1296" i="34" s="1"/>
  <c r="I1297" i="34" s="1"/>
  <c r="I1298" i="34" s="1"/>
  <c r="I1299" i="34" s="1"/>
  <c r="I1300" i="34" s="1"/>
  <c r="I1301" i="34" s="1"/>
  <c r="I1308" i="34"/>
  <c r="I1309" i="34" s="1"/>
  <c r="I1310" i="34" s="1"/>
  <c r="I1311" i="34" s="1"/>
  <c r="I1312" i="34" s="1"/>
  <c r="I1313" i="34" s="1"/>
  <c r="I1314" i="34" s="1"/>
  <c r="I1315" i="34" s="1"/>
  <c r="I1316" i="34" s="1"/>
  <c r="I1317" i="34" s="1"/>
  <c r="I1318" i="34" s="1"/>
  <c r="I1319" i="34" s="1"/>
  <c r="I1320" i="34" s="1"/>
  <c r="I1321" i="34" s="1"/>
  <c r="I1326" i="34" s="1"/>
  <c r="I1327" i="34" s="1"/>
  <c r="I1328" i="34" s="1"/>
  <c r="I1329" i="34" s="1"/>
  <c r="I1330" i="34" s="1"/>
  <c r="I1331" i="34" s="1"/>
  <c r="I1332" i="34" s="1"/>
  <c r="I1333" i="34" s="1"/>
  <c r="I1334" i="34" s="1"/>
  <c r="I1335" i="34" s="1"/>
  <c r="I1340" i="34" s="1"/>
  <c r="I1341" i="34" s="1"/>
  <c r="I1346" i="34" s="1"/>
  <c r="I1347" i="34" s="1"/>
  <c r="I1348" i="34" s="1"/>
  <c r="I1349" i="34" s="1"/>
  <c r="I1350" i="34" s="1"/>
  <c r="I1351" i="34" s="1"/>
  <c r="I1352" i="34" s="1"/>
  <c r="I1357" i="34" s="1"/>
  <c r="I1358" i="34" s="1"/>
  <c r="I1359" i="34" s="1"/>
  <c r="I1360" i="34" s="1"/>
  <c r="I1361" i="34" s="1"/>
  <c r="I1362" i="34" s="1"/>
  <c r="I1363" i="34" s="1"/>
  <c r="I1370" i="34"/>
  <c r="I1371" i="34" s="1"/>
  <c r="I1372" i="34" s="1"/>
  <c r="I1373" i="34" s="1"/>
  <c r="I1374" i="34" s="1"/>
  <c r="I1375" i="34" s="1"/>
  <c r="I1376" i="34" s="1"/>
  <c r="I1377" i="34" s="1"/>
  <c r="I1378" i="34" s="1"/>
  <c r="I1379" i="34" s="1"/>
  <c r="I1380" i="34" s="1"/>
  <c r="I1381" i="34" s="1"/>
  <c r="I1382" i="34" s="1"/>
  <c r="I1383" i="34" s="1"/>
  <c r="I1388" i="34" s="1"/>
  <c r="I1389" i="34" s="1"/>
  <c r="I1390" i="34" s="1"/>
  <c r="I1391" i="34" s="1"/>
  <c r="I1392" i="34" s="1"/>
  <c r="I1393" i="34" s="1"/>
  <c r="I1394" i="34" s="1"/>
  <c r="I1395" i="34" s="1"/>
  <c r="I1396" i="34" s="1"/>
  <c r="I1397" i="34" s="1"/>
  <c r="I1402" i="34" s="1"/>
  <c r="I1403" i="34" s="1"/>
  <c r="I1408" i="34" s="1"/>
  <c r="I1409" i="34" s="1"/>
  <c r="I1410" i="34" s="1"/>
  <c r="I1411" i="34" s="1"/>
  <c r="I1412" i="34" s="1"/>
  <c r="I1413" i="34" s="1"/>
  <c r="I1414" i="34" s="1"/>
  <c r="I1419" i="34" s="1"/>
  <c r="I1420" i="34" s="1"/>
  <c r="I1421" i="34" s="1"/>
  <c r="I1422" i="34" s="1"/>
  <c r="I1423" i="34" s="1"/>
  <c r="I1424" i="34" s="1"/>
  <c r="I1425" i="34" s="1"/>
  <c r="I1432" i="34"/>
  <c r="I1433" i="34" s="1"/>
  <c r="I1434" i="34" s="1"/>
  <c r="I1435" i="34" s="1"/>
  <c r="I1436" i="34" s="1"/>
  <c r="I1437" i="34" s="1"/>
  <c r="I1438" i="34" s="1"/>
  <c r="I1439" i="34" s="1"/>
  <c r="I1440" i="34" s="1"/>
  <c r="I1441" i="34" s="1"/>
  <c r="I1442" i="34" s="1"/>
  <c r="I1443" i="34" s="1"/>
  <c r="I1444" i="34" s="1"/>
  <c r="I1445" i="34" s="1"/>
  <c r="I1450" i="34" s="1"/>
  <c r="I1451" i="34" s="1"/>
  <c r="I1452" i="34" s="1"/>
  <c r="I1453" i="34" s="1"/>
  <c r="I1454" i="34" s="1"/>
  <c r="I1455" i="34" s="1"/>
  <c r="I1456" i="34" s="1"/>
  <c r="I1457" i="34" s="1"/>
  <c r="I1458" i="34" s="1"/>
  <c r="I1459" i="34" s="1"/>
  <c r="I1464" i="34" s="1"/>
  <c r="I1465" i="34" s="1"/>
  <c r="I1470" i="34" s="1"/>
  <c r="I1471" i="34" s="1"/>
  <c r="I1472" i="34" s="1"/>
  <c r="I1473" i="34" s="1"/>
  <c r="I1474" i="34" s="1"/>
  <c r="I1475" i="34" s="1"/>
  <c r="I1476" i="34" s="1"/>
  <c r="I1481" i="34" s="1"/>
  <c r="I1482" i="34" s="1"/>
  <c r="I1483" i="34" s="1"/>
  <c r="I1484" i="34" s="1"/>
  <c r="I1485" i="34" s="1"/>
  <c r="I1486" i="34" s="1"/>
  <c r="I1487" i="34" s="1"/>
  <c r="I1494" i="34"/>
  <c r="I1495" i="34" s="1"/>
  <c r="I1496" i="34" s="1"/>
  <c r="I1497" i="34" s="1"/>
  <c r="I1498" i="34" s="1"/>
  <c r="I1499" i="34" s="1"/>
  <c r="I1500" i="34" s="1"/>
  <c r="I1501" i="34" s="1"/>
  <c r="I1502" i="34" s="1"/>
  <c r="I1503" i="34" s="1"/>
  <c r="I1504" i="34" s="1"/>
  <c r="I1505" i="34" s="1"/>
  <c r="I1506" i="34" s="1"/>
  <c r="I1507" i="34" s="1"/>
  <c r="I1512" i="34" s="1"/>
  <c r="I1513" i="34" s="1"/>
  <c r="I1514" i="34" s="1"/>
  <c r="I1515" i="34" s="1"/>
  <c r="I1516" i="34" s="1"/>
  <c r="I1517" i="34" s="1"/>
  <c r="I1518" i="34" s="1"/>
  <c r="I1519" i="34" s="1"/>
  <c r="I1520" i="34" s="1"/>
  <c r="I1521" i="34" s="1"/>
  <c r="I1526" i="34" s="1"/>
  <c r="I1527" i="34" s="1"/>
  <c r="I1532" i="34" s="1"/>
  <c r="I1533" i="34" s="1"/>
  <c r="I1534" i="34" s="1"/>
  <c r="I1535" i="34" s="1"/>
  <c r="I1536" i="34" s="1"/>
  <c r="I1537" i="34" s="1"/>
  <c r="I1538" i="34" s="1"/>
  <c r="I1543" i="34" s="1"/>
  <c r="I1544" i="34" s="1"/>
  <c r="I1545" i="34" s="1"/>
  <c r="I1546" i="34" s="1"/>
  <c r="I1547" i="34" s="1"/>
  <c r="I1548" i="34" s="1"/>
  <c r="I1549" i="34" s="1"/>
  <c r="I1556" i="34"/>
  <c r="I1557" i="34" s="1"/>
  <c r="I1558" i="34" s="1"/>
  <c r="I1559" i="34" s="1"/>
  <c r="I1560" i="34" s="1"/>
  <c r="I1561" i="34" s="1"/>
  <c r="I1562" i="34" s="1"/>
  <c r="I1563" i="34" s="1"/>
  <c r="I1564" i="34" s="1"/>
  <c r="I1565" i="34" s="1"/>
  <c r="I1566" i="34" s="1"/>
  <c r="I1567" i="34" s="1"/>
  <c r="I1568" i="34" s="1"/>
  <c r="I1569" i="34" s="1"/>
  <c r="I1574" i="34" s="1"/>
  <c r="I1575" i="34" s="1"/>
  <c r="I1576" i="34" s="1"/>
  <c r="I1577" i="34" s="1"/>
  <c r="I1578" i="34" s="1"/>
  <c r="I1579" i="34" s="1"/>
  <c r="I1580" i="34" s="1"/>
  <c r="I1581" i="34" s="1"/>
  <c r="I1582" i="34" s="1"/>
  <c r="I1583" i="34" s="1"/>
  <c r="I1588" i="34" s="1"/>
  <c r="I1589" i="34" s="1"/>
  <c r="I1594" i="34" s="1"/>
  <c r="I1595" i="34" s="1"/>
  <c r="I1596" i="34" s="1"/>
  <c r="I1597" i="34" s="1"/>
  <c r="I1598" i="34" s="1"/>
  <c r="I1599" i="34" s="1"/>
  <c r="I1600" i="34" s="1"/>
  <c r="I1605" i="34" s="1"/>
  <c r="I1606" i="34" s="1"/>
  <c r="I1607" i="34" s="1"/>
  <c r="I1608" i="34" s="1"/>
  <c r="I1609" i="34" s="1"/>
  <c r="I1610" i="34" s="1"/>
  <c r="I1611" i="34" s="1"/>
  <c r="I1618" i="34"/>
  <c r="I1619" i="34" s="1"/>
  <c r="I1620" i="34" s="1"/>
  <c r="I1621" i="34" s="1"/>
  <c r="I1622" i="34" s="1"/>
  <c r="I1623" i="34" s="1"/>
  <c r="I1624" i="34" s="1"/>
  <c r="I1625" i="34" s="1"/>
  <c r="I1626" i="34" s="1"/>
  <c r="I1627" i="34" s="1"/>
  <c r="I1628" i="34" s="1"/>
  <c r="I1629" i="34" s="1"/>
  <c r="I1630" i="34" s="1"/>
  <c r="I1631" i="34" s="1"/>
  <c r="I1636" i="34" s="1"/>
  <c r="I1637" i="34" s="1"/>
  <c r="I1638" i="34" s="1"/>
  <c r="I1639" i="34" s="1"/>
  <c r="I1640" i="34" s="1"/>
  <c r="I1641" i="34" s="1"/>
  <c r="I1642" i="34" s="1"/>
  <c r="I1643" i="34" s="1"/>
  <c r="I1644" i="34" s="1"/>
  <c r="I1645" i="34" s="1"/>
  <c r="I1650" i="34" s="1"/>
  <c r="I1651" i="34" s="1"/>
  <c r="I1656" i="34" s="1"/>
  <c r="I1657" i="34" s="1"/>
  <c r="I1658" i="34" s="1"/>
  <c r="I1659" i="34" s="1"/>
  <c r="I1660" i="34" s="1"/>
  <c r="I1661" i="34" s="1"/>
  <c r="I1662" i="34" s="1"/>
  <c r="I1667" i="34" s="1"/>
  <c r="I1668" i="34" s="1"/>
  <c r="I1669" i="34" s="1"/>
  <c r="I1670" i="34" s="1"/>
  <c r="I1671" i="34" s="1"/>
  <c r="I1672" i="34" s="1"/>
  <c r="I1673" i="34" s="1"/>
  <c r="I1680" i="34"/>
  <c r="I130" i="34"/>
  <c r="I131" i="34" s="1"/>
  <c r="I132" i="34" s="1"/>
  <c r="I133" i="34" s="1"/>
  <c r="I134" i="34" s="1"/>
  <c r="I135" i="34" s="1"/>
  <c r="I136" i="34" s="1"/>
  <c r="I137" i="34" s="1"/>
  <c r="I138" i="34" s="1"/>
  <c r="I139" i="34" s="1"/>
  <c r="I140" i="34" s="1"/>
  <c r="I141" i="34" s="1"/>
  <c r="I142" i="34" s="1"/>
  <c r="I143" i="34" s="1"/>
  <c r="I148" i="34" s="1"/>
  <c r="I149" i="34" s="1"/>
  <c r="I150" i="34" s="1"/>
  <c r="I151" i="34" s="1"/>
  <c r="I152" i="34" s="1"/>
  <c r="I153" i="34" s="1"/>
  <c r="I154" i="34" s="1"/>
  <c r="I155" i="34" s="1"/>
  <c r="I156" i="34" s="1"/>
  <c r="I157" i="34" s="1"/>
  <c r="I162" i="34" s="1"/>
  <c r="I163" i="34" s="1"/>
  <c r="I168" i="34" s="1"/>
  <c r="I169" i="34" s="1"/>
  <c r="I170" i="34" s="1"/>
  <c r="I171" i="34" s="1"/>
  <c r="I172" i="34" s="1"/>
  <c r="I173" i="34" s="1"/>
  <c r="I174" i="34" s="1"/>
  <c r="I179" i="34" s="1"/>
  <c r="I180" i="34" s="1"/>
  <c r="I181" i="34" s="1"/>
  <c r="I182" i="34" s="1"/>
  <c r="I183" i="34" s="1"/>
  <c r="I184" i="34" s="1"/>
  <c r="I185" i="34" s="1"/>
  <c r="O1735" i="34"/>
  <c r="O1734" i="34"/>
  <c r="O1733" i="34"/>
  <c r="O1732" i="34"/>
  <c r="O1731" i="34"/>
  <c r="O1730" i="34"/>
  <c r="O1729" i="34"/>
  <c r="J1727" i="34"/>
  <c r="O1724" i="34"/>
  <c r="O1723" i="34"/>
  <c r="O1722" i="34"/>
  <c r="O1721" i="34"/>
  <c r="O1720" i="34"/>
  <c r="O1719" i="34"/>
  <c r="O1718" i="34"/>
  <c r="O1713" i="34"/>
  <c r="O1712" i="34"/>
  <c r="O1707" i="34"/>
  <c r="O1706" i="34"/>
  <c r="O1705" i="34"/>
  <c r="O1704" i="34"/>
  <c r="O1703" i="34"/>
  <c r="O1702" i="34"/>
  <c r="O1701" i="34"/>
  <c r="O1700" i="34"/>
  <c r="O1699" i="34"/>
  <c r="O1698" i="34"/>
  <c r="O1693" i="34"/>
  <c r="O1692" i="34"/>
  <c r="O1691" i="34"/>
  <c r="O1690" i="34"/>
  <c r="O1689" i="34"/>
  <c r="O1688" i="34"/>
  <c r="O1687" i="34"/>
  <c r="O1686" i="34"/>
  <c r="O1685" i="34"/>
  <c r="O1684" i="34"/>
  <c r="O1683" i="34"/>
  <c r="O1682" i="34"/>
  <c r="O1681" i="34"/>
  <c r="O1680" i="34"/>
  <c r="O1673" i="34"/>
  <c r="O1672" i="34"/>
  <c r="O1671" i="34"/>
  <c r="O1670" i="34"/>
  <c r="O1669" i="34"/>
  <c r="O1668" i="34"/>
  <c r="O1667" i="34"/>
  <c r="J1665" i="34"/>
  <c r="O1662" i="34"/>
  <c r="O1661" i="34"/>
  <c r="O1660" i="34"/>
  <c r="O1659" i="34"/>
  <c r="O1658" i="34"/>
  <c r="O1657" i="34"/>
  <c r="O1656" i="34"/>
  <c r="O1651" i="34"/>
  <c r="O1650" i="34"/>
  <c r="O1645" i="34"/>
  <c r="O1644" i="34"/>
  <c r="O1643" i="34"/>
  <c r="O1642" i="34"/>
  <c r="O1641" i="34"/>
  <c r="O1640" i="34"/>
  <c r="O1639" i="34"/>
  <c r="O1638" i="34"/>
  <c r="O1637" i="34"/>
  <c r="O1636" i="34"/>
  <c r="O1631" i="34"/>
  <c r="O1630" i="34"/>
  <c r="O1629" i="34"/>
  <c r="O1628" i="34"/>
  <c r="O1627" i="34"/>
  <c r="O1626" i="34"/>
  <c r="O1625" i="34"/>
  <c r="O1624" i="34"/>
  <c r="O1623" i="34"/>
  <c r="O1622" i="34"/>
  <c r="O1621" i="34"/>
  <c r="O1620" i="34"/>
  <c r="O1619" i="34"/>
  <c r="O1618" i="34"/>
  <c r="O1425" i="34"/>
  <c r="O1424" i="34"/>
  <c r="O1423" i="34"/>
  <c r="O1422" i="34"/>
  <c r="O1421" i="34"/>
  <c r="O1420" i="34"/>
  <c r="O1419" i="34"/>
  <c r="J1417" i="34"/>
  <c r="O1414" i="34"/>
  <c r="O1413" i="34"/>
  <c r="O1412" i="34"/>
  <c r="O1411" i="34"/>
  <c r="O1410" i="34"/>
  <c r="O1409" i="34"/>
  <c r="O1408" i="34"/>
  <c r="O1403" i="34"/>
  <c r="O1402" i="34"/>
  <c r="O1397" i="34"/>
  <c r="O1396" i="34"/>
  <c r="O1395" i="34"/>
  <c r="O1394" i="34"/>
  <c r="O1393" i="34"/>
  <c r="O1392" i="34"/>
  <c r="O1391" i="34"/>
  <c r="O1390" i="34"/>
  <c r="O1389" i="34"/>
  <c r="O1388" i="34"/>
  <c r="O1383" i="34"/>
  <c r="O1382" i="34"/>
  <c r="O1381" i="34"/>
  <c r="O1380" i="34"/>
  <c r="O1379" i="34"/>
  <c r="O1378" i="34"/>
  <c r="O1377" i="34"/>
  <c r="O1376" i="34"/>
  <c r="O1372" i="34"/>
  <c r="O1371" i="34"/>
  <c r="O1370" i="34"/>
  <c r="O1177" i="34"/>
  <c r="O1176" i="34"/>
  <c r="O1175" i="34"/>
  <c r="O1174" i="34"/>
  <c r="O1173" i="34"/>
  <c r="O1172" i="34"/>
  <c r="O1171" i="34"/>
  <c r="J1169" i="34"/>
  <c r="O1166" i="34"/>
  <c r="O1165" i="34"/>
  <c r="O1164" i="34"/>
  <c r="O1163" i="34"/>
  <c r="O1162" i="34"/>
  <c r="O1161" i="34"/>
  <c r="O1160" i="34"/>
  <c r="O1155" i="34"/>
  <c r="O1154" i="34"/>
  <c r="O1149" i="34"/>
  <c r="O1148" i="34"/>
  <c r="O1147" i="34"/>
  <c r="O1146" i="34"/>
  <c r="O1145" i="34"/>
  <c r="O1144" i="34"/>
  <c r="O1143" i="34"/>
  <c r="O1142" i="34"/>
  <c r="O1141" i="34"/>
  <c r="O1140" i="34"/>
  <c r="O1135" i="34"/>
  <c r="O1134" i="34"/>
  <c r="O1133" i="34"/>
  <c r="O1132" i="34"/>
  <c r="O1131" i="34"/>
  <c r="O1130" i="34"/>
  <c r="O1129" i="34"/>
  <c r="O1128" i="34"/>
  <c r="O1127" i="34"/>
  <c r="O1126" i="34"/>
  <c r="O1125" i="34"/>
  <c r="O1124" i="34"/>
  <c r="O1123" i="34"/>
  <c r="O1122" i="34"/>
  <c r="O1115" i="34"/>
  <c r="O1114" i="34"/>
  <c r="O1113" i="34"/>
  <c r="O1112" i="34"/>
  <c r="O1111" i="34"/>
  <c r="O1110" i="34"/>
  <c r="O1109" i="34"/>
  <c r="J1107" i="34"/>
  <c r="O1104" i="34"/>
  <c r="O1103" i="34"/>
  <c r="O1102" i="34"/>
  <c r="O1101" i="34"/>
  <c r="O1100" i="34"/>
  <c r="O1099" i="34"/>
  <c r="O1098" i="34"/>
  <c r="O1093" i="34"/>
  <c r="O1092" i="34"/>
  <c r="O1087" i="34"/>
  <c r="O1086" i="34"/>
  <c r="O1085" i="34"/>
  <c r="O1084" i="34"/>
  <c r="O1083" i="34"/>
  <c r="O1082" i="34"/>
  <c r="O1081" i="34"/>
  <c r="O1080" i="34"/>
  <c r="O1079" i="34"/>
  <c r="O1078" i="34"/>
  <c r="O1073" i="34"/>
  <c r="O1072" i="34"/>
  <c r="O1071" i="34"/>
  <c r="O1070" i="34"/>
  <c r="O1069" i="34"/>
  <c r="O1068" i="34"/>
  <c r="O1067" i="34"/>
  <c r="O1066" i="34"/>
  <c r="O1065" i="34"/>
  <c r="O1064" i="34"/>
  <c r="O1063" i="34"/>
  <c r="O1062" i="34"/>
  <c r="O1061" i="34"/>
  <c r="O1060" i="34"/>
  <c r="O1053" i="34"/>
  <c r="O1052" i="34"/>
  <c r="O1051" i="34"/>
  <c r="O1050" i="34"/>
  <c r="O1049" i="34"/>
  <c r="O1048" i="34"/>
  <c r="O1047" i="34"/>
  <c r="J1045" i="34"/>
  <c r="O1042" i="34"/>
  <c r="O1041" i="34"/>
  <c r="O1040" i="34"/>
  <c r="O1039" i="34"/>
  <c r="O1038" i="34"/>
  <c r="O1037" i="34"/>
  <c r="O1036" i="34"/>
  <c r="O1031" i="34"/>
  <c r="O1030" i="34"/>
  <c r="O1025" i="34"/>
  <c r="O1024" i="34"/>
  <c r="O1023" i="34"/>
  <c r="O1022" i="34"/>
  <c r="O1021" i="34"/>
  <c r="O1020" i="34"/>
  <c r="O1019" i="34"/>
  <c r="O1018" i="34"/>
  <c r="O1017" i="34"/>
  <c r="O1016" i="34"/>
  <c r="O1011" i="34"/>
  <c r="O1010" i="34"/>
  <c r="O1009" i="34"/>
  <c r="O1008" i="34"/>
  <c r="O1007" i="34"/>
  <c r="O1006" i="34"/>
  <c r="O1002" i="34"/>
  <c r="O1001" i="34"/>
  <c r="O1000" i="34"/>
  <c r="O999" i="34"/>
  <c r="O998" i="34"/>
  <c r="O991" i="34"/>
  <c r="O990" i="34"/>
  <c r="O989" i="34"/>
  <c r="O988" i="34"/>
  <c r="O987" i="34"/>
  <c r="O986" i="34"/>
  <c r="O985" i="34"/>
  <c r="J983" i="34"/>
  <c r="O980" i="34"/>
  <c r="O979" i="34"/>
  <c r="O978" i="34"/>
  <c r="O977" i="34"/>
  <c r="O976" i="34"/>
  <c r="O975" i="34"/>
  <c r="O974" i="34"/>
  <c r="O969" i="34"/>
  <c r="O968" i="34"/>
  <c r="O963" i="34"/>
  <c r="O962" i="34"/>
  <c r="O961" i="34"/>
  <c r="O960" i="34"/>
  <c r="O959" i="34"/>
  <c r="O958" i="34"/>
  <c r="O957" i="34"/>
  <c r="O956" i="34"/>
  <c r="O955" i="34"/>
  <c r="O954" i="34"/>
  <c r="O949" i="34"/>
  <c r="O948" i="34"/>
  <c r="O947" i="34"/>
  <c r="O946" i="34"/>
  <c r="O945" i="34"/>
  <c r="O944" i="34"/>
  <c r="O943" i="34"/>
  <c r="O942" i="34"/>
  <c r="O941" i="34"/>
  <c r="O940" i="34"/>
  <c r="O939" i="34"/>
  <c r="O938" i="34"/>
  <c r="O937" i="34"/>
  <c r="O936" i="34"/>
  <c r="O929" i="34"/>
  <c r="O928" i="34"/>
  <c r="O927" i="34"/>
  <c r="O926" i="34"/>
  <c r="O925" i="34"/>
  <c r="O924" i="34"/>
  <c r="O923" i="34"/>
  <c r="J921" i="34"/>
  <c r="O918" i="34"/>
  <c r="O917" i="34"/>
  <c r="O916" i="34"/>
  <c r="O915" i="34"/>
  <c r="O914" i="34"/>
  <c r="O913" i="34"/>
  <c r="O912" i="34"/>
  <c r="O907" i="34"/>
  <c r="O906" i="34"/>
  <c r="O901" i="34"/>
  <c r="O900" i="34"/>
  <c r="O899" i="34"/>
  <c r="O898" i="34"/>
  <c r="O897" i="34"/>
  <c r="O896" i="34"/>
  <c r="O895" i="34"/>
  <c r="O894" i="34"/>
  <c r="O893" i="34"/>
  <c r="O892" i="34"/>
  <c r="O887" i="34"/>
  <c r="O886" i="34"/>
  <c r="O885" i="34"/>
  <c r="O884" i="34"/>
  <c r="O883" i="34"/>
  <c r="O882" i="34"/>
  <c r="O881" i="34"/>
  <c r="O880" i="34"/>
  <c r="O879" i="34"/>
  <c r="O877" i="34"/>
  <c r="O876" i="34"/>
  <c r="O875" i="34"/>
  <c r="O874" i="34"/>
  <c r="O867" i="34"/>
  <c r="O866" i="34"/>
  <c r="O865" i="34"/>
  <c r="O864" i="34"/>
  <c r="O863" i="34"/>
  <c r="O862" i="34"/>
  <c r="O861" i="34"/>
  <c r="J859" i="34"/>
  <c r="O856" i="34"/>
  <c r="O855" i="34"/>
  <c r="O854" i="34"/>
  <c r="O853" i="34"/>
  <c r="O852" i="34"/>
  <c r="O851" i="34"/>
  <c r="O850" i="34"/>
  <c r="O845" i="34"/>
  <c r="O844" i="34"/>
  <c r="O839" i="34"/>
  <c r="O838" i="34"/>
  <c r="O837" i="34"/>
  <c r="O836" i="34"/>
  <c r="O835" i="34"/>
  <c r="O834" i="34"/>
  <c r="O833" i="34"/>
  <c r="O832" i="34"/>
  <c r="O831" i="34"/>
  <c r="O830" i="34"/>
  <c r="O825" i="34"/>
  <c r="O824" i="34"/>
  <c r="O823" i="34"/>
  <c r="O822" i="34"/>
  <c r="O821" i="34"/>
  <c r="O820" i="34"/>
  <c r="O819" i="34"/>
  <c r="O818" i="34"/>
  <c r="O817" i="34"/>
  <c r="O816" i="34"/>
  <c r="O815" i="34"/>
  <c r="O814" i="34"/>
  <c r="O813" i="34"/>
  <c r="O812" i="34"/>
  <c r="O805" i="34"/>
  <c r="O804" i="34"/>
  <c r="O803" i="34"/>
  <c r="O802" i="34"/>
  <c r="O801" i="34"/>
  <c r="O800" i="34"/>
  <c r="O799" i="34"/>
  <c r="J797" i="34"/>
  <c r="O794" i="34"/>
  <c r="O793" i="34"/>
  <c r="O792" i="34"/>
  <c r="O791" i="34"/>
  <c r="O790" i="34"/>
  <c r="O789" i="34"/>
  <c r="O788" i="34"/>
  <c r="O783" i="34"/>
  <c r="O782" i="34"/>
  <c r="O777" i="34"/>
  <c r="O776" i="34"/>
  <c r="O775" i="34"/>
  <c r="O774" i="34"/>
  <c r="O773" i="34"/>
  <c r="O772" i="34"/>
  <c r="O771" i="34"/>
  <c r="O770" i="34"/>
  <c r="O750" i="34"/>
  <c r="O764" i="34" s="1"/>
  <c r="O743" i="34"/>
  <c r="O742" i="34"/>
  <c r="O741" i="34"/>
  <c r="O740" i="34"/>
  <c r="O739" i="34"/>
  <c r="O738" i="34"/>
  <c r="O737" i="34"/>
  <c r="J735" i="34"/>
  <c r="O732" i="34"/>
  <c r="O731" i="34"/>
  <c r="O730" i="34"/>
  <c r="O729" i="34"/>
  <c r="O728" i="34"/>
  <c r="O727" i="34"/>
  <c r="O726" i="34"/>
  <c r="O721" i="34"/>
  <c r="O720" i="34"/>
  <c r="O715" i="34"/>
  <c r="O714" i="34"/>
  <c r="O713" i="34"/>
  <c r="O712" i="34"/>
  <c r="O711" i="34"/>
  <c r="O710" i="34"/>
  <c r="O709" i="34"/>
  <c r="O708" i="34"/>
  <c r="O688" i="34"/>
  <c r="O702" i="34" s="1"/>
  <c r="O681" i="34"/>
  <c r="O680" i="34"/>
  <c r="O679" i="34"/>
  <c r="O678" i="34"/>
  <c r="O677" i="34"/>
  <c r="O676" i="34"/>
  <c r="O675" i="34"/>
  <c r="J673" i="34"/>
  <c r="O670" i="34"/>
  <c r="O669" i="34"/>
  <c r="O668" i="34"/>
  <c r="O667" i="34"/>
  <c r="O666" i="34"/>
  <c r="O665" i="34"/>
  <c r="O664" i="34"/>
  <c r="O659" i="34"/>
  <c r="O658" i="34"/>
  <c r="O653" i="34"/>
  <c r="O652" i="34"/>
  <c r="O651" i="34"/>
  <c r="O650" i="34"/>
  <c r="O649" i="34"/>
  <c r="O648" i="34"/>
  <c r="O647" i="34"/>
  <c r="O646" i="34"/>
  <c r="O644" i="34"/>
  <c r="O639" i="34"/>
  <c r="O638" i="34"/>
  <c r="O637" i="34"/>
  <c r="O636" i="34"/>
  <c r="O635" i="34"/>
  <c r="O634" i="34"/>
  <c r="O633" i="34"/>
  <c r="O632" i="34"/>
  <c r="O631" i="34"/>
  <c r="O630" i="34"/>
  <c r="O628" i="34"/>
  <c r="O627" i="34"/>
  <c r="O626" i="34"/>
  <c r="O247" i="34"/>
  <c r="O246" i="34"/>
  <c r="O245" i="34"/>
  <c r="O244" i="34"/>
  <c r="O243" i="34"/>
  <c r="O242" i="34"/>
  <c r="O241" i="34"/>
  <c r="J239" i="34"/>
  <c r="O236" i="34"/>
  <c r="O235" i="34"/>
  <c r="O234" i="34"/>
  <c r="O230" i="34"/>
  <c r="O225" i="34"/>
  <c r="O224" i="34"/>
  <c r="O219" i="34"/>
  <c r="O218" i="34"/>
  <c r="O217" i="34"/>
  <c r="O216" i="34"/>
  <c r="O215" i="34"/>
  <c r="O214" i="34"/>
  <c r="O213" i="34"/>
  <c r="O212" i="34"/>
  <c r="O211" i="34"/>
  <c r="O210" i="34"/>
  <c r="O204" i="34"/>
  <c r="O203" i="34"/>
  <c r="O202" i="34"/>
  <c r="O201" i="34"/>
  <c r="O200" i="34"/>
  <c r="O199" i="34"/>
  <c r="O198" i="34"/>
  <c r="O197" i="34"/>
  <c r="O196" i="34"/>
  <c r="O195" i="34"/>
  <c r="O194" i="34"/>
  <c r="O193" i="34"/>
  <c r="O192" i="34"/>
  <c r="J177" i="34"/>
  <c r="O157" i="34"/>
  <c r="O156" i="34"/>
  <c r="O155" i="34"/>
  <c r="O154" i="34"/>
  <c r="O153" i="34"/>
  <c r="O152" i="34"/>
  <c r="O151" i="34"/>
  <c r="O150" i="34"/>
  <c r="O149" i="34"/>
  <c r="O148" i="34"/>
  <c r="O143" i="34"/>
  <c r="O142" i="34"/>
  <c r="O141" i="34"/>
  <c r="O140" i="34"/>
  <c r="O139" i="34"/>
  <c r="O138" i="34"/>
  <c r="O137" i="34"/>
  <c r="O136" i="34"/>
  <c r="O135" i="34"/>
  <c r="O134" i="34"/>
  <c r="O133" i="34"/>
  <c r="O132" i="34"/>
  <c r="O131" i="34"/>
  <c r="O130" i="34"/>
  <c r="I68" i="34"/>
  <c r="J115" i="34"/>
  <c r="O95" i="34"/>
  <c r="O94" i="34"/>
  <c r="O93" i="34"/>
  <c r="O92" i="34"/>
  <c r="O91" i="34"/>
  <c r="O90" i="34"/>
  <c r="O89" i="34"/>
  <c r="O88" i="34"/>
  <c r="O87" i="34"/>
  <c r="O86" i="34"/>
  <c r="O81" i="34"/>
  <c r="O80" i="34"/>
  <c r="O79" i="34"/>
  <c r="O78" i="34"/>
  <c r="O77" i="34"/>
  <c r="O76" i="34"/>
  <c r="O75" i="34"/>
  <c r="O74" i="34"/>
  <c r="O73" i="34"/>
  <c r="O72" i="34"/>
  <c r="O71" i="34"/>
  <c r="O70" i="34"/>
  <c r="O69" i="34"/>
  <c r="O68" i="34"/>
  <c r="I6" i="34"/>
  <c r="O61" i="34"/>
  <c r="O60" i="34"/>
  <c r="O59" i="34"/>
  <c r="O58" i="34"/>
  <c r="O57" i="34"/>
  <c r="O56" i="34"/>
  <c r="O55" i="34"/>
  <c r="J53" i="34"/>
  <c r="O50" i="34"/>
  <c r="O49" i="34"/>
  <c r="O48" i="34"/>
  <c r="O47" i="34"/>
  <c r="O46" i="34"/>
  <c r="O45" i="34"/>
  <c r="O44" i="34"/>
  <c r="O39" i="34"/>
  <c r="O38" i="34"/>
  <c r="O33" i="34"/>
  <c r="O32" i="34"/>
  <c r="O31" i="34"/>
  <c r="O30" i="34"/>
  <c r="O29" i="34"/>
  <c r="O28" i="34"/>
  <c r="O27" i="34"/>
  <c r="O26" i="34"/>
  <c r="O25" i="34"/>
  <c r="O24" i="34"/>
  <c r="O19" i="34"/>
  <c r="O18" i="34"/>
  <c r="O17" i="34"/>
  <c r="O16" i="34"/>
  <c r="O15" i="34"/>
  <c r="O14" i="34"/>
  <c r="O13" i="34"/>
  <c r="O12" i="34"/>
  <c r="O11" i="34"/>
  <c r="O10" i="34"/>
  <c r="O9" i="34"/>
  <c r="O8" i="34"/>
  <c r="O7" i="34"/>
  <c r="O6" i="34"/>
  <c r="A53" i="34"/>
  <c r="O846" i="34" l="1"/>
  <c r="O1404" i="34"/>
  <c r="O434" i="34"/>
  <c r="N26" i="36"/>
  <c r="O1364" i="34"/>
  <c r="O1612" i="34"/>
  <c r="O1714" i="34"/>
  <c r="O496" i="34"/>
  <c r="O620" i="34"/>
  <c r="O671" i="34"/>
  <c r="O716" i="34"/>
  <c r="O778" i="34"/>
  <c r="O868" i="34"/>
  <c r="O919" i="34"/>
  <c r="O964" i="34"/>
  <c r="O1026" i="34"/>
  <c r="O1074" i="34"/>
  <c r="O1105" i="34"/>
  <c r="O1116" i="34"/>
  <c r="O1156" i="34"/>
  <c r="Q130" i="34"/>
  <c r="I1681" i="34"/>
  <c r="I1682" i="34" s="1"/>
  <c r="I1683" i="34" s="1"/>
  <c r="I1684" i="34" s="1"/>
  <c r="I1685" i="34" s="1"/>
  <c r="I1686" i="34" s="1"/>
  <c r="I1687" i="34" s="1"/>
  <c r="I1688" i="34" s="1"/>
  <c r="I1689" i="34" s="1"/>
  <c r="I1690" i="34" s="1"/>
  <c r="I1691" i="34" s="1"/>
  <c r="I1692" i="34" s="1"/>
  <c r="I1693" i="34" s="1"/>
  <c r="I1698" i="34" s="1"/>
  <c r="I1699" i="34" s="1"/>
  <c r="I1700" i="34" s="1"/>
  <c r="I1701" i="34" s="1"/>
  <c r="I1702" i="34" s="1"/>
  <c r="I1703" i="34" s="1"/>
  <c r="I1704" i="34" s="1"/>
  <c r="I1705" i="34" s="1"/>
  <c r="I1706" i="34" s="1"/>
  <c r="I1707" i="34" s="1"/>
  <c r="I1712" i="34" s="1"/>
  <c r="I1713" i="34" s="1"/>
  <c r="I1718" i="34" s="1"/>
  <c r="I1719" i="34" s="1"/>
  <c r="I1720" i="34" s="1"/>
  <c r="I1721" i="34" s="1"/>
  <c r="I1722" i="34" s="1"/>
  <c r="I1723" i="34" s="1"/>
  <c r="I1724" i="34" s="1"/>
  <c r="I1729" i="34" s="1"/>
  <c r="I1730" i="34" s="1"/>
  <c r="I1731" i="34" s="1"/>
  <c r="I1732" i="34" s="1"/>
  <c r="I1733" i="34" s="1"/>
  <c r="I1734" i="34" s="1"/>
  <c r="I1735" i="34" s="1"/>
  <c r="I7" i="34"/>
  <c r="I8" i="34" s="1"/>
  <c r="I9" i="34" s="1"/>
  <c r="I10" i="34" s="1"/>
  <c r="I11" i="34" s="1"/>
  <c r="I12" i="34" s="1"/>
  <c r="I13" i="34" s="1"/>
  <c r="I14" i="34" s="1"/>
  <c r="I15" i="34" s="1"/>
  <c r="I16" i="34" s="1"/>
  <c r="I17" i="34" s="1"/>
  <c r="I18" i="34" s="1"/>
  <c r="I19" i="34" s="1"/>
  <c r="I24" i="34" s="1"/>
  <c r="I25" i="34" s="1"/>
  <c r="I26" i="34" s="1"/>
  <c r="I27" i="34" s="1"/>
  <c r="I28" i="34" s="1"/>
  <c r="I29" i="34" s="1"/>
  <c r="I30" i="34" s="1"/>
  <c r="I31" i="34" s="1"/>
  <c r="I32" i="34" s="1"/>
  <c r="I33" i="34" s="1"/>
  <c r="I38" i="34" s="1"/>
  <c r="I39" i="34" s="1"/>
  <c r="I44" i="34" s="1"/>
  <c r="I45" i="34" s="1"/>
  <c r="I46" i="34" s="1"/>
  <c r="I47" i="34" s="1"/>
  <c r="I69" i="34"/>
  <c r="I70" i="34" s="1"/>
  <c r="I71" i="34" s="1"/>
  <c r="I72" i="34" s="1"/>
  <c r="I73" i="34" s="1"/>
  <c r="I74" i="34" s="1"/>
  <c r="I75" i="34" s="1"/>
  <c r="I76" i="34" s="1"/>
  <c r="I77" i="34" s="1"/>
  <c r="I78" i="34" s="1"/>
  <c r="I79" i="34" s="1"/>
  <c r="I80" i="34" s="1"/>
  <c r="I81" i="34" s="1"/>
  <c r="I86" i="34" s="1"/>
  <c r="I87" i="34" s="1"/>
  <c r="I88" i="34" s="1"/>
  <c r="I89" i="34" s="1"/>
  <c r="I90" i="34" s="1"/>
  <c r="I91" i="34" s="1"/>
  <c r="I92" i="34" s="1"/>
  <c r="I93" i="34" s="1"/>
  <c r="I94" i="34" s="1"/>
  <c r="I95" i="34" s="1"/>
  <c r="I100" i="34" s="1"/>
  <c r="I101" i="34" s="1"/>
  <c r="I106" i="34" s="1"/>
  <c r="I107" i="34" s="1"/>
  <c r="I108" i="34" s="1"/>
  <c r="I109" i="34" s="1"/>
  <c r="I110" i="34" s="1"/>
  <c r="I111" i="34" s="1"/>
  <c r="I112" i="34" s="1"/>
  <c r="I117" i="34" s="1"/>
  <c r="I118" i="34" s="1"/>
  <c r="I119" i="34" s="1"/>
  <c r="I120" i="34" s="1"/>
  <c r="I121" i="34" s="1"/>
  <c r="I122" i="34" s="1"/>
  <c r="I123" i="34" s="1"/>
  <c r="Q1618" i="34"/>
  <c r="Q1556" i="34"/>
  <c r="Q1494" i="34"/>
  <c r="Q1432" i="34"/>
  <c r="Q1370" i="34"/>
  <c r="Q1308" i="34"/>
  <c r="Q1246" i="34"/>
  <c r="Q1184" i="34"/>
  <c r="Q1122" i="34"/>
  <c r="Q1060" i="34"/>
  <c r="Q998" i="34"/>
  <c r="Q936" i="34"/>
  <c r="Q874" i="34"/>
  <c r="Q812" i="34"/>
  <c r="Q750" i="34"/>
  <c r="Q688" i="34"/>
  <c r="Q626" i="34"/>
  <c r="Q564" i="34"/>
  <c r="Q502" i="34"/>
  <c r="Q440" i="34"/>
  <c r="Q378" i="34"/>
  <c r="Q316" i="34"/>
  <c r="Q254" i="34"/>
  <c r="I193" i="34"/>
  <c r="I194" i="34" s="1"/>
  <c r="I195" i="34" s="1"/>
  <c r="I196" i="34" s="1"/>
  <c r="I197" i="34" s="1"/>
  <c r="I198" i="34" s="1"/>
  <c r="I199" i="34" s="1"/>
  <c r="I200" i="34" s="1"/>
  <c r="I201" i="34" s="1"/>
  <c r="I202" i="34" s="1"/>
  <c r="I203" i="34" s="1"/>
  <c r="I204" i="34" s="1"/>
  <c r="I205" i="34" s="1"/>
  <c r="I210" i="34" s="1"/>
  <c r="I211" i="34" s="1"/>
  <c r="I212" i="34" s="1"/>
  <c r="I213" i="34" s="1"/>
  <c r="I214" i="34" s="1"/>
  <c r="I215" i="34" s="1"/>
  <c r="I216" i="34" s="1"/>
  <c r="I217" i="34" s="1"/>
  <c r="I218" i="34" s="1"/>
  <c r="I219" i="34" s="1"/>
  <c r="I224" i="34" s="1"/>
  <c r="I225" i="34" s="1"/>
  <c r="I230" i="34" s="1"/>
  <c r="I231" i="34" s="1"/>
  <c r="I232" i="34" s="1"/>
  <c r="I233" i="34" s="1"/>
  <c r="I234" i="34" s="1"/>
  <c r="I235" i="34" s="1"/>
  <c r="I236" i="34" s="1"/>
  <c r="I241" i="34" s="1"/>
  <c r="I242" i="34" s="1"/>
  <c r="I243" i="34" s="1"/>
  <c r="I244" i="34" s="1"/>
  <c r="I245" i="34" s="1"/>
  <c r="I246" i="34" s="1"/>
  <c r="I247" i="34" s="1"/>
  <c r="O558" i="34"/>
  <c r="O660" i="34"/>
  <c r="O795" i="34"/>
  <c r="O806" i="34"/>
  <c r="O908" i="34"/>
  <c r="O992" i="34"/>
  <c r="O1012" i="34"/>
  <c r="O1043" i="34"/>
  <c r="O1054" i="34"/>
  <c r="O1136" i="34"/>
  <c r="O1150" i="34"/>
  <c r="O1178" i="34"/>
  <c r="O1302" i="34"/>
  <c r="O1384" i="34"/>
  <c r="O1398" i="34"/>
  <c r="O1550" i="34"/>
  <c r="O1652" i="34"/>
  <c r="O1708" i="34"/>
  <c r="O654" i="34"/>
  <c r="O733" i="34"/>
  <c r="O744" i="34"/>
  <c r="O826" i="34"/>
  <c r="O840" i="34"/>
  <c r="O902" i="34"/>
  <c r="O950" i="34"/>
  <c r="O981" i="34"/>
  <c r="O1094" i="34"/>
  <c r="O1240" i="34"/>
  <c r="O1415" i="34"/>
  <c r="O1488" i="34"/>
  <c r="O1646" i="34"/>
  <c r="O1694" i="34"/>
  <c r="O1725" i="34"/>
  <c r="O1736" i="34"/>
  <c r="O640" i="34"/>
  <c r="O682" i="34"/>
  <c r="O722" i="34"/>
  <c r="O784" i="34"/>
  <c r="O857" i="34"/>
  <c r="O888" i="34"/>
  <c r="O930" i="34"/>
  <c r="O970" i="34"/>
  <c r="O1032" i="34"/>
  <c r="O1088" i="34"/>
  <c r="O1167" i="34"/>
  <c r="O1426" i="34"/>
  <c r="O1632" i="34"/>
  <c r="O1663" i="34"/>
  <c r="O1674" i="34"/>
  <c r="O144" i="34"/>
  <c r="O175" i="34"/>
  <c r="O186" i="34"/>
  <c r="O310" i="34"/>
  <c r="O372" i="34"/>
  <c r="O102" i="34"/>
  <c r="O164" i="34"/>
  <c r="O113" i="34"/>
  <c r="O82" i="34"/>
  <c r="O34" i="34"/>
  <c r="O226" i="34"/>
  <c r="O96" i="34"/>
  <c r="O158" i="34"/>
  <c r="O220" i="34"/>
  <c r="O124" i="34"/>
  <c r="O206" i="34"/>
  <c r="O237" i="34"/>
  <c r="O248" i="34"/>
  <c r="O20" i="34"/>
  <c r="O51" i="34"/>
  <c r="O62" i="34"/>
  <c r="O40" i="34"/>
  <c r="F4" i="33"/>
  <c r="F5" i="33" l="1"/>
  <c r="L126" i="34" s="1"/>
  <c r="L64" i="34"/>
  <c r="N27" i="36"/>
  <c r="Q441" i="34"/>
  <c r="Q442" i="34" s="1"/>
  <c r="Q443" i="34" s="1"/>
  <c r="Q444" i="34" s="1"/>
  <c r="Q445" i="34" s="1"/>
  <c r="Q446" i="34" s="1"/>
  <c r="Q447" i="34" s="1"/>
  <c r="Q448" i="34" s="1"/>
  <c r="Q449" i="34" s="1"/>
  <c r="Q450" i="34" s="1"/>
  <c r="Q451" i="34" s="1"/>
  <c r="Q452" i="34" s="1"/>
  <c r="Q453" i="34" s="1"/>
  <c r="Q458" i="34"/>
  <c r="Q459" i="34" s="1"/>
  <c r="Q460" i="34" s="1"/>
  <c r="Q461" i="34" s="1"/>
  <c r="Q462" i="34" s="1"/>
  <c r="Q463" i="34" s="1"/>
  <c r="Q464" i="34" s="1"/>
  <c r="Q465" i="34" s="1"/>
  <c r="Q466" i="34" s="1"/>
  <c r="Q467" i="34" s="1"/>
  <c r="Q472" i="34" s="1"/>
  <c r="Q473" i="34" s="1"/>
  <c r="Q478" i="34" s="1"/>
  <c r="Q479" i="34" s="1"/>
  <c r="Q480" i="34" s="1"/>
  <c r="Q481" i="34" s="1"/>
  <c r="Q482" i="34" s="1"/>
  <c r="Q483" i="34" s="1"/>
  <c r="Q484" i="34" s="1"/>
  <c r="Q489" i="34" s="1"/>
  <c r="Q490" i="34" s="1"/>
  <c r="Q491" i="34" s="1"/>
  <c r="Q492" i="34" s="1"/>
  <c r="Q493" i="34" s="1"/>
  <c r="Q494" i="34" s="1"/>
  <c r="Q495" i="34" s="1"/>
  <c r="Q689" i="34"/>
  <c r="Q690" i="34" s="1"/>
  <c r="Q691" i="34" s="1"/>
  <c r="Q692" i="34" s="1"/>
  <c r="Q693" i="34" s="1"/>
  <c r="Q694" i="34" s="1"/>
  <c r="Q695" i="34" s="1"/>
  <c r="Q696" i="34" s="1"/>
  <c r="Q697" i="34" s="1"/>
  <c r="Q698" i="34" s="1"/>
  <c r="Q699" i="34" s="1"/>
  <c r="Q700" i="34" s="1"/>
  <c r="Q701" i="34" s="1"/>
  <c r="Q706" i="34"/>
  <c r="Q707" i="34" s="1"/>
  <c r="Q708" i="34" s="1"/>
  <c r="Q709" i="34" s="1"/>
  <c r="Q710" i="34" s="1"/>
  <c r="Q711" i="34" s="1"/>
  <c r="Q712" i="34" s="1"/>
  <c r="Q713" i="34" s="1"/>
  <c r="Q714" i="34" s="1"/>
  <c r="Q715" i="34" s="1"/>
  <c r="Q720" i="34" s="1"/>
  <c r="Q721" i="34" s="1"/>
  <c r="Q726" i="34" s="1"/>
  <c r="Q727" i="34" s="1"/>
  <c r="Q728" i="34" s="1"/>
  <c r="Q729" i="34" s="1"/>
  <c r="Q730" i="34" s="1"/>
  <c r="Q731" i="34" s="1"/>
  <c r="Q732" i="34" s="1"/>
  <c r="Q737" i="34" s="1"/>
  <c r="Q738" i="34" s="1"/>
  <c r="Q739" i="34" s="1"/>
  <c r="Q740" i="34" s="1"/>
  <c r="Q741" i="34" s="1"/>
  <c r="Q742" i="34" s="1"/>
  <c r="Q743" i="34" s="1"/>
  <c r="Q954" i="34"/>
  <c r="Q955" i="34" s="1"/>
  <c r="Q956" i="34" s="1"/>
  <c r="Q957" i="34" s="1"/>
  <c r="Q958" i="34" s="1"/>
  <c r="Q959" i="34" s="1"/>
  <c r="Q960" i="34" s="1"/>
  <c r="Q961" i="34" s="1"/>
  <c r="Q962" i="34" s="1"/>
  <c r="Q963" i="34" s="1"/>
  <c r="Q968" i="34" s="1"/>
  <c r="Q969" i="34" s="1"/>
  <c r="Q974" i="34" s="1"/>
  <c r="Q975" i="34" s="1"/>
  <c r="Q976" i="34" s="1"/>
  <c r="Q977" i="34" s="1"/>
  <c r="Q978" i="34" s="1"/>
  <c r="Q979" i="34" s="1"/>
  <c r="Q980" i="34" s="1"/>
  <c r="Q985" i="34" s="1"/>
  <c r="Q986" i="34" s="1"/>
  <c r="Q987" i="34" s="1"/>
  <c r="Q988" i="34" s="1"/>
  <c r="Q989" i="34" s="1"/>
  <c r="Q990" i="34" s="1"/>
  <c r="Q991" i="34" s="1"/>
  <c r="Q937" i="34"/>
  <c r="Q938" i="34" s="1"/>
  <c r="Q939" i="34" s="1"/>
  <c r="Q940" i="34" s="1"/>
  <c r="Q941" i="34" s="1"/>
  <c r="Q942" i="34" s="1"/>
  <c r="Q943" i="34" s="1"/>
  <c r="Q944" i="34" s="1"/>
  <c r="Q945" i="34" s="1"/>
  <c r="Q946" i="34" s="1"/>
  <c r="Q947" i="34" s="1"/>
  <c r="Q948" i="34" s="1"/>
  <c r="Q949" i="34" s="1"/>
  <c r="Q1185" i="34"/>
  <c r="Q1186" i="34" s="1"/>
  <c r="Q1187" i="34" s="1"/>
  <c r="Q1188" i="34" s="1"/>
  <c r="Q1189" i="34" s="1"/>
  <c r="Q1190" i="34" s="1"/>
  <c r="Q1191" i="34" s="1"/>
  <c r="Q1192" i="34" s="1"/>
  <c r="Q1193" i="34" s="1"/>
  <c r="Q1194" i="34" s="1"/>
  <c r="Q1195" i="34" s="1"/>
  <c r="Q1196" i="34" s="1"/>
  <c r="Q1197" i="34" s="1"/>
  <c r="Q1202" i="34"/>
  <c r="Q1203" i="34" s="1"/>
  <c r="Q1204" i="34" s="1"/>
  <c r="Q1205" i="34" s="1"/>
  <c r="Q1206" i="34" s="1"/>
  <c r="Q1207" i="34" s="1"/>
  <c r="Q1208" i="34" s="1"/>
  <c r="Q1209" i="34" s="1"/>
  <c r="Q1210" i="34" s="1"/>
  <c r="Q1211" i="34" s="1"/>
  <c r="Q1216" i="34" s="1"/>
  <c r="Q1217" i="34" s="1"/>
  <c r="Q1222" i="34" s="1"/>
  <c r="Q1223" i="34" s="1"/>
  <c r="Q1224" i="34" s="1"/>
  <c r="Q1225" i="34" s="1"/>
  <c r="Q1226" i="34" s="1"/>
  <c r="Q1227" i="34" s="1"/>
  <c r="Q1228" i="34" s="1"/>
  <c r="Q1233" i="34" s="1"/>
  <c r="Q1234" i="34" s="1"/>
  <c r="Q1235" i="34" s="1"/>
  <c r="Q1236" i="34" s="1"/>
  <c r="Q1237" i="34" s="1"/>
  <c r="Q1238" i="34" s="1"/>
  <c r="Q1239" i="34" s="1"/>
  <c r="Q1450" i="34"/>
  <c r="Q1451" i="34" s="1"/>
  <c r="Q1452" i="34" s="1"/>
  <c r="Q1453" i="34" s="1"/>
  <c r="Q1454" i="34" s="1"/>
  <c r="Q1455" i="34" s="1"/>
  <c r="Q1456" i="34" s="1"/>
  <c r="Q1457" i="34" s="1"/>
  <c r="Q1458" i="34" s="1"/>
  <c r="Q1459" i="34" s="1"/>
  <c r="Q1464" i="34" s="1"/>
  <c r="Q1465" i="34" s="1"/>
  <c r="Q1470" i="34" s="1"/>
  <c r="Q1471" i="34" s="1"/>
  <c r="Q1472" i="34" s="1"/>
  <c r="Q1473" i="34" s="1"/>
  <c r="Q1474" i="34" s="1"/>
  <c r="Q1475" i="34" s="1"/>
  <c r="Q1476" i="34" s="1"/>
  <c r="Q1481" i="34" s="1"/>
  <c r="Q1482" i="34" s="1"/>
  <c r="Q1483" i="34" s="1"/>
  <c r="Q1484" i="34" s="1"/>
  <c r="Q1485" i="34" s="1"/>
  <c r="Q1486" i="34" s="1"/>
  <c r="Q1487" i="34" s="1"/>
  <c r="Q1433" i="34"/>
  <c r="Q1434" i="34" s="1"/>
  <c r="Q1435" i="34" s="1"/>
  <c r="Q1436" i="34" s="1"/>
  <c r="Q1437" i="34" s="1"/>
  <c r="Q1438" i="34" s="1"/>
  <c r="Q1439" i="34" s="1"/>
  <c r="Q1440" i="34" s="1"/>
  <c r="Q1441" i="34" s="1"/>
  <c r="Q1442" i="34" s="1"/>
  <c r="Q1443" i="34" s="1"/>
  <c r="Q1444" i="34" s="1"/>
  <c r="Q1445" i="34" s="1"/>
  <c r="Q272" i="34"/>
  <c r="Q273" i="34" s="1"/>
  <c r="Q274" i="34" s="1"/>
  <c r="Q275" i="34" s="1"/>
  <c r="Q276" i="34" s="1"/>
  <c r="Q277" i="34" s="1"/>
  <c r="Q278" i="34" s="1"/>
  <c r="Q279" i="34" s="1"/>
  <c r="Q280" i="34" s="1"/>
  <c r="Q281" i="34" s="1"/>
  <c r="Q286" i="34" s="1"/>
  <c r="Q287" i="34" s="1"/>
  <c r="Q292" i="34" s="1"/>
  <c r="Q293" i="34" s="1"/>
  <c r="Q294" i="34" s="1"/>
  <c r="Q295" i="34" s="1"/>
  <c r="Q296" i="34" s="1"/>
  <c r="Q297" i="34" s="1"/>
  <c r="Q298" i="34" s="1"/>
  <c r="Q303" i="34" s="1"/>
  <c r="Q304" i="34" s="1"/>
  <c r="Q305" i="34" s="1"/>
  <c r="Q306" i="34" s="1"/>
  <c r="Q307" i="34" s="1"/>
  <c r="Q308" i="34" s="1"/>
  <c r="Q309" i="34" s="1"/>
  <c r="Q255" i="34"/>
  <c r="Q256" i="34" s="1"/>
  <c r="Q257" i="34" s="1"/>
  <c r="Q258" i="34" s="1"/>
  <c r="Q259" i="34" s="1"/>
  <c r="Q260" i="34" s="1"/>
  <c r="Q261" i="34" s="1"/>
  <c r="Q262" i="34" s="1"/>
  <c r="Q263" i="34" s="1"/>
  <c r="Q264" i="34" s="1"/>
  <c r="Q265" i="34" s="1"/>
  <c r="Q266" i="34" s="1"/>
  <c r="Q267" i="34" s="1"/>
  <c r="Q520" i="34"/>
  <c r="Q521" i="34" s="1"/>
  <c r="Q522" i="34" s="1"/>
  <c r="Q523" i="34" s="1"/>
  <c r="Q524" i="34" s="1"/>
  <c r="Q525" i="34" s="1"/>
  <c r="Q526" i="34" s="1"/>
  <c r="Q527" i="34" s="1"/>
  <c r="Q528" i="34" s="1"/>
  <c r="Q529" i="34" s="1"/>
  <c r="Q534" i="34" s="1"/>
  <c r="Q535" i="34" s="1"/>
  <c r="Q540" i="34" s="1"/>
  <c r="Q541" i="34" s="1"/>
  <c r="Q542" i="34" s="1"/>
  <c r="Q543" i="34" s="1"/>
  <c r="Q544" i="34" s="1"/>
  <c r="Q545" i="34" s="1"/>
  <c r="Q546" i="34" s="1"/>
  <c r="Q551" i="34" s="1"/>
  <c r="Q552" i="34" s="1"/>
  <c r="Q553" i="34" s="1"/>
  <c r="Q554" i="34" s="1"/>
  <c r="Q555" i="34" s="1"/>
  <c r="Q556" i="34" s="1"/>
  <c r="Q557" i="34" s="1"/>
  <c r="Q503" i="34"/>
  <c r="Q504" i="34" s="1"/>
  <c r="Q505" i="34" s="1"/>
  <c r="Q506" i="34" s="1"/>
  <c r="Q507" i="34" s="1"/>
  <c r="Q508" i="34" s="1"/>
  <c r="Q509" i="34" s="1"/>
  <c r="Q510" i="34" s="1"/>
  <c r="Q511" i="34" s="1"/>
  <c r="Q512" i="34" s="1"/>
  <c r="Q513" i="34" s="1"/>
  <c r="Q514" i="34" s="1"/>
  <c r="Q515" i="34" s="1"/>
  <c r="Q768" i="34"/>
  <c r="Q769" i="34" s="1"/>
  <c r="Q770" i="34" s="1"/>
  <c r="Q771" i="34" s="1"/>
  <c r="Q772" i="34" s="1"/>
  <c r="Q773" i="34" s="1"/>
  <c r="Q774" i="34" s="1"/>
  <c r="Q775" i="34" s="1"/>
  <c r="Q776" i="34" s="1"/>
  <c r="Q777" i="34" s="1"/>
  <c r="Q782" i="34" s="1"/>
  <c r="Q783" i="34" s="1"/>
  <c r="Q788" i="34" s="1"/>
  <c r="Q789" i="34" s="1"/>
  <c r="Q790" i="34" s="1"/>
  <c r="Q791" i="34" s="1"/>
  <c r="Q792" i="34" s="1"/>
  <c r="Q793" i="34" s="1"/>
  <c r="Q794" i="34" s="1"/>
  <c r="Q799" i="34" s="1"/>
  <c r="Q800" i="34" s="1"/>
  <c r="Q801" i="34" s="1"/>
  <c r="Q802" i="34" s="1"/>
  <c r="Q803" i="34" s="1"/>
  <c r="Q804" i="34" s="1"/>
  <c r="Q805" i="34" s="1"/>
  <c r="Q751" i="34"/>
  <c r="Q752" i="34" s="1"/>
  <c r="Q753" i="34" s="1"/>
  <c r="Q754" i="34" s="1"/>
  <c r="Q755" i="34" s="1"/>
  <c r="Q756" i="34" s="1"/>
  <c r="Q757" i="34" s="1"/>
  <c r="Q758" i="34" s="1"/>
  <c r="Q759" i="34" s="1"/>
  <c r="Q760" i="34" s="1"/>
  <c r="Q761" i="34" s="1"/>
  <c r="Q762" i="34" s="1"/>
  <c r="Q763" i="34" s="1"/>
  <c r="Q1016" i="34"/>
  <c r="Q1017" i="34" s="1"/>
  <c r="Q1018" i="34" s="1"/>
  <c r="Q1019" i="34" s="1"/>
  <c r="Q1020" i="34" s="1"/>
  <c r="Q1021" i="34" s="1"/>
  <c r="Q1022" i="34" s="1"/>
  <c r="Q1023" i="34" s="1"/>
  <c r="Q1024" i="34" s="1"/>
  <c r="Q1025" i="34" s="1"/>
  <c r="Q1030" i="34" s="1"/>
  <c r="Q1031" i="34" s="1"/>
  <c r="Q1036" i="34" s="1"/>
  <c r="Q1037" i="34" s="1"/>
  <c r="Q1038" i="34" s="1"/>
  <c r="Q1039" i="34" s="1"/>
  <c r="Q1040" i="34" s="1"/>
  <c r="Q1041" i="34" s="1"/>
  <c r="Q1042" i="34" s="1"/>
  <c r="Q1047" i="34" s="1"/>
  <c r="Q1048" i="34" s="1"/>
  <c r="Q1049" i="34" s="1"/>
  <c r="Q1050" i="34" s="1"/>
  <c r="Q1051" i="34" s="1"/>
  <c r="Q1052" i="34" s="1"/>
  <c r="Q1053" i="34" s="1"/>
  <c r="Q999" i="34"/>
  <c r="Q1000" i="34" s="1"/>
  <c r="Q1001" i="34" s="1"/>
  <c r="Q1002" i="34" s="1"/>
  <c r="Q1003" i="34" s="1"/>
  <c r="Q1004" i="34" s="1"/>
  <c r="Q1005" i="34" s="1"/>
  <c r="Q1006" i="34" s="1"/>
  <c r="Q1007" i="34" s="1"/>
  <c r="Q1008" i="34" s="1"/>
  <c r="Q1009" i="34" s="1"/>
  <c r="Q1010" i="34" s="1"/>
  <c r="Q1011" i="34" s="1"/>
  <c r="Q1264" i="34"/>
  <c r="Q1265" i="34" s="1"/>
  <c r="Q1266" i="34" s="1"/>
  <c r="Q1267" i="34" s="1"/>
  <c r="Q1268" i="34" s="1"/>
  <c r="Q1269" i="34" s="1"/>
  <c r="Q1270" i="34" s="1"/>
  <c r="Q1271" i="34" s="1"/>
  <c r="Q1272" i="34" s="1"/>
  <c r="Q1273" i="34" s="1"/>
  <c r="Q1278" i="34" s="1"/>
  <c r="Q1279" i="34" s="1"/>
  <c r="Q1284" i="34" s="1"/>
  <c r="Q1285" i="34" s="1"/>
  <c r="Q1286" i="34" s="1"/>
  <c r="Q1287" i="34" s="1"/>
  <c r="Q1288" i="34" s="1"/>
  <c r="Q1289" i="34" s="1"/>
  <c r="Q1290" i="34" s="1"/>
  <c r="Q1295" i="34" s="1"/>
  <c r="Q1296" i="34" s="1"/>
  <c r="Q1297" i="34" s="1"/>
  <c r="Q1298" i="34" s="1"/>
  <c r="Q1299" i="34" s="1"/>
  <c r="Q1300" i="34" s="1"/>
  <c r="Q1301" i="34" s="1"/>
  <c r="Q1247" i="34"/>
  <c r="Q1248" i="34" s="1"/>
  <c r="Q1249" i="34" s="1"/>
  <c r="Q1250" i="34" s="1"/>
  <c r="Q1251" i="34" s="1"/>
  <c r="Q1252" i="34" s="1"/>
  <c r="Q1253" i="34" s="1"/>
  <c r="Q1254" i="34" s="1"/>
  <c r="Q1255" i="34" s="1"/>
  <c r="Q1256" i="34" s="1"/>
  <c r="Q1257" i="34" s="1"/>
  <c r="Q1258" i="34" s="1"/>
  <c r="Q1259" i="34" s="1"/>
  <c r="Q1512" i="34"/>
  <c r="Q1513" i="34" s="1"/>
  <c r="Q1514" i="34" s="1"/>
  <c r="Q1515" i="34" s="1"/>
  <c r="Q1516" i="34" s="1"/>
  <c r="Q1517" i="34" s="1"/>
  <c r="Q1518" i="34" s="1"/>
  <c r="Q1519" i="34" s="1"/>
  <c r="Q1520" i="34" s="1"/>
  <c r="Q1521" i="34" s="1"/>
  <c r="Q1526" i="34" s="1"/>
  <c r="Q1527" i="34" s="1"/>
  <c r="Q1532" i="34" s="1"/>
  <c r="Q1533" i="34" s="1"/>
  <c r="Q1534" i="34" s="1"/>
  <c r="Q1535" i="34" s="1"/>
  <c r="Q1536" i="34" s="1"/>
  <c r="Q1537" i="34" s="1"/>
  <c r="Q1538" i="34" s="1"/>
  <c r="Q1543" i="34" s="1"/>
  <c r="Q1544" i="34" s="1"/>
  <c r="Q1545" i="34" s="1"/>
  <c r="Q1546" i="34" s="1"/>
  <c r="Q1547" i="34" s="1"/>
  <c r="Q1548" i="34" s="1"/>
  <c r="Q1549" i="34" s="1"/>
  <c r="Q1495" i="34"/>
  <c r="Q1496" i="34" s="1"/>
  <c r="Q1497" i="34" s="1"/>
  <c r="Q1498" i="34" s="1"/>
  <c r="Q1499" i="34" s="1"/>
  <c r="Q1500" i="34" s="1"/>
  <c r="Q1501" i="34" s="1"/>
  <c r="Q1502" i="34" s="1"/>
  <c r="Q1503" i="34" s="1"/>
  <c r="Q1504" i="34" s="1"/>
  <c r="Q1505" i="34" s="1"/>
  <c r="Q1506" i="34" s="1"/>
  <c r="Q1507" i="34" s="1"/>
  <c r="Q565" i="34"/>
  <c r="Q566" i="34" s="1"/>
  <c r="Q567" i="34" s="1"/>
  <c r="Q568" i="34" s="1"/>
  <c r="Q569" i="34" s="1"/>
  <c r="Q570" i="34" s="1"/>
  <c r="Q571" i="34" s="1"/>
  <c r="Q572" i="34" s="1"/>
  <c r="Q573" i="34" s="1"/>
  <c r="Q574" i="34" s="1"/>
  <c r="Q575" i="34" s="1"/>
  <c r="Q576" i="34" s="1"/>
  <c r="Q577" i="34" s="1"/>
  <c r="Q582" i="34"/>
  <c r="Q583" i="34" s="1"/>
  <c r="Q584" i="34" s="1"/>
  <c r="Q585" i="34" s="1"/>
  <c r="Q586" i="34" s="1"/>
  <c r="Q587" i="34" s="1"/>
  <c r="Q588" i="34" s="1"/>
  <c r="Q589" i="34" s="1"/>
  <c r="Q590" i="34" s="1"/>
  <c r="Q591" i="34" s="1"/>
  <c r="Q596" i="34" s="1"/>
  <c r="Q597" i="34" s="1"/>
  <c r="Q602" i="34" s="1"/>
  <c r="Q603" i="34" s="1"/>
  <c r="Q604" i="34" s="1"/>
  <c r="Q605" i="34" s="1"/>
  <c r="Q606" i="34" s="1"/>
  <c r="Q607" i="34" s="1"/>
  <c r="Q608" i="34" s="1"/>
  <c r="Q613" i="34" s="1"/>
  <c r="Q614" i="34" s="1"/>
  <c r="Q615" i="34" s="1"/>
  <c r="Q616" i="34" s="1"/>
  <c r="Q617" i="34" s="1"/>
  <c r="Q618" i="34" s="1"/>
  <c r="Q619" i="34" s="1"/>
  <c r="Q1078" i="34"/>
  <c r="Q1079" i="34" s="1"/>
  <c r="Q1080" i="34" s="1"/>
  <c r="Q1081" i="34" s="1"/>
  <c r="Q1082" i="34" s="1"/>
  <c r="Q1083" i="34" s="1"/>
  <c r="Q1084" i="34" s="1"/>
  <c r="Q1085" i="34" s="1"/>
  <c r="Q1086" i="34" s="1"/>
  <c r="Q1087" i="34" s="1"/>
  <c r="Q1092" i="34" s="1"/>
  <c r="Q1093" i="34" s="1"/>
  <c r="Q1098" i="34" s="1"/>
  <c r="Q1099" i="34" s="1"/>
  <c r="Q1100" i="34" s="1"/>
  <c r="Q1101" i="34" s="1"/>
  <c r="Q1102" i="34" s="1"/>
  <c r="Q1103" i="34" s="1"/>
  <c r="Q1104" i="34" s="1"/>
  <c r="Q1109" i="34" s="1"/>
  <c r="Q1110" i="34" s="1"/>
  <c r="Q1111" i="34" s="1"/>
  <c r="Q1112" i="34" s="1"/>
  <c r="Q1113" i="34" s="1"/>
  <c r="Q1114" i="34" s="1"/>
  <c r="Q1115" i="34" s="1"/>
  <c r="Q1061" i="34"/>
  <c r="Q1062" i="34" s="1"/>
  <c r="Q1063" i="34" s="1"/>
  <c r="Q1064" i="34" s="1"/>
  <c r="Q1065" i="34" s="1"/>
  <c r="Q1066" i="34" s="1"/>
  <c r="Q1067" i="34" s="1"/>
  <c r="Q1068" i="34" s="1"/>
  <c r="Q1069" i="34" s="1"/>
  <c r="Q1070" i="34" s="1"/>
  <c r="Q1071" i="34" s="1"/>
  <c r="Q1072" i="34" s="1"/>
  <c r="Q1073" i="34" s="1"/>
  <c r="Q1574" i="34"/>
  <c r="Q1575" i="34" s="1"/>
  <c r="Q1576" i="34" s="1"/>
  <c r="Q1577" i="34" s="1"/>
  <c r="Q1578" i="34" s="1"/>
  <c r="Q1579" i="34" s="1"/>
  <c r="Q1580" i="34" s="1"/>
  <c r="Q1581" i="34" s="1"/>
  <c r="Q1582" i="34" s="1"/>
  <c r="Q1583" i="34" s="1"/>
  <c r="Q1588" i="34" s="1"/>
  <c r="Q1589" i="34" s="1"/>
  <c r="Q1594" i="34" s="1"/>
  <c r="Q1595" i="34" s="1"/>
  <c r="Q1596" i="34" s="1"/>
  <c r="Q1597" i="34" s="1"/>
  <c r="Q1598" i="34" s="1"/>
  <c r="Q1599" i="34" s="1"/>
  <c r="Q1600" i="34" s="1"/>
  <c r="Q1605" i="34" s="1"/>
  <c r="Q1606" i="34" s="1"/>
  <c r="Q1607" i="34" s="1"/>
  <c r="Q1608" i="34" s="1"/>
  <c r="Q1609" i="34" s="1"/>
  <c r="Q1610" i="34" s="1"/>
  <c r="Q1611" i="34" s="1"/>
  <c r="Q1557" i="34"/>
  <c r="Q1558" i="34" s="1"/>
  <c r="Q1559" i="34" s="1"/>
  <c r="Q1560" i="34" s="1"/>
  <c r="Q1561" i="34" s="1"/>
  <c r="Q1562" i="34" s="1"/>
  <c r="Q1563" i="34" s="1"/>
  <c r="Q1564" i="34" s="1"/>
  <c r="Q1565" i="34" s="1"/>
  <c r="Q1566" i="34" s="1"/>
  <c r="Q1567" i="34" s="1"/>
  <c r="Q1568" i="34" s="1"/>
  <c r="Q1569" i="34" s="1"/>
  <c r="Q334" i="34"/>
  <c r="Q335" i="34" s="1"/>
  <c r="Q336" i="34" s="1"/>
  <c r="Q337" i="34" s="1"/>
  <c r="Q338" i="34" s="1"/>
  <c r="Q339" i="34" s="1"/>
  <c r="Q340" i="34" s="1"/>
  <c r="Q341" i="34" s="1"/>
  <c r="Q342" i="34" s="1"/>
  <c r="Q343" i="34" s="1"/>
  <c r="Q348" i="34" s="1"/>
  <c r="Q349" i="34" s="1"/>
  <c r="Q354" i="34" s="1"/>
  <c r="Q355" i="34" s="1"/>
  <c r="Q356" i="34" s="1"/>
  <c r="Q357" i="34" s="1"/>
  <c r="Q358" i="34" s="1"/>
  <c r="Q359" i="34" s="1"/>
  <c r="Q360" i="34" s="1"/>
  <c r="Q365" i="34" s="1"/>
  <c r="Q366" i="34" s="1"/>
  <c r="Q367" i="34" s="1"/>
  <c r="Q368" i="34" s="1"/>
  <c r="Q369" i="34" s="1"/>
  <c r="Q370" i="34" s="1"/>
  <c r="Q371" i="34" s="1"/>
  <c r="Q317" i="34"/>
  <c r="Q318" i="34" s="1"/>
  <c r="Q319" i="34" s="1"/>
  <c r="Q320" i="34" s="1"/>
  <c r="Q321" i="34" s="1"/>
  <c r="Q322" i="34" s="1"/>
  <c r="Q323" i="34" s="1"/>
  <c r="Q324" i="34" s="1"/>
  <c r="Q325" i="34" s="1"/>
  <c r="Q326" i="34" s="1"/>
  <c r="Q327" i="34" s="1"/>
  <c r="Q328" i="34" s="1"/>
  <c r="Q329" i="34" s="1"/>
  <c r="Q813" i="34"/>
  <c r="Q814" i="34" s="1"/>
  <c r="Q815" i="34" s="1"/>
  <c r="Q816" i="34" s="1"/>
  <c r="Q817" i="34" s="1"/>
  <c r="Q818" i="34" s="1"/>
  <c r="Q819" i="34" s="1"/>
  <c r="Q820" i="34" s="1"/>
  <c r="Q821" i="34" s="1"/>
  <c r="Q822" i="34" s="1"/>
  <c r="Q823" i="34" s="1"/>
  <c r="Q824" i="34" s="1"/>
  <c r="Q825" i="34" s="1"/>
  <c r="Q830" i="34"/>
  <c r="Q831" i="34" s="1"/>
  <c r="Q832" i="34" s="1"/>
  <c r="Q833" i="34" s="1"/>
  <c r="Q834" i="34" s="1"/>
  <c r="Q835" i="34" s="1"/>
  <c r="Q836" i="34" s="1"/>
  <c r="Q837" i="34" s="1"/>
  <c r="Q838" i="34" s="1"/>
  <c r="Q839" i="34" s="1"/>
  <c r="Q844" i="34" s="1"/>
  <c r="Q845" i="34" s="1"/>
  <c r="Q850" i="34" s="1"/>
  <c r="Q851" i="34" s="1"/>
  <c r="Q852" i="34" s="1"/>
  <c r="Q853" i="34" s="1"/>
  <c r="Q854" i="34" s="1"/>
  <c r="Q855" i="34" s="1"/>
  <c r="Q856" i="34" s="1"/>
  <c r="Q861" i="34" s="1"/>
  <c r="Q862" i="34" s="1"/>
  <c r="Q863" i="34" s="1"/>
  <c r="Q864" i="34" s="1"/>
  <c r="Q865" i="34" s="1"/>
  <c r="Q866" i="34" s="1"/>
  <c r="Q867" i="34" s="1"/>
  <c r="Q1309" i="34"/>
  <c r="Q1310" i="34" s="1"/>
  <c r="Q1311" i="34" s="1"/>
  <c r="Q1312" i="34" s="1"/>
  <c r="Q1313" i="34" s="1"/>
  <c r="Q1314" i="34" s="1"/>
  <c r="Q1315" i="34" s="1"/>
  <c r="Q1316" i="34" s="1"/>
  <c r="Q1317" i="34" s="1"/>
  <c r="Q1318" i="34" s="1"/>
  <c r="Q1319" i="34" s="1"/>
  <c r="Q1320" i="34" s="1"/>
  <c r="Q1321" i="34" s="1"/>
  <c r="Q1326" i="34"/>
  <c r="Q1327" i="34" s="1"/>
  <c r="Q1328" i="34" s="1"/>
  <c r="Q1329" i="34" s="1"/>
  <c r="Q1330" i="34" s="1"/>
  <c r="Q1331" i="34" s="1"/>
  <c r="Q1332" i="34" s="1"/>
  <c r="Q1333" i="34" s="1"/>
  <c r="Q1334" i="34" s="1"/>
  <c r="Q1335" i="34" s="1"/>
  <c r="Q1340" i="34" s="1"/>
  <c r="Q1341" i="34" s="1"/>
  <c r="Q1346" i="34" s="1"/>
  <c r="Q1347" i="34" s="1"/>
  <c r="Q1348" i="34" s="1"/>
  <c r="Q1349" i="34" s="1"/>
  <c r="Q1350" i="34" s="1"/>
  <c r="Q1351" i="34" s="1"/>
  <c r="Q1352" i="34" s="1"/>
  <c r="Q1357" i="34" s="1"/>
  <c r="Q1358" i="34" s="1"/>
  <c r="Q1359" i="34" s="1"/>
  <c r="Q1360" i="34" s="1"/>
  <c r="Q1361" i="34" s="1"/>
  <c r="Q1362" i="34" s="1"/>
  <c r="Q1363" i="34" s="1"/>
  <c r="Q396" i="34"/>
  <c r="Q397" i="34" s="1"/>
  <c r="Q398" i="34" s="1"/>
  <c r="Q399" i="34" s="1"/>
  <c r="Q400" i="34" s="1"/>
  <c r="Q401" i="34" s="1"/>
  <c r="Q402" i="34" s="1"/>
  <c r="Q403" i="34" s="1"/>
  <c r="Q404" i="34" s="1"/>
  <c r="Q405" i="34" s="1"/>
  <c r="Q410" i="34" s="1"/>
  <c r="Q411" i="34" s="1"/>
  <c r="Q416" i="34" s="1"/>
  <c r="Q417" i="34" s="1"/>
  <c r="Q418" i="34" s="1"/>
  <c r="Q419" i="34" s="1"/>
  <c r="Q420" i="34" s="1"/>
  <c r="Q421" i="34" s="1"/>
  <c r="Q422" i="34" s="1"/>
  <c r="Q427" i="34" s="1"/>
  <c r="Q428" i="34" s="1"/>
  <c r="Q429" i="34" s="1"/>
  <c r="Q430" i="34" s="1"/>
  <c r="Q431" i="34" s="1"/>
  <c r="Q432" i="34" s="1"/>
  <c r="Q433" i="34" s="1"/>
  <c r="Q379" i="34"/>
  <c r="Q380" i="34" s="1"/>
  <c r="Q381" i="34" s="1"/>
  <c r="Q382" i="34" s="1"/>
  <c r="Q383" i="34" s="1"/>
  <c r="Q384" i="34" s="1"/>
  <c r="Q385" i="34" s="1"/>
  <c r="Q386" i="34" s="1"/>
  <c r="Q387" i="34" s="1"/>
  <c r="Q388" i="34" s="1"/>
  <c r="Q389" i="34" s="1"/>
  <c r="Q390" i="34" s="1"/>
  <c r="Q391" i="34" s="1"/>
  <c r="Q627" i="34"/>
  <c r="Q628" i="34" s="1"/>
  <c r="Q629" i="34" s="1"/>
  <c r="Q630" i="34" s="1"/>
  <c r="Q631" i="34" s="1"/>
  <c r="Q632" i="34" s="1"/>
  <c r="Q633" i="34" s="1"/>
  <c r="Q634" i="34" s="1"/>
  <c r="Q635" i="34" s="1"/>
  <c r="Q636" i="34" s="1"/>
  <c r="Q637" i="34" s="1"/>
  <c r="Q638" i="34" s="1"/>
  <c r="Q639" i="34" s="1"/>
  <c r="Q644" i="34"/>
  <c r="Q645" i="34" s="1"/>
  <c r="Q646" i="34" s="1"/>
  <c r="Q647" i="34" s="1"/>
  <c r="Q648" i="34" s="1"/>
  <c r="Q649" i="34" s="1"/>
  <c r="Q650" i="34" s="1"/>
  <c r="Q651" i="34" s="1"/>
  <c r="Q652" i="34" s="1"/>
  <c r="Q653" i="34" s="1"/>
  <c r="Q658" i="34" s="1"/>
  <c r="Q659" i="34" s="1"/>
  <c r="Q664" i="34" s="1"/>
  <c r="Q665" i="34" s="1"/>
  <c r="Q666" i="34" s="1"/>
  <c r="Q667" i="34" s="1"/>
  <c r="Q668" i="34" s="1"/>
  <c r="Q669" i="34" s="1"/>
  <c r="Q670" i="34" s="1"/>
  <c r="Q675" i="34" s="1"/>
  <c r="Q676" i="34" s="1"/>
  <c r="Q677" i="34" s="1"/>
  <c r="Q678" i="34" s="1"/>
  <c r="Q679" i="34" s="1"/>
  <c r="Q680" i="34" s="1"/>
  <c r="Q681" i="34" s="1"/>
  <c r="Q875" i="34"/>
  <c r="Q876" i="34" s="1"/>
  <c r="Q877" i="34" s="1"/>
  <c r="Q878" i="34" s="1"/>
  <c r="Q879" i="34" s="1"/>
  <c r="Q880" i="34" s="1"/>
  <c r="Q881" i="34" s="1"/>
  <c r="Q882" i="34" s="1"/>
  <c r="Q883" i="34" s="1"/>
  <c r="Q884" i="34" s="1"/>
  <c r="Q885" i="34" s="1"/>
  <c r="Q886" i="34" s="1"/>
  <c r="Q887" i="34" s="1"/>
  <c r="Q892" i="34"/>
  <c r="Q893" i="34" s="1"/>
  <c r="Q894" i="34" s="1"/>
  <c r="Q895" i="34" s="1"/>
  <c r="Q896" i="34" s="1"/>
  <c r="Q897" i="34" s="1"/>
  <c r="Q898" i="34" s="1"/>
  <c r="Q899" i="34" s="1"/>
  <c r="Q900" i="34" s="1"/>
  <c r="Q901" i="34" s="1"/>
  <c r="Q906" i="34" s="1"/>
  <c r="Q907" i="34" s="1"/>
  <c r="Q912" i="34" s="1"/>
  <c r="Q913" i="34" s="1"/>
  <c r="Q914" i="34" s="1"/>
  <c r="Q915" i="34" s="1"/>
  <c r="Q916" i="34" s="1"/>
  <c r="Q917" i="34" s="1"/>
  <c r="Q918" i="34" s="1"/>
  <c r="Q923" i="34" s="1"/>
  <c r="Q924" i="34" s="1"/>
  <c r="Q925" i="34" s="1"/>
  <c r="Q926" i="34" s="1"/>
  <c r="Q927" i="34" s="1"/>
  <c r="Q928" i="34" s="1"/>
  <c r="Q929" i="34" s="1"/>
  <c r="Q1140" i="34"/>
  <c r="Q1141" i="34" s="1"/>
  <c r="Q1142" i="34" s="1"/>
  <c r="Q1143" i="34" s="1"/>
  <c r="Q1144" i="34" s="1"/>
  <c r="Q1145" i="34" s="1"/>
  <c r="Q1146" i="34" s="1"/>
  <c r="Q1147" i="34" s="1"/>
  <c r="Q1148" i="34" s="1"/>
  <c r="Q1149" i="34" s="1"/>
  <c r="Q1154" i="34" s="1"/>
  <c r="Q1155" i="34" s="1"/>
  <c r="Q1160" i="34" s="1"/>
  <c r="Q1161" i="34" s="1"/>
  <c r="Q1162" i="34" s="1"/>
  <c r="Q1163" i="34" s="1"/>
  <c r="Q1164" i="34" s="1"/>
  <c r="Q1165" i="34" s="1"/>
  <c r="Q1166" i="34" s="1"/>
  <c r="Q1171" i="34" s="1"/>
  <c r="Q1172" i="34" s="1"/>
  <c r="Q1173" i="34" s="1"/>
  <c r="Q1174" i="34" s="1"/>
  <c r="Q1175" i="34" s="1"/>
  <c r="Q1176" i="34" s="1"/>
  <c r="Q1177" i="34" s="1"/>
  <c r="Q1123" i="34"/>
  <c r="Q1124" i="34" s="1"/>
  <c r="Q1125" i="34" s="1"/>
  <c r="Q1126" i="34" s="1"/>
  <c r="Q1127" i="34" s="1"/>
  <c r="Q1128" i="34" s="1"/>
  <c r="Q1129" i="34" s="1"/>
  <c r="Q1130" i="34" s="1"/>
  <c r="Q1131" i="34" s="1"/>
  <c r="Q1132" i="34" s="1"/>
  <c r="Q1133" i="34" s="1"/>
  <c r="Q1134" i="34" s="1"/>
  <c r="Q1135" i="34" s="1"/>
  <c r="Q1388" i="34"/>
  <c r="Q1389" i="34" s="1"/>
  <c r="Q1390" i="34" s="1"/>
  <c r="Q1391" i="34" s="1"/>
  <c r="Q1392" i="34" s="1"/>
  <c r="Q1393" i="34" s="1"/>
  <c r="Q1394" i="34" s="1"/>
  <c r="Q1395" i="34" s="1"/>
  <c r="Q1396" i="34" s="1"/>
  <c r="Q1397" i="34" s="1"/>
  <c r="Q1402" i="34" s="1"/>
  <c r="Q1403" i="34" s="1"/>
  <c r="Q1408" i="34" s="1"/>
  <c r="Q1409" i="34" s="1"/>
  <c r="Q1410" i="34" s="1"/>
  <c r="Q1411" i="34" s="1"/>
  <c r="Q1412" i="34" s="1"/>
  <c r="Q1413" i="34" s="1"/>
  <c r="Q1414" i="34" s="1"/>
  <c r="Q1419" i="34" s="1"/>
  <c r="Q1420" i="34" s="1"/>
  <c r="Q1421" i="34" s="1"/>
  <c r="Q1422" i="34" s="1"/>
  <c r="Q1423" i="34" s="1"/>
  <c r="Q1424" i="34" s="1"/>
  <c r="Q1425" i="34" s="1"/>
  <c r="Q1371" i="34"/>
  <c r="Q1372" i="34" s="1"/>
  <c r="Q1373" i="34" s="1"/>
  <c r="Q1374" i="34" s="1"/>
  <c r="Q1375" i="34" s="1"/>
  <c r="Q1376" i="34" s="1"/>
  <c r="Q1377" i="34" s="1"/>
  <c r="Q1378" i="34" s="1"/>
  <c r="Q1379" i="34" s="1"/>
  <c r="Q1380" i="34" s="1"/>
  <c r="Q1381" i="34" s="1"/>
  <c r="Q1382" i="34" s="1"/>
  <c r="Q1383" i="34" s="1"/>
  <c r="Q1636" i="34"/>
  <c r="Q1637" i="34" s="1"/>
  <c r="Q1638" i="34" s="1"/>
  <c r="Q1639" i="34" s="1"/>
  <c r="Q1640" i="34" s="1"/>
  <c r="Q1641" i="34" s="1"/>
  <c r="Q1642" i="34" s="1"/>
  <c r="Q1643" i="34" s="1"/>
  <c r="Q1644" i="34" s="1"/>
  <c r="Q1645" i="34" s="1"/>
  <c r="Q1650" i="34" s="1"/>
  <c r="Q1651" i="34" s="1"/>
  <c r="Q1656" i="34" s="1"/>
  <c r="Q1657" i="34" s="1"/>
  <c r="Q1658" i="34" s="1"/>
  <c r="Q1659" i="34" s="1"/>
  <c r="Q1660" i="34" s="1"/>
  <c r="Q1661" i="34" s="1"/>
  <c r="Q1662" i="34" s="1"/>
  <c r="Q1667" i="34" s="1"/>
  <c r="Q1668" i="34" s="1"/>
  <c r="Q1669" i="34" s="1"/>
  <c r="Q1670" i="34" s="1"/>
  <c r="Q1671" i="34" s="1"/>
  <c r="Q1672" i="34" s="1"/>
  <c r="Q1673" i="34" s="1"/>
  <c r="Q1619" i="34"/>
  <c r="Q1620" i="34" s="1"/>
  <c r="Q1621" i="34" s="1"/>
  <c r="Q1622" i="34" s="1"/>
  <c r="Q1623" i="34" s="1"/>
  <c r="Q1624" i="34" s="1"/>
  <c r="Q1625" i="34" s="1"/>
  <c r="Q1626" i="34" s="1"/>
  <c r="Q1627" i="34" s="1"/>
  <c r="Q1628" i="34" s="1"/>
  <c r="Q1629" i="34" s="1"/>
  <c r="Q1630" i="34" s="1"/>
  <c r="Q1631" i="34" s="1"/>
  <c r="Q148" i="34"/>
  <c r="Q149" i="34" s="1"/>
  <c r="Q150" i="34" s="1"/>
  <c r="Q151" i="34" s="1"/>
  <c r="Q152" i="34" s="1"/>
  <c r="Q153" i="34" s="1"/>
  <c r="Q154" i="34" s="1"/>
  <c r="Q155" i="34" s="1"/>
  <c r="Q156" i="34" s="1"/>
  <c r="Q157" i="34" s="1"/>
  <c r="Q162" i="34" s="1"/>
  <c r="Q163" i="34" s="1"/>
  <c r="Q168" i="34" s="1"/>
  <c r="Q169" i="34" s="1"/>
  <c r="Q170" i="34" s="1"/>
  <c r="Q171" i="34" s="1"/>
  <c r="Q172" i="34" s="1"/>
  <c r="Q173" i="34" s="1"/>
  <c r="Q174" i="34" s="1"/>
  <c r="Q179" i="34" s="1"/>
  <c r="Q180" i="34" s="1"/>
  <c r="Q181" i="34" s="1"/>
  <c r="Q182" i="34" s="1"/>
  <c r="Q183" i="34" s="1"/>
  <c r="Q184" i="34" s="1"/>
  <c r="Q185" i="34" s="1"/>
  <c r="Q131" i="34"/>
  <c r="Q132" i="34" s="1"/>
  <c r="Q133" i="34" s="1"/>
  <c r="Q134" i="34" s="1"/>
  <c r="Q135" i="34" s="1"/>
  <c r="Q136" i="34" s="1"/>
  <c r="Q137" i="34" s="1"/>
  <c r="Q138" i="34" s="1"/>
  <c r="Q139" i="34" s="1"/>
  <c r="Q140" i="34" s="1"/>
  <c r="Q141" i="34" s="1"/>
  <c r="Q142" i="34" s="1"/>
  <c r="Q143" i="34" s="1"/>
  <c r="F6" i="33"/>
  <c r="Q68" i="34"/>
  <c r="Q1680" i="34"/>
  <c r="I48" i="34"/>
  <c r="BC2" i="32"/>
  <c r="BF2" i="32"/>
  <c r="F7" i="33" l="1"/>
  <c r="L188" i="34"/>
  <c r="Q192" i="34" s="1"/>
  <c r="Q210" i="34" s="1"/>
  <c r="Q211" i="34" s="1"/>
  <c r="Q212" i="34" s="1"/>
  <c r="Q213" i="34" s="1"/>
  <c r="Q214" i="34" s="1"/>
  <c r="Q215" i="34" s="1"/>
  <c r="Q216" i="34" s="1"/>
  <c r="Q217" i="34" s="1"/>
  <c r="Q218" i="34" s="1"/>
  <c r="Q219" i="34" s="1"/>
  <c r="Q224" i="34" s="1"/>
  <c r="Q225" i="34" s="1"/>
  <c r="Q230" i="34" s="1"/>
  <c r="Q231" i="34" s="1"/>
  <c r="Q232" i="34" s="1"/>
  <c r="Q233" i="34" s="1"/>
  <c r="Q234" i="34" s="1"/>
  <c r="Q235" i="34" s="1"/>
  <c r="Q236" i="34" s="1"/>
  <c r="Q241" i="34" s="1"/>
  <c r="Q242" i="34" s="1"/>
  <c r="Q243" i="34" s="1"/>
  <c r="Q244" i="34" s="1"/>
  <c r="Q245" i="34" s="1"/>
  <c r="Q246" i="34" s="1"/>
  <c r="Q247" i="34" s="1"/>
  <c r="BD20" i="32"/>
  <c r="BD6" i="32"/>
  <c r="BE20" i="32"/>
  <c r="BE6" i="32"/>
  <c r="BG2" i="32"/>
  <c r="BH2" i="32"/>
  <c r="BD2" i="32"/>
  <c r="BE2" i="32"/>
  <c r="N28" i="36"/>
  <c r="Q86" i="34"/>
  <c r="Q87" i="34" s="1"/>
  <c r="Q88" i="34" s="1"/>
  <c r="Q89" i="34" s="1"/>
  <c r="Q90" i="34" s="1"/>
  <c r="Q91" i="34" s="1"/>
  <c r="Q92" i="34" s="1"/>
  <c r="Q93" i="34" s="1"/>
  <c r="Q94" i="34" s="1"/>
  <c r="Q95" i="34" s="1"/>
  <c r="Q100" i="34" s="1"/>
  <c r="Q101" i="34" s="1"/>
  <c r="Q106" i="34" s="1"/>
  <c r="Q107" i="34" s="1"/>
  <c r="Q108" i="34" s="1"/>
  <c r="Q109" i="34" s="1"/>
  <c r="Q110" i="34" s="1"/>
  <c r="Q111" i="34" s="1"/>
  <c r="Q112" i="34" s="1"/>
  <c r="Q117" i="34" s="1"/>
  <c r="Q118" i="34" s="1"/>
  <c r="Q119" i="34" s="1"/>
  <c r="Q120" i="34" s="1"/>
  <c r="Q121" i="34" s="1"/>
  <c r="Q122" i="34" s="1"/>
  <c r="Q123" i="34" s="1"/>
  <c r="Q69" i="34"/>
  <c r="Q70" i="34" s="1"/>
  <c r="Q71" i="34" s="1"/>
  <c r="Q72" i="34" s="1"/>
  <c r="Q73" i="34" s="1"/>
  <c r="Q74" i="34" s="1"/>
  <c r="Q75" i="34" s="1"/>
  <c r="Q76" i="34" s="1"/>
  <c r="Q77" i="34" s="1"/>
  <c r="Q78" i="34" s="1"/>
  <c r="Q79" i="34" s="1"/>
  <c r="Q80" i="34" s="1"/>
  <c r="Q81" i="34" s="1"/>
  <c r="Q1698" i="34"/>
  <c r="Q1699" i="34" s="1"/>
  <c r="Q1700" i="34" s="1"/>
  <c r="Q1701" i="34" s="1"/>
  <c r="Q1702" i="34" s="1"/>
  <c r="Q1703" i="34" s="1"/>
  <c r="Q1704" i="34" s="1"/>
  <c r="Q1705" i="34" s="1"/>
  <c r="Q1706" i="34" s="1"/>
  <c r="Q1707" i="34" s="1"/>
  <c r="Q1712" i="34" s="1"/>
  <c r="Q1713" i="34" s="1"/>
  <c r="Q1718" i="34" s="1"/>
  <c r="Q1719" i="34" s="1"/>
  <c r="Q1720" i="34" s="1"/>
  <c r="Q1721" i="34" s="1"/>
  <c r="Q1722" i="34" s="1"/>
  <c r="Q1723" i="34" s="1"/>
  <c r="Q1724" i="34" s="1"/>
  <c r="Q1729" i="34" s="1"/>
  <c r="Q1730" i="34" s="1"/>
  <c r="Q1731" i="34" s="1"/>
  <c r="Q1732" i="34" s="1"/>
  <c r="Q1733" i="34" s="1"/>
  <c r="Q1734" i="34" s="1"/>
  <c r="Q1735" i="34" s="1"/>
  <c r="Q1681" i="34"/>
  <c r="Q1682" i="34" s="1"/>
  <c r="Q1683" i="34" s="1"/>
  <c r="Q1684" i="34" s="1"/>
  <c r="Q1685" i="34" s="1"/>
  <c r="Q1686" i="34" s="1"/>
  <c r="Q1687" i="34" s="1"/>
  <c r="Q1688" i="34" s="1"/>
  <c r="Q1689" i="34" s="1"/>
  <c r="Q1690" i="34" s="1"/>
  <c r="Q1691" i="34" s="1"/>
  <c r="Q1692" i="34" s="1"/>
  <c r="Q1693" i="34" s="1"/>
  <c r="I49" i="34"/>
  <c r="BH48" i="32"/>
  <c r="BG48" i="32"/>
  <c r="BF48" i="32"/>
  <c r="BE48" i="32"/>
  <c r="BD48" i="32"/>
  <c r="BC48" i="32"/>
  <c r="Q193" i="34" l="1"/>
  <c r="Q194" i="34" s="1"/>
  <c r="Q195" i="34" s="1"/>
  <c r="Q196" i="34" s="1"/>
  <c r="Q197" i="34" s="1"/>
  <c r="Q198" i="34" s="1"/>
  <c r="Q199" i="34" s="1"/>
  <c r="Q200" i="34" s="1"/>
  <c r="Q201" i="34" s="1"/>
  <c r="Q202" i="34" s="1"/>
  <c r="Q203" i="34" s="1"/>
  <c r="Q204" i="34" s="1"/>
  <c r="Q205" i="34" s="1"/>
  <c r="F8" i="33"/>
  <c r="L250" i="34"/>
  <c r="B20" i="32"/>
  <c r="B48" i="32"/>
  <c r="B2" i="9" s="1"/>
  <c r="B6" i="32"/>
  <c r="I8" i="5" s="1"/>
  <c r="K12" i="5" s="1"/>
  <c r="N29" i="36"/>
  <c r="I50" i="34"/>
  <c r="F9" i="33" l="1"/>
  <c r="L312" i="34"/>
  <c r="F55" i="10"/>
  <c r="F12" i="10"/>
  <c r="C12" i="10"/>
  <c r="C55" i="10"/>
  <c r="D12" i="10"/>
  <c r="D55" i="10"/>
  <c r="B9" i="10"/>
  <c r="B52" i="10"/>
  <c r="B49" i="10"/>
  <c r="B48" i="10"/>
  <c r="K48" i="10" s="1"/>
  <c r="N30" i="36"/>
  <c r="I55" i="34"/>
  <c r="BH3" i="32"/>
  <c r="BG3" i="32"/>
  <c r="BF3" i="32"/>
  <c r="BE3" i="32"/>
  <c r="BD3" i="32"/>
  <c r="BC3" i="32"/>
  <c r="F10" i="33" l="1"/>
  <c r="L374" i="34"/>
  <c r="M82" i="10"/>
  <c r="G51" i="10"/>
  <c r="B50" i="10"/>
  <c r="G50" i="10"/>
  <c r="G49" i="10"/>
  <c r="K49" i="10" s="1"/>
  <c r="B82" i="10"/>
  <c r="G60" i="10"/>
  <c r="K60" i="10" s="1"/>
  <c r="B51" i="10"/>
  <c r="P1" i="27"/>
  <c r="M80" i="10"/>
  <c r="G52" i="10"/>
  <c r="B83" i="10"/>
  <c r="M81" i="10"/>
  <c r="Q1" i="27"/>
  <c r="G61" i="10"/>
  <c r="K61" i="10" s="1"/>
  <c r="N31" i="36"/>
  <c r="I56" i="34"/>
  <c r="F11" i="33" l="1"/>
  <c r="L436" i="34"/>
  <c r="K69" i="10"/>
  <c r="K52" i="10"/>
  <c r="K50" i="10"/>
  <c r="K51" i="10"/>
  <c r="M83" i="10"/>
  <c r="B84" i="10"/>
  <c r="D81" i="10" s="1"/>
  <c r="F64" i="10" s="1"/>
  <c r="F69" i="10" s="1"/>
  <c r="F73" i="10" s="1"/>
  <c r="F74" i="10" s="1"/>
  <c r="K62" i="10"/>
  <c r="N32" i="36"/>
  <c r="I57" i="34"/>
  <c r="BH46" i="32"/>
  <c r="BG46" i="32"/>
  <c r="BF46" i="32"/>
  <c r="BE46" i="32"/>
  <c r="BD46" i="32"/>
  <c r="BC46" i="32"/>
  <c r="BH45" i="32"/>
  <c r="BG45" i="32"/>
  <c r="BF45" i="32"/>
  <c r="BE45" i="32"/>
  <c r="BD45" i="32"/>
  <c r="BC45" i="32"/>
  <c r="BH44" i="32"/>
  <c r="BG44" i="32"/>
  <c r="BF44" i="32"/>
  <c r="BE44" i="32"/>
  <c r="BD44" i="32"/>
  <c r="BC44" i="32"/>
  <c r="BH43" i="32"/>
  <c r="BG43" i="32"/>
  <c r="BF43" i="32"/>
  <c r="BE43" i="32"/>
  <c r="BD43" i="32"/>
  <c r="BC43" i="32"/>
  <c r="BH42" i="32"/>
  <c r="BG42" i="32"/>
  <c r="BF42" i="32"/>
  <c r="BE42" i="32"/>
  <c r="BD42" i="32"/>
  <c r="BC42" i="32"/>
  <c r="BH13" i="32"/>
  <c r="BG13" i="32"/>
  <c r="BF13" i="32"/>
  <c r="BE13" i="32"/>
  <c r="BD13" i="32"/>
  <c r="BC13" i="32"/>
  <c r="BH12" i="32"/>
  <c r="BG12" i="32"/>
  <c r="BF12" i="32"/>
  <c r="BE12" i="32"/>
  <c r="BD12" i="32"/>
  <c r="BC12" i="32"/>
  <c r="BH11" i="32"/>
  <c r="BG11" i="32"/>
  <c r="BF11" i="32"/>
  <c r="BE11" i="32"/>
  <c r="BD11" i="32"/>
  <c r="BC11" i="32"/>
  <c r="BH10" i="32"/>
  <c r="BG10" i="32"/>
  <c r="BF10" i="32"/>
  <c r="BE10" i="32"/>
  <c r="BD10" i="32"/>
  <c r="BC10" i="32"/>
  <c r="BE39" i="32"/>
  <c r="BD39" i="32"/>
  <c r="BC39" i="32"/>
  <c r="BH38" i="32"/>
  <c r="BG38" i="32"/>
  <c r="BF38" i="32"/>
  <c r="BE38" i="32"/>
  <c r="BD38" i="32"/>
  <c r="BC38" i="32"/>
  <c r="BH37" i="32"/>
  <c r="BG37" i="32"/>
  <c r="BF37" i="32"/>
  <c r="BE37" i="32"/>
  <c r="BD37" i="32"/>
  <c r="BC37" i="32"/>
  <c r="BH118" i="32"/>
  <c r="BG118" i="32"/>
  <c r="BH117" i="32"/>
  <c r="BG117" i="32"/>
  <c r="BH116" i="32"/>
  <c r="BG116" i="32"/>
  <c r="BH115" i="32"/>
  <c r="BG115" i="32"/>
  <c r="BH114" i="32"/>
  <c r="BG114" i="32"/>
  <c r="BH113" i="32"/>
  <c r="BG113" i="32"/>
  <c r="BH112" i="32"/>
  <c r="BG112" i="32"/>
  <c r="BH111" i="32"/>
  <c r="BG111" i="32"/>
  <c r="BH110" i="32"/>
  <c r="BG110" i="32"/>
  <c r="BH109" i="32"/>
  <c r="BG109" i="32"/>
  <c r="BH108" i="32"/>
  <c r="BG108" i="32"/>
  <c r="BH107" i="32"/>
  <c r="BG107" i="32"/>
  <c r="BH106" i="32"/>
  <c r="BG106" i="32"/>
  <c r="BH105" i="32"/>
  <c r="BG105" i="32"/>
  <c r="BH104" i="32"/>
  <c r="BG104" i="32"/>
  <c r="BH103" i="32"/>
  <c r="BG103" i="32"/>
  <c r="BH102" i="32"/>
  <c r="BG102" i="32"/>
  <c r="BH101" i="32"/>
  <c r="BG101" i="32"/>
  <c r="BH97" i="32"/>
  <c r="BG97" i="32"/>
  <c r="BH96" i="32"/>
  <c r="BG96" i="32"/>
  <c r="BH95" i="32"/>
  <c r="BG95" i="32"/>
  <c r="BH91" i="32"/>
  <c r="BG91" i="32"/>
  <c r="BH90" i="32"/>
  <c r="BG90" i="32"/>
  <c r="BH89" i="32"/>
  <c r="BG89" i="32"/>
  <c r="BH88" i="32"/>
  <c r="BG88" i="32"/>
  <c r="BH87" i="32"/>
  <c r="BG87" i="32"/>
  <c r="BH86" i="32"/>
  <c r="BG86" i="32"/>
  <c r="BH85" i="32"/>
  <c r="BG85" i="32"/>
  <c r="BH83" i="32"/>
  <c r="BG83" i="32"/>
  <c r="BH82" i="32"/>
  <c r="BG82" i="32"/>
  <c r="BH81" i="32"/>
  <c r="BG81" i="32"/>
  <c r="BH80" i="32"/>
  <c r="BG80" i="32"/>
  <c r="BH79" i="32"/>
  <c r="BG79" i="32"/>
  <c r="BH78" i="32"/>
  <c r="BG78" i="32"/>
  <c r="BH77" i="32"/>
  <c r="BG77" i="32"/>
  <c r="BH76" i="32"/>
  <c r="BG76" i="32"/>
  <c r="BH75" i="32"/>
  <c r="BG75" i="32"/>
  <c r="BH74" i="32"/>
  <c r="BG74" i="32"/>
  <c r="BH73" i="32"/>
  <c r="BG73" i="32"/>
  <c r="BH72" i="32"/>
  <c r="BG72" i="32"/>
  <c r="BH71" i="32"/>
  <c r="BG71" i="32"/>
  <c r="BH70" i="32"/>
  <c r="BG70" i="32"/>
  <c r="BH69" i="32"/>
  <c r="BG69" i="32"/>
  <c r="BH68" i="32"/>
  <c r="BG68" i="32"/>
  <c r="BH67" i="32"/>
  <c r="BG67" i="32"/>
  <c r="BH66" i="32"/>
  <c r="BG66" i="32"/>
  <c r="BH65" i="32"/>
  <c r="BG65" i="32"/>
  <c r="BH64" i="32"/>
  <c r="BG64" i="32"/>
  <c r="BH63" i="32"/>
  <c r="BG63" i="32"/>
  <c r="BH62" i="32"/>
  <c r="BG62" i="32"/>
  <c r="BH61" i="32"/>
  <c r="BG61" i="32"/>
  <c r="BH60" i="32"/>
  <c r="BG60" i="32"/>
  <c r="BH59" i="32"/>
  <c r="BG59" i="32"/>
  <c r="BH58" i="32"/>
  <c r="BG58" i="32"/>
  <c r="BH57" i="32"/>
  <c r="BG57" i="32"/>
  <c r="BH56" i="32"/>
  <c r="BG56" i="32"/>
  <c r="BH55" i="32"/>
  <c r="BG55" i="32"/>
  <c r="BH54" i="32"/>
  <c r="BG54" i="32"/>
  <c r="BH53" i="32"/>
  <c r="BG53" i="32"/>
  <c r="BH52" i="32"/>
  <c r="BG52" i="32"/>
  <c r="BH51" i="32"/>
  <c r="BG51" i="32"/>
  <c r="BH34" i="32"/>
  <c r="BG34" i="32"/>
  <c r="BH33" i="32"/>
  <c r="BG33" i="32"/>
  <c r="BH30" i="32"/>
  <c r="BG30" i="32"/>
  <c r="BH28" i="32"/>
  <c r="BG28" i="32"/>
  <c r="BH26" i="32"/>
  <c r="BG26" i="32"/>
  <c r="BH25" i="32"/>
  <c r="BG25" i="32"/>
  <c r="BH24" i="32"/>
  <c r="BG24" i="32"/>
  <c r="BH23" i="32"/>
  <c r="BG23" i="32"/>
  <c r="BH19" i="32"/>
  <c r="BG19" i="32"/>
  <c r="BH17" i="32"/>
  <c r="BG17" i="32"/>
  <c r="BH16" i="32"/>
  <c r="BG16" i="32"/>
  <c r="BH15" i="32"/>
  <c r="BG15" i="32"/>
  <c r="BH14" i="32"/>
  <c r="BG14" i="32"/>
  <c r="BH9" i="32"/>
  <c r="BG9" i="32"/>
  <c r="BH5" i="32"/>
  <c r="BG5" i="32"/>
  <c r="BH4" i="32"/>
  <c r="BG4" i="32"/>
  <c r="BF5" i="32"/>
  <c r="BE5" i="32"/>
  <c r="BD5" i="32"/>
  <c r="BC5" i="32"/>
  <c r="BF4" i="32"/>
  <c r="BE4" i="32"/>
  <c r="BD4" i="32"/>
  <c r="BC4" i="32"/>
  <c r="BF34" i="32"/>
  <c r="BE34" i="32"/>
  <c r="BD34" i="32"/>
  <c r="BC34" i="32"/>
  <c r="BF33" i="32"/>
  <c r="BE33" i="32"/>
  <c r="BD33" i="32"/>
  <c r="BC33" i="32"/>
  <c r="BE31" i="32"/>
  <c r="BD31" i="32"/>
  <c r="BC31" i="32"/>
  <c r="BF30" i="32"/>
  <c r="BE30" i="32"/>
  <c r="BD30" i="32"/>
  <c r="BC30" i="32"/>
  <c r="A33" i="32"/>
  <c r="A30" i="32"/>
  <c r="BF28" i="32"/>
  <c r="BE28" i="32"/>
  <c r="BD28" i="32"/>
  <c r="BC28" i="32"/>
  <c r="BF26" i="32"/>
  <c r="BE26" i="32"/>
  <c r="BD26" i="32"/>
  <c r="BC26" i="32"/>
  <c r="BF25" i="32"/>
  <c r="BE25" i="32"/>
  <c r="BD25" i="32"/>
  <c r="BC25" i="32"/>
  <c r="BF24" i="32"/>
  <c r="BE24" i="32"/>
  <c r="BD24" i="32"/>
  <c r="BC24" i="32"/>
  <c r="BF23" i="32"/>
  <c r="BE23" i="32"/>
  <c r="BD23" i="32"/>
  <c r="BC23" i="32"/>
  <c r="BF19" i="32"/>
  <c r="BE19" i="32"/>
  <c r="BD19" i="32"/>
  <c r="BC19" i="32"/>
  <c r="BF17" i="32"/>
  <c r="BE17" i="32"/>
  <c r="BD17" i="32"/>
  <c r="BC17" i="32"/>
  <c r="BF16" i="32"/>
  <c r="BE16" i="32"/>
  <c r="BD16" i="32"/>
  <c r="BC16" i="32"/>
  <c r="BF15" i="32"/>
  <c r="BE15" i="32"/>
  <c r="BD15" i="32"/>
  <c r="BC15" i="32"/>
  <c r="BF14" i="32"/>
  <c r="BE14" i="32"/>
  <c r="BD14" i="32"/>
  <c r="BC14" i="32"/>
  <c r="BF9" i="32"/>
  <c r="BE9" i="32"/>
  <c r="BD9" i="32"/>
  <c r="BC9" i="32"/>
  <c r="BF118" i="32"/>
  <c r="BE118" i="32"/>
  <c r="BF117" i="32"/>
  <c r="BE117" i="32"/>
  <c r="BF116" i="32"/>
  <c r="BE116" i="32"/>
  <c r="BF115" i="32"/>
  <c r="BE115" i="32"/>
  <c r="BF114" i="32"/>
  <c r="BE114" i="32"/>
  <c r="BF113" i="32"/>
  <c r="BE113" i="32"/>
  <c r="BF112" i="32"/>
  <c r="BE112" i="32"/>
  <c r="BF111" i="32"/>
  <c r="BE111" i="32"/>
  <c r="BF110" i="32"/>
  <c r="BE110" i="32"/>
  <c r="BF109" i="32"/>
  <c r="BE109" i="32"/>
  <c r="BF108" i="32"/>
  <c r="BE108" i="32"/>
  <c r="BF107" i="32"/>
  <c r="BE107" i="32"/>
  <c r="BF106" i="32"/>
  <c r="BE106" i="32"/>
  <c r="BF105" i="32"/>
  <c r="BE105" i="32"/>
  <c r="BF104" i="32"/>
  <c r="BE104" i="32"/>
  <c r="BF103" i="32"/>
  <c r="BE103" i="32"/>
  <c r="BF102" i="32"/>
  <c r="BE102" i="32"/>
  <c r="BF101" i="32"/>
  <c r="BE101" i="32"/>
  <c r="BF97" i="32"/>
  <c r="BE97" i="32"/>
  <c r="BF96" i="32"/>
  <c r="BE96" i="32"/>
  <c r="BF95" i="32"/>
  <c r="BE95" i="32"/>
  <c r="BF91" i="32"/>
  <c r="BE91" i="32"/>
  <c r="BF90" i="32"/>
  <c r="BE90" i="32"/>
  <c r="BF89" i="32"/>
  <c r="BE89" i="32"/>
  <c r="BF88" i="32"/>
  <c r="BE88" i="32"/>
  <c r="BF87" i="32"/>
  <c r="BE87" i="32"/>
  <c r="BF86" i="32"/>
  <c r="BE86" i="32"/>
  <c r="BF85" i="32"/>
  <c r="BE85" i="32"/>
  <c r="BF83" i="32"/>
  <c r="BE83" i="32"/>
  <c r="BF82" i="32"/>
  <c r="BE82" i="32"/>
  <c r="BF81" i="32"/>
  <c r="BE81" i="32"/>
  <c r="BF80" i="32"/>
  <c r="BE80" i="32"/>
  <c r="BF79" i="32"/>
  <c r="BE79" i="32"/>
  <c r="BF78" i="32"/>
  <c r="BE78" i="32"/>
  <c r="BF77" i="32"/>
  <c r="BE77" i="32"/>
  <c r="BF76" i="32"/>
  <c r="BE76" i="32"/>
  <c r="BF75" i="32"/>
  <c r="BE75" i="32"/>
  <c r="BF74" i="32"/>
  <c r="BE74" i="32"/>
  <c r="BF73" i="32"/>
  <c r="BE73" i="32"/>
  <c r="BF72" i="32"/>
  <c r="BE72" i="32"/>
  <c r="BF71" i="32"/>
  <c r="BE71" i="32"/>
  <c r="BF70" i="32"/>
  <c r="BE70" i="32"/>
  <c r="BF69" i="32"/>
  <c r="BE69" i="32"/>
  <c r="BF68" i="32"/>
  <c r="BE68" i="32"/>
  <c r="BF67" i="32"/>
  <c r="BE67" i="32"/>
  <c r="BF66" i="32"/>
  <c r="BE66" i="32"/>
  <c r="BF65" i="32"/>
  <c r="BE65" i="32"/>
  <c r="BF64" i="32"/>
  <c r="BE64" i="32"/>
  <c r="BF63" i="32"/>
  <c r="BE63" i="32"/>
  <c r="BF62" i="32"/>
  <c r="BE62" i="32"/>
  <c r="BF61" i="32"/>
  <c r="BE61" i="32"/>
  <c r="BF60" i="32"/>
  <c r="BE60" i="32"/>
  <c r="BF59" i="32"/>
  <c r="BE59" i="32"/>
  <c r="BF58" i="32"/>
  <c r="BE58" i="32"/>
  <c r="BF57" i="32"/>
  <c r="BE57" i="32"/>
  <c r="BF56" i="32"/>
  <c r="BE56" i="32"/>
  <c r="BF55" i="32"/>
  <c r="BE55" i="32"/>
  <c r="BF54" i="32"/>
  <c r="BE54" i="32"/>
  <c r="BF53" i="32"/>
  <c r="BE53" i="32"/>
  <c r="BF52" i="32"/>
  <c r="BE52" i="32"/>
  <c r="BF51" i="32"/>
  <c r="BE51" i="32"/>
  <c r="BD118" i="32"/>
  <c r="BD117" i="32"/>
  <c r="BD116" i="32"/>
  <c r="BD115" i="32"/>
  <c r="BD114" i="32"/>
  <c r="BD113" i="32"/>
  <c r="BD112" i="32"/>
  <c r="BD111" i="32"/>
  <c r="BD110" i="32"/>
  <c r="BD109" i="32"/>
  <c r="BD108" i="32"/>
  <c r="BD107" i="32"/>
  <c r="BD106" i="32"/>
  <c r="BD105" i="32"/>
  <c r="BD104" i="32"/>
  <c r="BD103" i="32"/>
  <c r="BD102" i="32"/>
  <c r="BD101" i="32"/>
  <c r="BD97" i="32"/>
  <c r="BD96" i="32"/>
  <c r="BD95" i="32"/>
  <c r="BD91" i="32"/>
  <c r="BD90" i="32"/>
  <c r="BD89" i="32"/>
  <c r="BD88" i="32"/>
  <c r="BD87" i="32"/>
  <c r="BD86" i="32"/>
  <c r="BD85" i="32"/>
  <c r="BD83" i="32"/>
  <c r="BD82" i="32"/>
  <c r="BD81" i="32"/>
  <c r="BD80" i="32"/>
  <c r="BD79" i="32"/>
  <c r="BD78" i="32"/>
  <c r="BD77" i="32"/>
  <c r="BD76" i="32"/>
  <c r="BD75" i="32"/>
  <c r="BD74" i="32"/>
  <c r="BD73" i="32"/>
  <c r="BD72" i="32"/>
  <c r="BD71" i="32"/>
  <c r="BD70" i="32"/>
  <c r="BD69" i="32"/>
  <c r="BD68" i="32"/>
  <c r="BD67" i="32"/>
  <c r="BD66" i="32"/>
  <c r="BD65" i="32"/>
  <c r="BD64" i="32"/>
  <c r="BD63" i="32"/>
  <c r="BD62" i="32"/>
  <c r="BD61" i="32"/>
  <c r="BD60" i="32"/>
  <c r="BD59" i="32"/>
  <c r="BD58" i="32"/>
  <c r="BD57" i="32"/>
  <c r="BD56" i="32"/>
  <c r="BD55" i="32"/>
  <c r="BD54" i="32"/>
  <c r="BD53" i="32"/>
  <c r="BD52" i="32"/>
  <c r="BD51" i="32"/>
  <c r="BC118" i="32"/>
  <c r="BC117" i="32"/>
  <c r="BC116" i="32"/>
  <c r="BC115" i="32"/>
  <c r="BC114" i="32"/>
  <c r="BC113" i="32"/>
  <c r="BC112" i="32"/>
  <c r="BC111" i="32"/>
  <c r="BC110" i="32"/>
  <c r="BC109" i="32"/>
  <c r="BC108" i="32"/>
  <c r="BC107" i="32"/>
  <c r="BC106" i="32"/>
  <c r="BC105" i="32"/>
  <c r="BC104" i="32"/>
  <c r="BC103" i="32"/>
  <c r="BC102" i="32"/>
  <c r="BC101" i="32"/>
  <c r="BC97" i="32"/>
  <c r="BC96" i="32"/>
  <c r="BC95" i="32"/>
  <c r="BC91" i="32"/>
  <c r="BC90" i="32"/>
  <c r="BC89" i="32"/>
  <c r="BC88" i="32"/>
  <c r="BC87" i="32"/>
  <c r="BC86" i="32"/>
  <c r="BC85" i="32"/>
  <c r="BC83" i="32"/>
  <c r="BC82" i="32"/>
  <c r="BC81" i="32"/>
  <c r="BC80" i="32"/>
  <c r="BC79" i="32"/>
  <c r="BC78" i="32"/>
  <c r="BC77" i="32"/>
  <c r="BC76" i="32"/>
  <c r="BC75" i="32"/>
  <c r="BC74" i="32"/>
  <c r="BC73" i="32"/>
  <c r="BC72" i="32"/>
  <c r="BC71" i="32"/>
  <c r="BC70" i="32"/>
  <c r="BC69" i="32"/>
  <c r="BC68" i="32"/>
  <c r="BC67" i="32"/>
  <c r="BC66" i="32"/>
  <c r="BC65" i="32"/>
  <c r="BC64" i="32"/>
  <c r="BC63" i="32"/>
  <c r="BC62" i="32"/>
  <c r="BC61" i="32"/>
  <c r="BC60" i="32"/>
  <c r="BC59" i="32"/>
  <c r="BC58" i="32"/>
  <c r="BC57" i="32"/>
  <c r="BC56" i="32"/>
  <c r="BC55" i="32"/>
  <c r="BC54" i="32"/>
  <c r="BC53" i="32"/>
  <c r="BC52" i="32"/>
  <c r="BC51" i="32"/>
  <c r="A100" i="32"/>
  <c r="A94" i="32"/>
  <c r="B17" i="32" l="1"/>
  <c r="L498" i="34"/>
  <c r="B53" i="32"/>
  <c r="B16" i="6" s="1"/>
  <c r="B61" i="32"/>
  <c r="B24" i="6" s="1"/>
  <c r="B69" i="32"/>
  <c r="B32" i="6" s="1"/>
  <c r="B77" i="32"/>
  <c r="B40" i="6" s="1"/>
  <c r="D31" i="41" s="1"/>
  <c r="B86" i="32"/>
  <c r="B49" i="6" s="1"/>
  <c r="B97" i="32"/>
  <c r="B60" i="6" s="1"/>
  <c r="B108" i="32"/>
  <c r="B71" i="6" s="1"/>
  <c r="B116" i="32"/>
  <c r="B79" i="6" s="1"/>
  <c r="D70" i="41" s="1"/>
  <c r="B30" i="32"/>
  <c r="E31" i="4" s="1"/>
  <c r="B38" i="32"/>
  <c r="E41" i="4" s="1"/>
  <c r="B10" i="32"/>
  <c r="G19" i="42" s="1"/>
  <c r="I19" i="42" s="1"/>
  <c r="B46" i="32"/>
  <c r="E5" i="5" s="1"/>
  <c r="B9" i="32"/>
  <c r="J4" i="42" s="1"/>
  <c r="D3" i="42" s="1"/>
  <c r="B25" i="32"/>
  <c r="D22" i="4" s="1"/>
  <c r="F22" i="4" s="1"/>
  <c r="B37" i="32"/>
  <c r="E40" i="4" s="1"/>
  <c r="B13" i="32"/>
  <c r="J6" i="42" s="1"/>
  <c r="B54" i="32"/>
  <c r="B17" i="6" s="1"/>
  <c r="B62" i="32"/>
  <c r="B25" i="6" s="1"/>
  <c r="B70" i="32"/>
  <c r="B33" i="6" s="1"/>
  <c r="D24" i="41" s="1"/>
  <c r="B78" i="32"/>
  <c r="B41" i="6" s="1"/>
  <c r="D32" i="41" s="1"/>
  <c r="B87" i="32"/>
  <c r="B50" i="6" s="1"/>
  <c r="B101" i="32"/>
  <c r="B64" i="6" s="1"/>
  <c r="B109" i="32"/>
  <c r="B72" i="6" s="1"/>
  <c r="B117" i="32"/>
  <c r="B80" i="6" s="1"/>
  <c r="D71" i="41" s="1"/>
  <c r="B88" i="32"/>
  <c r="B51" i="6" s="1"/>
  <c r="B28" i="32"/>
  <c r="D29" i="4" s="1"/>
  <c r="B45" i="32"/>
  <c r="E4" i="5" s="1"/>
  <c r="D6" i="4" s="1"/>
  <c r="B56" i="32"/>
  <c r="B19" i="6" s="1"/>
  <c r="B64" i="32"/>
  <c r="B27" i="6" s="1"/>
  <c r="B72" i="32"/>
  <c r="B35" i="6" s="1"/>
  <c r="D26" i="41" s="1"/>
  <c r="B80" i="32"/>
  <c r="B43" i="6" s="1"/>
  <c r="B89" i="32"/>
  <c r="B52" i="6" s="1"/>
  <c r="B103" i="32"/>
  <c r="B66" i="6" s="1"/>
  <c r="B111" i="32"/>
  <c r="B74" i="6" s="1"/>
  <c r="B34" i="32"/>
  <c r="E35" i="4" s="1"/>
  <c r="B5" i="32"/>
  <c r="E3" i="4" s="1"/>
  <c r="B79" i="32"/>
  <c r="B42" i="6" s="1"/>
  <c r="B118" i="32"/>
  <c r="B81" i="6" s="1"/>
  <c r="D72" i="41" s="1"/>
  <c r="B65" i="32"/>
  <c r="B28" i="6" s="1"/>
  <c r="B90" i="32"/>
  <c r="B53" i="6" s="1"/>
  <c r="B58" i="32"/>
  <c r="B21" i="6" s="1"/>
  <c r="B66" i="32"/>
  <c r="B29" i="6" s="1"/>
  <c r="B74" i="32"/>
  <c r="B37" i="6" s="1"/>
  <c r="B82" i="32"/>
  <c r="B45" i="6" s="1"/>
  <c r="B91" i="32"/>
  <c r="B54" i="6" s="1"/>
  <c r="B105" i="32"/>
  <c r="B68" i="6" s="1"/>
  <c r="B113" i="32"/>
  <c r="B76" i="6" s="1"/>
  <c r="D67" i="41" s="1"/>
  <c r="B63" i="32"/>
  <c r="B26" i="6" s="1"/>
  <c r="B110" i="32"/>
  <c r="B73" i="6" s="1"/>
  <c r="B15" i="32"/>
  <c r="D5" i="42" s="1"/>
  <c r="D9" i="4" s="1"/>
  <c r="C17" i="43" s="1"/>
  <c r="D17" i="43" s="1"/>
  <c r="F17" i="43" s="1"/>
  <c r="B73" i="32"/>
  <c r="B36" i="6" s="1"/>
  <c r="B104" i="32"/>
  <c r="B67" i="6" s="1"/>
  <c r="AO31" i="32" s="1"/>
  <c r="B12" i="32"/>
  <c r="G21" i="42" s="1"/>
  <c r="I21" i="42" s="1"/>
  <c r="B44" i="32"/>
  <c r="D5" i="5" s="1"/>
  <c r="B51" i="32"/>
  <c r="B14" i="6" s="1"/>
  <c r="J5" i="41" s="1"/>
  <c r="B59" i="32"/>
  <c r="B22" i="6" s="1"/>
  <c r="B67" i="32"/>
  <c r="B30" i="6" s="1"/>
  <c r="B75" i="32"/>
  <c r="B38" i="6" s="1"/>
  <c r="B83" i="32"/>
  <c r="B46" i="6" s="1"/>
  <c r="B95" i="32"/>
  <c r="B58" i="6" s="1"/>
  <c r="D49" i="41" s="1"/>
  <c r="B106" i="32"/>
  <c r="B69" i="6" s="1"/>
  <c r="D60" i="41" s="1"/>
  <c r="B114" i="32"/>
  <c r="B77" i="6" s="1"/>
  <c r="D68" i="41" s="1"/>
  <c r="B14" i="32"/>
  <c r="D4" i="42" s="1"/>
  <c r="D8" i="4" s="1"/>
  <c r="C16" i="43" s="1"/>
  <c r="D16" i="43" s="1"/>
  <c r="F16" i="43" s="1"/>
  <c r="B16" i="32"/>
  <c r="D6" i="42" s="1"/>
  <c r="D10" i="4" s="1"/>
  <c r="B19" i="32"/>
  <c r="D8" i="42" s="1"/>
  <c r="D12" i="4" s="1"/>
  <c r="F12" i="4" s="1"/>
  <c r="B24" i="32"/>
  <c r="D21" i="4" s="1"/>
  <c r="B26" i="32"/>
  <c r="D23" i="4" s="1"/>
  <c r="B11" i="32"/>
  <c r="G20" i="42" s="1"/>
  <c r="I20" i="42" s="1"/>
  <c r="B43" i="32"/>
  <c r="D4" i="5" s="1"/>
  <c r="E6" i="4" s="1"/>
  <c r="B55" i="32"/>
  <c r="B18" i="6" s="1"/>
  <c r="B71" i="32"/>
  <c r="B34" i="6" s="1"/>
  <c r="D25" i="41" s="1"/>
  <c r="B102" i="32"/>
  <c r="B65" i="6" s="1"/>
  <c r="B23" i="32"/>
  <c r="D20" i="4" s="1"/>
  <c r="B57" i="32"/>
  <c r="B20" i="6" s="1"/>
  <c r="D11" i="41" s="1"/>
  <c r="B81" i="32"/>
  <c r="B44" i="6" s="1"/>
  <c r="B112" i="32"/>
  <c r="B75" i="6" s="1"/>
  <c r="B52" i="32"/>
  <c r="B15" i="6" s="1"/>
  <c r="B60" i="32"/>
  <c r="B23" i="6" s="1"/>
  <c r="B68" i="32"/>
  <c r="B31" i="6" s="1"/>
  <c r="B76" i="32"/>
  <c r="B39" i="6" s="1"/>
  <c r="D30" i="41" s="1"/>
  <c r="B85" i="32"/>
  <c r="B48" i="6" s="1"/>
  <c r="B96" i="32"/>
  <c r="B59" i="6" s="1"/>
  <c r="B107" i="32"/>
  <c r="B70" i="6" s="1"/>
  <c r="B115" i="32"/>
  <c r="B78" i="6" s="1"/>
  <c r="B33" i="32"/>
  <c r="E34" i="4" s="1"/>
  <c r="B4" i="32"/>
  <c r="D3" i="4" s="1"/>
  <c r="D43" i="4" s="1"/>
  <c r="C64" i="10"/>
  <c r="C69" i="10" s="1"/>
  <c r="C73" i="10" s="1"/>
  <c r="C74" i="10" s="1"/>
  <c r="B64" i="10"/>
  <c r="B69" i="10" s="1"/>
  <c r="B77" i="10" s="1"/>
  <c r="G64" i="10"/>
  <c r="G69" i="10" s="1"/>
  <c r="D64" i="10"/>
  <c r="D69" i="10" s="1"/>
  <c r="D73" i="10" s="1"/>
  <c r="D74" i="10" s="1"/>
  <c r="E64" i="10"/>
  <c r="E69" i="10" s="1"/>
  <c r="E73" i="10" s="1"/>
  <c r="E74" i="10" s="1"/>
  <c r="N33" i="36"/>
  <c r="I58" i="34"/>
  <c r="R151" i="36" l="1"/>
  <c r="R152" i="36" s="1"/>
  <c r="R225" i="36"/>
  <c r="R226" i="36" s="1"/>
  <c r="Q151" i="36"/>
  <c r="Q152" i="36" s="1"/>
  <c r="R299" i="36"/>
  <c r="R300" i="36" s="1"/>
  <c r="Q225" i="36"/>
  <c r="Q226" i="36" s="1"/>
  <c r="Q299" i="36"/>
  <c r="Q300" i="36" s="1"/>
  <c r="F13" i="4"/>
  <c r="F12" i="19" s="1"/>
  <c r="E12" i="19"/>
  <c r="AM39" i="32"/>
  <c r="AL39" i="32"/>
  <c r="W39" i="32"/>
  <c r="BV39" i="32" s="1"/>
  <c r="AD39" i="32"/>
  <c r="V39" i="32"/>
  <c r="BU39" i="32" s="1"/>
  <c r="AC39" i="32"/>
  <c r="AB39" i="32"/>
  <c r="AA39" i="32"/>
  <c r="Z39" i="32"/>
  <c r="AN39" i="32"/>
  <c r="Y39" i="32"/>
  <c r="X39" i="32"/>
  <c r="AP39" i="32"/>
  <c r="G39" i="32"/>
  <c r="BF39" i="32" s="1"/>
  <c r="I39" i="32"/>
  <c r="BH39" i="32" s="1"/>
  <c r="AO39" i="32"/>
  <c r="K39" i="32"/>
  <c r="BJ39" i="32" s="1"/>
  <c r="J39" i="32"/>
  <c r="BI39" i="32" s="1"/>
  <c r="M39" i="32"/>
  <c r="BL39" i="32" s="1"/>
  <c r="L39" i="32"/>
  <c r="BK39" i="32" s="1"/>
  <c r="H39" i="32"/>
  <c r="BG39" i="32" s="1"/>
  <c r="F13" i="33"/>
  <c r="L560" i="34"/>
  <c r="D66" i="41"/>
  <c r="R77" i="36"/>
  <c r="R78" i="36" s="1"/>
  <c r="Q77" i="36"/>
  <c r="Q78" i="36" s="1"/>
  <c r="D61" i="41"/>
  <c r="F62" i="9"/>
  <c r="D7" i="42"/>
  <c r="D11" i="4" s="1"/>
  <c r="D10" i="19"/>
  <c r="F10" i="4"/>
  <c r="F10" i="19" s="1"/>
  <c r="D8" i="19"/>
  <c r="F8" i="4"/>
  <c r="F8" i="19" s="1"/>
  <c r="D9" i="19"/>
  <c r="F9" i="4"/>
  <c r="F9" i="19" s="1"/>
  <c r="J5" i="42"/>
  <c r="J8" i="42" s="1"/>
  <c r="D12" i="19"/>
  <c r="D65" i="41"/>
  <c r="D69" i="41"/>
  <c r="D8" i="41"/>
  <c r="D23" i="41"/>
  <c r="D9" i="41"/>
  <c r="D14" i="41"/>
  <c r="D16" i="41"/>
  <c r="D62" i="41"/>
  <c r="D18" i="41"/>
  <c r="D21" i="41"/>
  <c r="D41" i="41"/>
  <c r="D15" i="41"/>
  <c r="D51" i="41"/>
  <c r="D10" i="41"/>
  <c r="D37" i="41"/>
  <c r="H36" i="41"/>
  <c r="J36" i="41"/>
  <c r="N36" i="41"/>
  <c r="D36" i="41"/>
  <c r="D64" i="41"/>
  <c r="D40" i="41"/>
  <c r="D56" i="41"/>
  <c r="D35" i="41"/>
  <c r="F35" i="41"/>
  <c r="N35" i="41"/>
  <c r="H35" i="41"/>
  <c r="D57" i="41"/>
  <c r="D29" i="41"/>
  <c r="D28" i="41"/>
  <c r="D33" i="41"/>
  <c r="D7" i="41"/>
  <c r="D63" i="41"/>
  <c r="D27" i="41"/>
  <c r="D43" i="41"/>
  <c r="D13" i="41"/>
  <c r="D5" i="41"/>
  <c r="D12" i="41"/>
  <c r="D50" i="41"/>
  <c r="F50" i="41"/>
  <c r="D22" i="41"/>
  <c r="D55" i="41"/>
  <c r="D6" i="41"/>
  <c r="D19" i="41"/>
  <c r="D34" i="41"/>
  <c r="D58" i="41"/>
  <c r="D20" i="41"/>
  <c r="D44" i="41"/>
  <c r="D45" i="41"/>
  <c r="D42" i="41"/>
  <c r="D17" i="41"/>
  <c r="D39" i="41"/>
  <c r="CN31" i="32"/>
  <c r="BH31" i="32"/>
  <c r="AP31" i="32"/>
  <c r="CO31" i="32" s="1"/>
  <c r="BF31" i="32"/>
  <c r="BL31" i="32"/>
  <c r="BK31" i="32"/>
  <c r="BJ31" i="32"/>
  <c r="BI31" i="32"/>
  <c r="G73" i="10"/>
  <c r="G74" i="10" s="1"/>
  <c r="G77" i="10"/>
  <c r="C77" i="10"/>
  <c r="Y4" i="27"/>
  <c r="Z10" i="27"/>
  <c r="P2" i="27"/>
  <c r="Z11" i="27"/>
  <c r="C3" i="27"/>
  <c r="Z12" i="27"/>
  <c r="P3" i="27"/>
  <c r="Y3" i="27"/>
  <c r="C4" i="27"/>
  <c r="C30" i="25"/>
  <c r="A32" i="4" s="1"/>
  <c r="B73" i="10"/>
  <c r="B74" i="10" s="1"/>
  <c r="BG31" i="32"/>
  <c r="B7" i="35"/>
  <c r="C7" i="35" s="1"/>
  <c r="F7" i="35" s="1"/>
  <c r="B6" i="35"/>
  <c r="G12" i="18"/>
  <c r="H61" i="10"/>
  <c r="H60" i="10"/>
  <c r="M84" i="10"/>
  <c r="F70" i="10"/>
  <c r="E70" i="10"/>
  <c r="C70" i="10"/>
  <c r="B70" i="10"/>
  <c r="G70" i="10"/>
  <c r="D70" i="10"/>
  <c r="B47" i="6"/>
  <c r="N34" i="36"/>
  <c r="G18" i="18"/>
  <c r="G6" i="18"/>
  <c r="G9" i="18"/>
  <c r="G23" i="18"/>
  <c r="G13" i="18"/>
  <c r="G8" i="18"/>
  <c r="G14" i="18"/>
  <c r="G24" i="18"/>
  <c r="G11" i="18"/>
  <c r="G7" i="18"/>
  <c r="G22" i="18"/>
  <c r="G5" i="18"/>
  <c r="G10" i="18"/>
  <c r="I59" i="34"/>
  <c r="B39" i="32" l="1"/>
  <c r="E42" i="4" s="1"/>
  <c r="D7" i="4"/>
  <c r="C15" i="43" s="1"/>
  <c r="C22" i="43" s="1"/>
  <c r="D22" i="43" s="1"/>
  <c r="F22" i="43" s="1"/>
  <c r="B38" i="43" s="1"/>
  <c r="I8" i="42"/>
  <c r="E7" i="4" s="1"/>
  <c r="E7" i="19" s="1"/>
  <c r="F14" i="33"/>
  <c r="L622" i="34"/>
  <c r="F11" i="4"/>
  <c r="F11" i="19" s="1"/>
  <c r="D11" i="19"/>
  <c r="L35" i="41"/>
  <c r="F36" i="41"/>
  <c r="B31" i="32"/>
  <c r="E32" i="4" s="1"/>
  <c r="J35" i="41"/>
  <c r="L36" i="41"/>
  <c r="D59" i="41"/>
  <c r="D38" i="41"/>
  <c r="I69" i="10"/>
  <c r="E7" i="35"/>
  <c r="E6" i="35"/>
  <c r="C6" i="35"/>
  <c r="F6" i="35" s="1"/>
  <c r="N35" i="36"/>
  <c r="I60" i="34"/>
  <c r="D5" i="30"/>
  <c r="D7" i="19" l="1"/>
  <c r="D15" i="43"/>
  <c r="F15" i="43" s="1"/>
  <c r="F19" i="43" s="1"/>
  <c r="F15" i="33"/>
  <c r="L684" i="34"/>
  <c r="F7" i="4"/>
  <c r="F7" i="19" s="1"/>
  <c r="N36" i="36"/>
  <c r="I61" i="34"/>
  <c r="D8" i="30"/>
  <c r="A34" i="30"/>
  <c r="A29" i="30"/>
  <c r="A10" i="30"/>
  <c r="B7" i="30"/>
  <c r="N5" i="37" s="1"/>
  <c r="B6" i="30"/>
  <c r="N4" i="37" l="1"/>
  <c r="N7" i="37" s="1"/>
  <c r="F16" i="33"/>
  <c r="L746" i="34"/>
  <c r="E9" i="34"/>
  <c r="B15" i="34"/>
  <c r="D61" i="34"/>
  <c r="D60" i="34"/>
  <c r="A14" i="34"/>
  <c r="C50" i="34"/>
  <c r="G13" i="34"/>
  <c r="C33" i="34"/>
  <c r="C60" i="34"/>
  <c r="G45" i="34"/>
  <c r="G10" i="34"/>
  <c r="B7" i="34"/>
  <c r="C18" i="34"/>
  <c r="C58" i="34"/>
  <c r="B8" i="34"/>
  <c r="D27" i="34"/>
  <c r="B14" i="34"/>
  <c r="B50" i="34"/>
  <c r="D7" i="34"/>
  <c r="G30" i="34"/>
  <c r="A46" i="34"/>
  <c r="B19" i="34"/>
  <c r="A38" i="34"/>
  <c r="E16" i="34"/>
  <c r="B27" i="34"/>
  <c r="E44" i="34"/>
  <c r="E31" i="34"/>
  <c r="C14" i="34"/>
  <c r="A39" i="34"/>
  <c r="E59" i="34"/>
  <c r="A31" i="34"/>
  <c r="A60" i="34"/>
  <c r="D31" i="34"/>
  <c r="B55" i="34"/>
  <c r="A7" i="34"/>
  <c r="B16" i="34"/>
  <c r="D30" i="34"/>
  <c r="C19" i="34"/>
  <c r="C27" i="34"/>
  <c r="C17" i="34"/>
  <c r="G29" i="34"/>
  <c r="C31" i="34"/>
  <c r="B32" i="34"/>
  <c r="E11" i="34"/>
  <c r="E24" i="34"/>
  <c r="C59" i="34"/>
  <c r="B49" i="34"/>
  <c r="B28" i="34"/>
  <c r="G39" i="34"/>
  <c r="B56" i="34"/>
  <c r="G19" i="34"/>
  <c r="G9" i="34"/>
  <c r="A19" i="34"/>
  <c r="B9" i="34"/>
  <c r="B33" i="34"/>
  <c r="C38" i="34"/>
  <c r="E39" i="34"/>
  <c r="D24" i="34"/>
  <c r="D33" i="34"/>
  <c r="G27" i="34"/>
  <c r="A61" i="34"/>
  <c r="E29" i="34"/>
  <c r="C11" i="34"/>
  <c r="G44" i="34"/>
  <c r="D6" i="34"/>
  <c r="A33" i="34"/>
  <c r="B25" i="34"/>
  <c r="C30" i="34"/>
  <c r="D28" i="34"/>
  <c r="A30" i="34"/>
  <c r="B11" i="34"/>
  <c r="C47" i="34"/>
  <c r="D49" i="34"/>
  <c r="D32" i="34"/>
  <c r="E48" i="34"/>
  <c r="E49" i="34"/>
  <c r="G8" i="34"/>
  <c r="B6" i="34"/>
  <c r="D16" i="34"/>
  <c r="B59" i="34"/>
  <c r="E46" i="34"/>
  <c r="D25" i="34"/>
  <c r="G12" i="34"/>
  <c r="B58" i="34"/>
  <c r="A44" i="34"/>
  <c r="C46" i="34"/>
  <c r="D9" i="34"/>
  <c r="D8" i="34"/>
  <c r="B18" i="34"/>
  <c r="A27" i="34"/>
  <c r="G24" i="34"/>
  <c r="E17" i="34"/>
  <c r="A32" i="34"/>
  <c r="E38" i="34"/>
  <c r="E7" i="34"/>
  <c r="E33" i="34"/>
  <c r="A10" i="34"/>
  <c r="A11" i="34"/>
  <c r="C49" i="34"/>
  <c r="D44" i="34"/>
  <c r="C24" i="34"/>
  <c r="B24" i="34"/>
  <c r="E30" i="34"/>
  <c r="E27" i="34"/>
  <c r="B48" i="34"/>
  <c r="A55" i="34"/>
  <c r="C13" i="34"/>
  <c r="A9" i="34"/>
  <c r="A16" i="34"/>
  <c r="D29" i="34"/>
  <c r="C56" i="34"/>
  <c r="A18" i="34"/>
  <c r="G48" i="34"/>
  <c r="D11" i="34"/>
  <c r="A50" i="34"/>
  <c r="D56" i="34"/>
  <c r="E10" i="34"/>
  <c r="B38" i="34"/>
  <c r="D17" i="34"/>
  <c r="C44" i="34"/>
  <c r="C6" i="34"/>
  <c r="D38" i="34"/>
  <c r="G61" i="34"/>
  <c r="E15" i="34"/>
  <c r="B46" i="34"/>
  <c r="A49" i="34"/>
  <c r="A25" i="34"/>
  <c r="G33" i="34"/>
  <c r="G28" i="34"/>
  <c r="A29" i="34"/>
  <c r="C10" i="34"/>
  <c r="C8" i="34"/>
  <c r="E18" i="34"/>
  <c r="C39" i="34"/>
  <c r="G46" i="34"/>
  <c r="C48" i="34"/>
  <c r="D26" i="34"/>
  <c r="E12" i="34"/>
  <c r="B13" i="34"/>
  <c r="G38" i="34"/>
  <c r="C15" i="34"/>
  <c r="B47" i="34"/>
  <c r="D58" i="34"/>
  <c r="E58" i="34"/>
  <c r="B45" i="34"/>
  <c r="G59" i="34"/>
  <c r="D39" i="34"/>
  <c r="G58" i="34"/>
  <c r="A24" i="34"/>
  <c r="G55" i="34"/>
  <c r="B60" i="34"/>
  <c r="E14" i="34"/>
  <c r="A12" i="34"/>
  <c r="D57" i="34"/>
  <c r="E50" i="34"/>
  <c r="G15" i="34"/>
  <c r="B61" i="34"/>
  <c r="A56" i="34"/>
  <c r="A17" i="34"/>
  <c r="C29" i="34"/>
  <c r="D13" i="34"/>
  <c r="G25" i="34"/>
  <c r="B57" i="34"/>
  <c r="E8" i="34"/>
  <c r="B30" i="34"/>
  <c r="D48" i="34"/>
  <c r="G49" i="34"/>
  <c r="E19" i="34"/>
  <c r="A8" i="34"/>
  <c r="A58" i="34"/>
  <c r="B29" i="34"/>
  <c r="D10" i="34"/>
  <c r="A45" i="34"/>
  <c r="B39" i="34"/>
  <c r="E26" i="34"/>
  <c r="B17" i="34"/>
  <c r="E13" i="34"/>
  <c r="C9" i="34"/>
  <c r="C26" i="34"/>
  <c r="G11" i="34"/>
  <c r="E56" i="34"/>
  <c r="G26" i="34"/>
  <c r="D45" i="34"/>
  <c r="D55" i="34"/>
  <c r="D46" i="34"/>
  <c r="A57" i="34"/>
  <c r="E25" i="34"/>
  <c r="C16" i="34"/>
  <c r="B44" i="34"/>
  <c r="G57" i="34"/>
  <c r="G32" i="34"/>
  <c r="A28" i="34"/>
  <c r="A15" i="34"/>
  <c r="C12" i="34"/>
  <c r="G17" i="34"/>
  <c r="E28" i="34"/>
  <c r="C7" i="34"/>
  <c r="D18" i="34"/>
  <c r="E45" i="34"/>
  <c r="A26" i="34"/>
  <c r="G7" i="34"/>
  <c r="E61" i="34"/>
  <c r="B26" i="34"/>
  <c r="B10" i="34"/>
  <c r="E57" i="34"/>
  <c r="C57" i="34"/>
  <c r="D47" i="34"/>
  <c r="C45" i="34"/>
  <c r="E32" i="34"/>
  <c r="D19" i="34"/>
  <c r="C55" i="34"/>
  <c r="C61" i="34"/>
  <c r="C32" i="34"/>
  <c r="G60" i="34"/>
  <c r="E6" i="34"/>
  <c r="B31" i="34"/>
  <c r="E55" i="34"/>
  <c r="D15" i="34"/>
  <c r="G47" i="34"/>
  <c r="A6" i="34"/>
  <c r="E60" i="34"/>
  <c r="G16" i="34"/>
  <c r="G31" i="34"/>
  <c r="A48" i="34"/>
  <c r="C25" i="34"/>
  <c r="E47" i="34"/>
  <c r="D14" i="34"/>
  <c r="C28" i="34"/>
  <c r="G18" i="34"/>
  <c r="G14" i="34"/>
  <c r="D12" i="34"/>
  <c r="B12" i="34"/>
  <c r="G50" i="34"/>
  <c r="A47" i="34"/>
  <c r="D59" i="34"/>
  <c r="D50" i="34"/>
  <c r="G56" i="34"/>
  <c r="A59" i="34"/>
  <c r="G6" i="34"/>
  <c r="A13" i="34"/>
  <c r="D6" i="30"/>
  <c r="F6" i="30"/>
  <c r="D7" i="30"/>
  <c r="F7" i="30"/>
  <c r="N37" i="36"/>
  <c r="Q6" i="34"/>
  <c r="A27" i="15"/>
  <c r="L808" i="34" l="1"/>
  <c r="F17" i="33"/>
  <c r="C5" i="43"/>
  <c r="B4" i="43"/>
  <c r="B5" i="43"/>
  <c r="C4" i="43"/>
  <c r="F39" i="34"/>
  <c r="F9" i="30"/>
  <c r="F48" i="34"/>
  <c r="B54" i="5" s="1"/>
  <c r="F12" i="34"/>
  <c r="B18" i="5" s="1"/>
  <c r="F8" i="34"/>
  <c r="B14" i="5" s="1"/>
  <c r="F49" i="34"/>
  <c r="B55" i="5" s="1"/>
  <c r="F15" i="34"/>
  <c r="B21" i="5" s="1"/>
  <c r="F56" i="34"/>
  <c r="B62" i="5" s="1"/>
  <c r="N38" i="36"/>
  <c r="F45" i="34"/>
  <c r="B51" i="5" s="1"/>
  <c r="F6" i="34"/>
  <c r="B12" i="5" s="1"/>
  <c r="F38" i="34"/>
  <c r="F10" i="34"/>
  <c r="B16" i="5" s="1"/>
  <c r="F25" i="34"/>
  <c r="B31" i="5" s="1"/>
  <c r="F28" i="34"/>
  <c r="B34" i="5" s="1"/>
  <c r="F50" i="34"/>
  <c r="B56" i="5" s="1"/>
  <c r="F17" i="34"/>
  <c r="B23" i="5" s="1"/>
  <c r="F58" i="34"/>
  <c r="B64" i="5" s="1"/>
  <c r="F31" i="34"/>
  <c r="B37" i="5" s="1"/>
  <c r="F16" i="34"/>
  <c r="B22" i="5" s="1"/>
  <c r="F18" i="34"/>
  <c r="B24" i="5" s="1"/>
  <c r="F46" i="34"/>
  <c r="B52" i="5" s="1"/>
  <c r="F47" i="34"/>
  <c r="B53" i="5" s="1"/>
  <c r="F59" i="34"/>
  <c r="B65" i="5" s="1"/>
  <c r="F13" i="34"/>
  <c r="B19" i="5" s="1"/>
  <c r="F33" i="34"/>
  <c r="B39" i="5" s="1"/>
  <c r="F55" i="34"/>
  <c r="B61" i="5" s="1"/>
  <c r="F30" i="34"/>
  <c r="B36" i="5" s="1"/>
  <c r="F14" i="34"/>
  <c r="B20" i="5" s="1"/>
  <c r="F29" i="34"/>
  <c r="B35" i="5" s="1"/>
  <c r="F32" i="34"/>
  <c r="B38" i="5" s="1"/>
  <c r="F26" i="34"/>
  <c r="B32" i="5" s="1"/>
  <c r="F27" i="34"/>
  <c r="B33" i="5" s="1"/>
  <c r="F7" i="34"/>
  <c r="B13" i="5" s="1"/>
  <c r="F19" i="34"/>
  <c r="B25" i="5" s="1"/>
  <c r="F9" i="34"/>
  <c r="B15" i="5" s="1"/>
  <c r="F57" i="34"/>
  <c r="B63" i="5" s="1"/>
  <c r="F11" i="34"/>
  <c r="B17" i="5" s="1"/>
  <c r="F24" i="34"/>
  <c r="B30" i="5" s="1"/>
  <c r="F60" i="34"/>
  <c r="B66" i="5" s="1"/>
  <c r="Q7" i="34"/>
  <c r="Q8" i="34" s="1"/>
  <c r="F44" i="34"/>
  <c r="B50" i="5" s="1"/>
  <c r="Q24" i="34"/>
  <c r="Q25" i="34" s="1"/>
  <c r="Q26" i="34" s="1"/>
  <c r="Q27" i="34" s="1"/>
  <c r="Q28" i="34" s="1"/>
  <c r="Q29" i="34" s="1"/>
  <c r="Q30" i="34" s="1"/>
  <c r="Q31" i="34" s="1"/>
  <c r="Q32" i="34" s="1"/>
  <c r="Q33" i="34" s="1"/>
  <c r="Q38" i="34" s="1"/>
  <c r="Q39" i="34" s="1"/>
  <c r="Q44" i="34" s="1"/>
  <c r="Q45" i="34" s="1"/>
  <c r="Q46" i="34" s="1"/>
  <c r="Q47" i="34" s="1"/>
  <c r="Q48" i="34" s="1"/>
  <c r="Q49" i="34" s="1"/>
  <c r="Q50" i="34" s="1"/>
  <c r="Q55" i="34" s="1"/>
  <c r="Q56" i="34" s="1"/>
  <c r="Q57" i="34" s="1"/>
  <c r="Q58" i="34" s="1"/>
  <c r="Q59" i="34" s="1"/>
  <c r="Q60" i="34" s="1"/>
  <c r="Q61" i="34" s="1"/>
  <c r="F61" i="34"/>
  <c r="B67" i="5" s="1"/>
  <c r="B44" i="5" l="1"/>
  <c r="A44" i="5"/>
  <c r="F18" i="33"/>
  <c r="L870" i="34"/>
  <c r="C6" i="43"/>
  <c r="C7" i="43" s="1"/>
  <c r="C9" i="43" s="1"/>
  <c r="B6" i="43"/>
  <c r="B7" i="43" s="1"/>
  <c r="B9" i="43" s="1"/>
  <c r="G26" i="16"/>
  <c r="B45" i="5"/>
  <c r="D30" i="5"/>
  <c r="D18" i="16" s="1"/>
  <c r="E30" i="5"/>
  <c r="E18" i="16" s="1"/>
  <c r="E56" i="5"/>
  <c r="D56" i="5"/>
  <c r="E35" i="5"/>
  <c r="D35" i="5"/>
  <c r="A53" i="5"/>
  <c r="E53" i="5"/>
  <c r="D53" i="5"/>
  <c r="D34" i="5"/>
  <c r="E34" i="5"/>
  <c r="A21" i="5"/>
  <c r="A13" i="16" s="1"/>
  <c r="E21" i="5"/>
  <c r="E13" i="16" s="1"/>
  <c r="D21" i="5"/>
  <c r="D13" i="16" s="1"/>
  <c r="D63" i="5"/>
  <c r="D40" i="16" s="1"/>
  <c r="E63" i="5"/>
  <c r="E40" i="16" s="1"/>
  <c r="D20" i="5"/>
  <c r="D12" i="16" s="1"/>
  <c r="E20" i="5"/>
  <c r="B33" i="16"/>
  <c r="E52" i="5"/>
  <c r="D52" i="5"/>
  <c r="D33" i="16" s="1"/>
  <c r="C31" i="5"/>
  <c r="C19" i="16" s="1"/>
  <c r="E31" i="5"/>
  <c r="E19" i="16" s="1"/>
  <c r="D31" i="5"/>
  <c r="D19" i="16" s="1"/>
  <c r="C55" i="5"/>
  <c r="E55" i="5"/>
  <c r="D55" i="5"/>
  <c r="E32" i="5"/>
  <c r="E20" i="16" s="1"/>
  <c r="D32" i="5"/>
  <c r="D20" i="16" s="1"/>
  <c r="G42" i="16"/>
  <c r="D65" i="5"/>
  <c r="D42" i="16" s="1"/>
  <c r="E65" i="5"/>
  <c r="E42" i="16" s="1"/>
  <c r="E17" i="5"/>
  <c r="E9" i="16" s="1"/>
  <c r="D17" i="5"/>
  <c r="E15" i="5"/>
  <c r="E7" i="16" s="1"/>
  <c r="D15" i="5"/>
  <c r="D36" i="5"/>
  <c r="E36" i="5"/>
  <c r="C16" i="5"/>
  <c r="C8" i="16" s="1"/>
  <c r="D16" i="5"/>
  <c r="D8" i="16" s="1"/>
  <c r="E16" i="5"/>
  <c r="E8" i="16" s="1"/>
  <c r="C22" i="5"/>
  <c r="E22" i="5"/>
  <c r="D22" i="5"/>
  <c r="E44" i="5"/>
  <c r="D44" i="5"/>
  <c r="E50" i="5"/>
  <c r="E31" i="16" s="1"/>
  <c r="D50" i="5"/>
  <c r="D31" i="16" s="1"/>
  <c r="E39" i="5"/>
  <c r="D39" i="5"/>
  <c r="D37" i="5"/>
  <c r="E37" i="5"/>
  <c r="D12" i="5"/>
  <c r="D4" i="16" s="1"/>
  <c r="E12" i="5"/>
  <c r="E4" i="16" s="1"/>
  <c r="E54" i="5"/>
  <c r="D54" i="5"/>
  <c r="E38" i="5"/>
  <c r="D38" i="5"/>
  <c r="E62" i="5"/>
  <c r="E39" i="16" s="1"/>
  <c r="D62" i="5"/>
  <c r="D39" i="16" s="1"/>
  <c r="E67" i="5"/>
  <c r="D67" i="5"/>
  <c r="A24" i="5"/>
  <c r="E24" i="5"/>
  <c r="D24" i="5"/>
  <c r="B6" i="16"/>
  <c r="E14" i="5"/>
  <c r="E6" i="16" s="1"/>
  <c r="D14" i="5"/>
  <c r="D6" i="16" s="1"/>
  <c r="D25" i="5"/>
  <c r="E25" i="5"/>
  <c r="D61" i="5"/>
  <c r="E61" i="5"/>
  <c r="E38" i="16" s="1"/>
  <c r="A18" i="5"/>
  <c r="A10" i="16" s="1"/>
  <c r="E18" i="5"/>
  <c r="E10" i="16" s="1"/>
  <c r="D18" i="5"/>
  <c r="D10" i="16" s="1"/>
  <c r="D13" i="5"/>
  <c r="D5" i="16" s="1"/>
  <c r="E13" i="5"/>
  <c r="E5" i="16" s="1"/>
  <c r="E33" i="5"/>
  <c r="E21" i="16" s="1"/>
  <c r="D33" i="5"/>
  <c r="E19" i="5"/>
  <c r="E11" i="16" s="1"/>
  <c r="D19" i="5"/>
  <c r="D11" i="16" s="1"/>
  <c r="B41" i="16"/>
  <c r="D64" i="5"/>
  <c r="D41" i="16" s="1"/>
  <c r="E64" i="5"/>
  <c r="E41" i="16" s="1"/>
  <c r="C51" i="5"/>
  <c r="C32" i="16" s="1"/>
  <c r="E51" i="5"/>
  <c r="E32" i="16" s="1"/>
  <c r="D51" i="5"/>
  <c r="E66" i="5"/>
  <c r="D66" i="5"/>
  <c r="A23" i="5"/>
  <c r="D23" i="5"/>
  <c r="E23" i="5"/>
  <c r="E45" i="5"/>
  <c r="E26" i="16" s="1"/>
  <c r="D45" i="5"/>
  <c r="A45" i="5"/>
  <c r="A26" i="16" s="1"/>
  <c r="C45" i="5"/>
  <c r="C26" i="16" s="1"/>
  <c r="B26" i="16"/>
  <c r="C54" i="5"/>
  <c r="A54" i="5"/>
  <c r="G10" i="16"/>
  <c r="B10" i="16"/>
  <c r="C18" i="5"/>
  <c r="C10" i="16" s="1"/>
  <c r="A14" i="5"/>
  <c r="A6" i="16" s="1"/>
  <c r="C14" i="5"/>
  <c r="C6" i="16" s="1"/>
  <c r="G6" i="16"/>
  <c r="C12" i="5"/>
  <c r="C4" i="16" s="1"/>
  <c r="G13" i="16"/>
  <c r="C21" i="5"/>
  <c r="C13" i="16" s="1"/>
  <c r="B13" i="16"/>
  <c r="A55" i="5"/>
  <c r="C62" i="5"/>
  <c r="C39" i="16" s="1"/>
  <c r="A62" i="5"/>
  <c r="A39" i="16" s="1"/>
  <c r="B39" i="16"/>
  <c r="G39" i="16"/>
  <c r="G32" i="16"/>
  <c r="B32" i="16"/>
  <c r="A51" i="5"/>
  <c r="A32" i="16" s="1"/>
  <c r="N39" i="36"/>
  <c r="G4" i="16"/>
  <c r="A12" i="5"/>
  <c r="A4" i="16" s="1"/>
  <c r="B4" i="16"/>
  <c r="A56" i="5"/>
  <c r="F40" i="34"/>
  <c r="C44" i="5"/>
  <c r="B8" i="16"/>
  <c r="B19" i="16"/>
  <c r="A31" i="5"/>
  <c r="A19" i="16" s="1"/>
  <c r="G41" i="16"/>
  <c r="C64" i="5"/>
  <c r="C41" i="16" s="1"/>
  <c r="G8" i="16"/>
  <c r="A52" i="5"/>
  <c r="A33" i="16" s="1"/>
  <c r="A16" i="5"/>
  <c r="A8" i="16" s="1"/>
  <c r="A34" i="5"/>
  <c r="C34" i="5"/>
  <c r="G19" i="16"/>
  <c r="A64" i="5"/>
  <c r="A41" i="16" s="1"/>
  <c r="C23" i="5"/>
  <c r="C56" i="5"/>
  <c r="A37" i="5"/>
  <c r="C37" i="5"/>
  <c r="C24" i="5"/>
  <c r="A22" i="5"/>
  <c r="C52" i="5"/>
  <c r="C33" i="16" s="1"/>
  <c r="G33" i="16"/>
  <c r="C65" i="5"/>
  <c r="C42" i="16" s="1"/>
  <c r="B42" i="16"/>
  <c r="A65" i="5"/>
  <c r="A42" i="16" s="1"/>
  <c r="C53" i="5"/>
  <c r="A17" i="5"/>
  <c r="A9" i="16" s="1"/>
  <c r="G9" i="16"/>
  <c r="B9" i="16"/>
  <c r="C17" i="5"/>
  <c r="C9" i="16" s="1"/>
  <c r="A13" i="5"/>
  <c r="A5" i="16" s="1"/>
  <c r="C13" i="5"/>
  <c r="C5" i="16" s="1"/>
  <c r="B5" i="16"/>
  <c r="G5" i="16"/>
  <c r="A39" i="5"/>
  <c r="C39" i="5"/>
  <c r="C67" i="5"/>
  <c r="A67" i="5"/>
  <c r="A63" i="5"/>
  <c r="A40" i="16" s="1"/>
  <c r="C63" i="5"/>
  <c r="C40" i="16" s="1"/>
  <c r="G40" i="16"/>
  <c r="B40" i="16"/>
  <c r="G21" i="16"/>
  <c r="C33" i="5"/>
  <c r="C21" i="16" s="1"/>
  <c r="B21" i="16"/>
  <c r="A33" i="5"/>
  <c r="A21" i="16" s="1"/>
  <c r="C20" i="5"/>
  <c r="C12" i="16" s="1"/>
  <c r="A20" i="5"/>
  <c r="A12" i="16" s="1"/>
  <c r="B12" i="16"/>
  <c r="G12" i="16"/>
  <c r="A19" i="5"/>
  <c r="A11" i="16" s="1"/>
  <c r="C19" i="5"/>
  <c r="C11" i="16" s="1"/>
  <c r="B11" i="16"/>
  <c r="G11" i="16"/>
  <c r="A66" i="5"/>
  <c r="C66" i="5"/>
  <c r="A15" i="5"/>
  <c r="A7" i="16" s="1"/>
  <c r="B7" i="16"/>
  <c r="C15" i="5"/>
  <c r="C7" i="16" s="1"/>
  <c r="G7" i="16"/>
  <c r="A32" i="5"/>
  <c r="A20" i="16" s="1"/>
  <c r="G20" i="16"/>
  <c r="C32" i="5"/>
  <c r="C20" i="16" s="1"/>
  <c r="B20" i="16"/>
  <c r="C36" i="5"/>
  <c r="A36" i="5"/>
  <c r="F51" i="34"/>
  <c r="A50" i="5"/>
  <c r="A31" i="16" s="1"/>
  <c r="G31" i="16"/>
  <c r="C50" i="5"/>
  <c r="C31" i="16" s="1"/>
  <c r="B31" i="16"/>
  <c r="A35" i="5"/>
  <c r="C35" i="5"/>
  <c r="A30" i="5"/>
  <c r="A18" i="16" s="1"/>
  <c r="B18" i="16"/>
  <c r="G18" i="16"/>
  <c r="C30" i="5"/>
  <c r="C18" i="16" s="1"/>
  <c r="A25" i="5"/>
  <c r="C25" i="5"/>
  <c r="C38" i="5"/>
  <c r="A38" i="5"/>
  <c r="B38" i="16"/>
  <c r="A61" i="5"/>
  <c r="A38" i="16" s="1"/>
  <c r="G38" i="16"/>
  <c r="C61" i="5"/>
  <c r="C38" i="16" s="1"/>
  <c r="F34" i="34"/>
  <c r="F20" i="34"/>
  <c r="F62" i="34"/>
  <c r="Q9" i="34"/>
  <c r="E45" i="9"/>
  <c r="E34" i="9"/>
  <c r="F19" i="33" l="1"/>
  <c r="L932" i="34"/>
  <c r="F54" i="5"/>
  <c r="F17" i="5"/>
  <c r="F9" i="16" s="1"/>
  <c r="F51" i="5"/>
  <c r="F32" i="16" s="1"/>
  <c r="F33" i="5"/>
  <c r="F21" i="16" s="1"/>
  <c r="F39" i="5"/>
  <c r="F55" i="5"/>
  <c r="F34" i="5"/>
  <c r="F56" i="5"/>
  <c r="F22" i="5"/>
  <c r="F15" i="5"/>
  <c r="F7" i="16" s="1"/>
  <c r="F45" i="5"/>
  <c r="F26" i="16" s="1"/>
  <c r="F20" i="5"/>
  <c r="F12" i="16" s="1"/>
  <c r="F13" i="5"/>
  <c r="F5" i="16" s="1"/>
  <c r="F50" i="5"/>
  <c r="F31" i="16" s="1"/>
  <c r="F52" i="5"/>
  <c r="F33" i="16" s="1"/>
  <c r="F23" i="5"/>
  <c r="F64" i="5"/>
  <c r="F41" i="16" s="1"/>
  <c r="F14" i="5"/>
  <c r="F6" i="16" s="1"/>
  <c r="F65" i="5"/>
  <c r="F42" i="16" s="1"/>
  <c r="F63" i="5"/>
  <c r="F40" i="16" s="1"/>
  <c r="F53" i="5"/>
  <c r="F30" i="5"/>
  <c r="F18" i="16" s="1"/>
  <c r="F66" i="5"/>
  <c r="F19" i="5"/>
  <c r="F11" i="16" s="1"/>
  <c r="F24" i="5"/>
  <c r="F38" i="5"/>
  <c r="F37" i="5"/>
  <c r="F36" i="5"/>
  <c r="F32" i="5"/>
  <c r="F20" i="16" s="1"/>
  <c r="F21" i="5"/>
  <c r="F13" i="16" s="1"/>
  <c r="F35" i="5"/>
  <c r="F61" i="5"/>
  <c r="F38" i="16" s="1"/>
  <c r="D38" i="16"/>
  <c r="E33" i="16"/>
  <c r="D26" i="16"/>
  <c r="F25" i="5"/>
  <c r="F67" i="5"/>
  <c r="D7" i="16"/>
  <c r="D21" i="16"/>
  <c r="D32" i="16"/>
  <c r="E12" i="16"/>
  <c r="F62" i="5"/>
  <c r="F39" i="16" s="1"/>
  <c r="F12" i="5"/>
  <c r="F4" i="16" s="1"/>
  <c r="F16" i="5"/>
  <c r="F8" i="16" s="1"/>
  <c r="F31" i="5"/>
  <c r="F19" i="16" s="1"/>
  <c r="F18" i="5"/>
  <c r="F10" i="16" s="1"/>
  <c r="F44" i="5"/>
  <c r="N40" i="36"/>
  <c r="D9" i="16"/>
  <c r="Q10" i="34"/>
  <c r="F52" i="9"/>
  <c r="F20" i="33" l="1"/>
  <c r="L994" i="34"/>
  <c r="N41" i="36"/>
  <c r="Q11" i="34"/>
  <c r="A3" i="29"/>
  <c r="A4" i="29"/>
  <c r="A6" i="29"/>
  <c r="A33" i="29"/>
  <c r="A32" i="29"/>
  <c r="A31" i="29"/>
  <c r="A30" i="29"/>
  <c r="A29" i="29"/>
  <c r="A28" i="29"/>
  <c r="A27" i="29"/>
  <c r="D26" i="29"/>
  <c r="C26" i="29"/>
  <c r="B26" i="29"/>
  <c r="A26" i="29"/>
  <c r="C25" i="29"/>
  <c r="B25" i="29"/>
  <c r="C24" i="29"/>
  <c r="A24" i="29"/>
  <c r="A23" i="29"/>
  <c r="A22" i="29"/>
  <c r="A21" i="29"/>
  <c r="A20" i="29"/>
  <c r="A19" i="29"/>
  <c r="A18" i="29"/>
  <c r="A17" i="29"/>
  <c r="D16" i="29"/>
  <c r="C16" i="29"/>
  <c r="B16" i="29"/>
  <c r="A16" i="29"/>
  <c r="C15" i="29"/>
  <c r="B15" i="29"/>
  <c r="C14" i="29"/>
  <c r="B14" i="29"/>
  <c r="A14" i="29"/>
  <c r="A13" i="29"/>
  <c r="A12" i="29"/>
  <c r="C11" i="29"/>
  <c r="A11" i="29"/>
  <c r="A10" i="29"/>
  <c r="A9" i="29"/>
  <c r="A8" i="29"/>
  <c r="A7" i="29"/>
  <c r="D6" i="29"/>
  <c r="C6" i="29"/>
  <c r="B6" i="29"/>
  <c r="C5" i="29"/>
  <c r="B5" i="29"/>
  <c r="F21" i="33" l="1"/>
  <c r="L1056" i="34"/>
  <c r="N42" i="36"/>
  <c r="Q12" i="34"/>
  <c r="F22" i="33" l="1"/>
  <c r="L1118" i="34"/>
  <c r="N43" i="36"/>
  <c r="Q13" i="34"/>
  <c r="F23" i="33" l="1"/>
  <c r="L1180" i="34"/>
  <c r="N44" i="36"/>
  <c r="Q14" i="34"/>
  <c r="C31" i="29"/>
  <c r="M39" i="10"/>
  <c r="M38" i="10"/>
  <c r="M37" i="10"/>
  <c r="G5" i="10"/>
  <c r="G4" i="10"/>
  <c r="F24" i="33" l="1"/>
  <c r="L1242" i="34"/>
  <c r="N45" i="36"/>
  <c r="Q15" i="34"/>
  <c r="E55" i="9"/>
  <c r="B24" i="29" s="1"/>
  <c r="B3" i="29"/>
  <c r="C21" i="29"/>
  <c r="G18" i="10"/>
  <c r="G17" i="10"/>
  <c r="G9" i="10"/>
  <c r="G8" i="10"/>
  <c r="G7" i="10"/>
  <c r="G6" i="10"/>
  <c r="M18" i="10"/>
  <c r="M17" i="10"/>
  <c r="M9" i="10"/>
  <c r="M8" i="10"/>
  <c r="M7" i="10"/>
  <c r="M6" i="10"/>
  <c r="M5" i="10"/>
  <c r="M4" i="10"/>
  <c r="C4" i="10"/>
  <c r="B39" i="24"/>
  <c r="B40" i="24"/>
  <c r="F25" i="33" l="1"/>
  <c r="L1304" i="34"/>
  <c r="K9" i="10"/>
  <c r="N46" i="36"/>
  <c r="Q16" i="34"/>
  <c r="M40" i="10"/>
  <c r="M41" i="10" s="1"/>
  <c r="D34" i="24"/>
  <c r="B15" i="24"/>
  <c r="B24" i="24"/>
  <c r="G22" i="10"/>
  <c r="F22" i="10"/>
  <c r="E22" i="10"/>
  <c r="D22" i="10"/>
  <c r="C22" i="10"/>
  <c r="B22" i="10"/>
  <c r="F26" i="33" l="1"/>
  <c r="L1366" i="34"/>
  <c r="H12" i="10"/>
  <c r="B4" i="10" s="1"/>
  <c r="K4" i="10" s="1"/>
  <c r="H55" i="10"/>
  <c r="B47" i="10" s="1"/>
  <c r="K47" i="10" s="1"/>
  <c r="N47" i="36"/>
  <c r="Q17" i="34"/>
  <c r="C9" i="10"/>
  <c r="C8" i="10"/>
  <c r="C6" i="10"/>
  <c r="C5" i="10"/>
  <c r="H59" i="13"/>
  <c r="G59" i="13"/>
  <c r="G70" i="13"/>
  <c r="S81" i="11"/>
  <c r="S80" i="11"/>
  <c r="S79" i="11"/>
  <c r="H72" i="13"/>
  <c r="G72" i="13"/>
  <c r="H71" i="13"/>
  <c r="G71" i="13"/>
  <c r="G51" i="13"/>
  <c r="S60" i="11"/>
  <c r="G45" i="13"/>
  <c r="G44" i="13"/>
  <c r="G43" i="13"/>
  <c r="S54" i="11"/>
  <c r="S53" i="11"/>
  <c r="S52" i="11"/>
  <c r="AF62" i="11"/>
  <c r="V62" i="11"/>
  <c r="A37" i="4"/>
  <c r="D34" i="25"/>
  <c r="C35" i="4"/>
  <c r="C32" i="4"/>
  <c r="A19" i="4"/>
  <c r="C23" i="4"/>
  <c r="C22" i="4"/>
  <c r="C21" i="4"/>
  <c r="C20" i="4"/>
  <c r="A23" i="4"/>
  <c r="A26" i="32" s="1"/>
  <c r="A22" i="4"/>
  <c r="A25" i="32" s="1"/>
  <c r="A21" i="4"/>
  <c r="A24" i="32" s="1"/>
  <c r="A20" i="4"/>
  <c r="A23" i="32" s="1"/>
  <c r="A34" i="32"/>
  <c r="A31" i="32"/>
  <c r="F27" i="33" l="1"/>
  <c r="L1428" i="34"/>
  <c r="L69" i="10"/>
  <c r="N48" i="36"/>
  <c r="Q18" i="34"/>
  <c r="S68" i="11"/>
  <c r="B38" i="10"/>
  <c r="A38" i="10"/>
  <c r="F28" i="33" l="1"/>
  <c r="L1490" i="34"/>
  <c r="K53" i="10"/>
  <c r="D72" i="10" s="1"/>
  <c r="D76" i="10" s="1"/>
  <c r="N49" i="36"/>
  <c r="N50" i="36" s="1"/>
  <c r="N51" i="36" s="1"/>
  <c r="N52" i="36" s="1"/>
  <c r="N53" i="36" s="1"/>
  <c r="Q19" i="34"/>
  <c r="F29" i="33" l="1"/>
  <c r="L1552" i="34"/>
  <c r="C72" i="10"/>
  <c r="C76" i="10" s="1"/>
  <c r="G72" i="10"/>
  <c r="G76" i="10" s="1"/>
  <c r="F72" i="10"/>
  <c r="F76" i="10" s="1"/>
  <c r="E72" i="10"/>
  <c r="E76" i="10" s="1"/>
  <c r="B72" i="10"/>
  <c r="B76" i="10" s="1"/>
  <c r="N54" i="36"/>
  <c r="N58" i="36" s="1"/>
  <c r="N59" i="36" s="1"/>
  <c r="N60" i="36" s="1"/>
  <c r="N64" i="36" s="1"/>
  <c r="N65" i="36" s="1"/>
  <c r="N66" i="36" s="1"/>
  <c r="N67" i="36" s="1"/>
  <c r="N68" i="36" s="1"/>
  <c r="N69" i="36" s="1"/>
  <c r="N70" i="36" s="1"/>
  <c r="N71" i="36" s="1"/>
  <c r="N72" i="36" s="1"/>
  <c r="N73" i="36" s="1"/>
  <c r="N74" i="36" s="1"/>
  <c r="N75" i="36" s="1"/>
  <c r="N76" i="36" s="1"/>
  <c r="N77" i="36" s="1"/>
  <c r="N78" i="36" s="1"/>
  <c r="N79" i="36" s="1"/>
  <c r="N80" i="36" s="1"/>
  <c r="N81" i="36" s="1"/>
  <c r="F30" i="33" l="1"/>
  <c r="L1614" i="34"/>
  <c r="L32" i="36"/>
  <c r="C71" i="36"/>
  <c r="D71" i="6" s="1"/>
  <c r="E59" i="36"/>
  <c r="F59" i="6" s="1"/>
  <c r="E24" i="36"/>
  <c r="F24" i="6" s="1"/>
  <c r="P24" i="39" s="1"/>
  <c r="A31" i="36"/>
  <c r="A31" i="20" s="1"/>
  <c r="A31" i="6" s="1"/>
  <c r="B22" i="41" s="1"/>
  <c r="E51" i="36"/>
  <c r="F51" i="6" s="1"/>
  <c r="I79" i="36"/>
  <c r="C79" i="20" s="1"/>
  <c r="G14" i="36"/>
  <c r="B17" i="36"/>
  <c r="C17" i="6" s="1"/>
  <c r="C17" i="39" s="1"/>
  <c r="F23" i="36"/>
  <c r="G23" i="6" s="1"/>
  <c r="Q23" i="39" s="1"/>
  <c r="AD23" i="39" s="1"/>
  <c r="A43" i="36"/>
  <c r="A43" i="20" s="1"/>
  <c r="A43" i="6" s="1"/>
  <c r="B34" i="41" s="1"/>
  <c r="H54" i="36"/>
  <c r="B54" i="20" s="1"/>
  <c r="L81" i="36"/>
  <c r="I78" i="36"/>
  <c r="C78" i="20" s="1"/>
  <c r="M78" i="39" s="1"/>
  <c r="J18" i="36"/>
  <c r="G29" i="36"/>
  <c r="F60" i="36"/>
  <c r="G60" i="6" s="1"/>
  <c r="C15" i="36"/>
  <c r="D15" i="6" s="1"/>
  <c r="E81" i="36"/>
  <c r="F81" i="6" s="1"/>
  <c r="P81" i="39" s="1"/>
  <c r="D44" i="36"/>
  <c r="E44" i="6" s="1"/>
  <c r="L44" i="39" s="1"/>
  <c r="I45" i="36"/>
  <c r="C45" i="20" s="1"/>
  <c r="M45" i="39" s="1"/>
  <c r="B77" i="36"/>
  <c r="C77" i="6" s="1"/>
  <c r="B67" i="36"/>
  <c r="C67" i="6" s="1"/>
  <c r="C67" i="39" s="1"/>
  <c r="L16" i="36"/>
  <c r="E31" i="36"/>
  <c r="F31" i="6" s="1"/>
  <c r="P31" i="39" s="1"/>
  <c r="G36" i="36"/>
  <c r="K41" i="36"/>
  <c r="F41" i="20" s="1"/>
  <c r="E46" i="36"/>
  <c r="F46" i="6" s="1"/>
  <c r="B54" i="36"/>
  <c r="C54" i="6" s="1"/>
  <c r="C54" i="39" s="1"/>
  <c r="H15" i="36"/>
  <c r="B15" i="20" s="1"/>
  <c r="F71" i="36"/>
  <c r="G71" i="6" s="1"/>
  <c r="J81" i="36"/>
  <c r="K22" i="36"/>
  <c r="F22" i="20" s="1"/>
  <c r="K25" i="36"/>
  <c r="F25" i="20" s="1"/>
  <c r="F45" i="36"/>
  <c r="G45" i="6" s="1"/>
  <c r="Q45" i="39" s="1"/>
  <c r="AD45" i="39" s="1"/>
  <c r="H24" i="36"/>
  <c r="B24" i="20" s="1"/>
  <c r="G64" i="36"/>
  <c r="H64" i="6" s="1"/>
  <c r="R64" i="39" s="1"/>
  <c r="AG64" i="39" s="1"/>
  <c r="G18" i="36"/>
  <c r="H68" i="36"/>
  <c r="B68" i="20" s="1"/>
  <c r="J77" i="36"/>
  <c r="J73" i="36"/>
  <c r="C36" i="36"/>
  <c r="D36" i="6" s="1"/>
  <c r="G34" i="36"/>
  <c r="I46" i="36"/>
  <c r="C46" i="20" s="1"/>
  <c r="M46" i="39" s="1"/>
  <c r="H32" i="36"/>
  <c r="B32" i="20" s="1"/>
  <c r="G39" i="36"/>
  <c r="F21" i="36"/>
  <c r="G21" i="6" s="1"/>
  <c r="Q21" i="39" s="1"/>
  <c r="AD21" i="39" s="1"/>
  <c r="H17" i="36"/>
  <c r="B17" i="20" s="1"/>
  <c r="H30" i="36"/>
  <c r="B30" i="20" s="1"/>
  <c r="I54" i="36"/>
  <c r="C54" i="20" s="1"/>
  <c r="E25" i="36"/>
  <c r="F25" i="6" s="1"/>
  <c r="F30" i="36"/>
  <c r="G30" i="6" s="1"/>
  <c r="Q30" i="39" s="1"/>
  <c r="AD30" i="39" s="1"/>
  <c r="A47" i="36"/>
  <c r="A47" i="20" s="1"/>
  <c r="A47" i="6" s="1"/>
  <c r="B38" i="41" s="1"/>
  <c r="L48" i="36"/>
  <c r="E21" i="36"/>
  <c r="F21" i="6" s="1"/>
  <c r="P21" i="39" s="1"/>
  <c r="L25" i="36"/>
  <c r="B74" i="36"/>
  <c r="C74" i="6" s="1"/>
  <c r="L52" i="36"/>
  <c r="J75" i="36"/>
  <c r="L79" i="36"/>
  <c r="G79" i="20" s="1"/>
  <c r="B59" i="36"/>
  <c r="C59" i="6" s="1"/>
  <c r="C59" i="39" s="1"/>
  <c r="D26" i="36"/>
  <c r="E26" i="6" s="1"/>
  <c r="L26" i="39" s="1"/>
  <c r="D48" i="36"/>
  <c r="E48" i="6" s="1"/>
  <c r="L48" i="39" s="1"/>
  <c r="D78" i="36"/>
  <c r="E78" i="6" s="1"/>
  <c r="L78" i="39" s="1"/>
  <c r="H27" i="36"/>
  <c r="B27" i="20" s="1"/>
  <c r="L58" i="36"/>
  <c r="G58" i="20" s="1"/>
  <c r="H75" i="36"/>
  <c r="B75" i="20" s="1"/>
  <c r="I25" i="36"/>
  <c r="C25" i="20" s="1"/>
  <c r="M25" i="39" s="1"/>
  <c r="K45" i="36"/>
  <c r="F45" i="20" s="1"/>
  <c r="L34" i="36"/>
  <c r="L41" i="36"/>
  <c r="H42" i="36"/>
  <c r="B42" i="20" s="1"/>
  <c r="B64" i="36"/>
  <c r="C64" i="6" s="1"/>
  <c r="L75" i="36"/>
  <c r="G75" i="20" s="1"/>
  <c r="A51" i="36"/>
  <c r="A51" i="20" s="1"/>
  <c r="A51" i="6" s="1"/>
  <c r="B42" i="41" s="1"/>
  <c r="B37" i="36"/>
  <c r="C37" i="6" s="1"/>
  <c r="H70" i="36"/>
  <c r="B70" i="20" s="1"/>
  <c r="D34" i="36"/>
  <c r="E34" i="6" s="1"/>
  <c r="L34" i="39" s="1"/>
  <c r="D19" i="36"/>
  <c r="E19" i="6" s="1"/>
  <c r="L19" i="39" s="1"/>
  <c r="D16" i="36"/>
  <c r="E16" i="6" s="1"/>
  <c r="L16" i="39" s="1"/>
  <c r="E71" i="36"/>
  <c r="F71" i="6" s="1"/>
  <c r="B25" i="36"/>
  <c r="C25" i="6" s="1"/>
  <c r="I39" i="36"/>
  <c r="C39" i="20" s="1"/>
  <c r="M39" i="39" s="1"/>
  <c r="B43" i="36"/>
  <c r="C43" i="6" s="1"/>
  <c r="E74" i="36"/>
  <c r="F74" i="6" s="1"/>
  <c r="H39" i="36"/>
  <c r="B39" i="20" s="1"/>
  <c r="F69" i="36"/>
  <c r="G69" i="6" s="1"/>
  <c r="H58" i="36"/>
  <c r="B58" i="20" s="1"/>
  <c r="I47" i="36"/>
  <c r="C47" i="20" s="1"/>
  <c r="M47" i="39" s="1"/>
  <c r="B20" i="36"/>
  <c r="C20" i="6" s="1"/>
  <c r="L21" i="36"/>
  <c r="F59" i="36"/>
  <c r="G59" i="6" s="1"/>
  <c r="B60" i="36"/>
  <c r="C60" i="6" s="1"/>
  <c r="C60" i="39" s="1"/>
  <c r="H35" i="36"/>
  <c r="B35" i="20" s="1"/>
  <c r="G32" i="36"/>
  <c r="I65" i="36"/>
  <c r="C65" i="20" s="1"/>
  <c r="M65" i="39" s="1"/>
  <c r="F18" i="36"/>
  <c r="G18" i="6" s="1"/>
  <c r="Q18" i="39" s="1"/>
  <c r="AD18" i="39" s="1"/>
  <c r="K21" i="36"/>
  <c r="F21" i="20" s="1"/>
  <c r="H78" i="36"/>
  <c r="B78" i="20" s="1"/>
  <c r="J24" i="36"/>
  <c r="K44" i="36"/>
  <c r="F44" i="20" s="1"/>
  <c r="I75" i="36"/>
  <c r="C75" i="20" s="1"/>
  <c r="M75" i="39" s="1"/>
  <c r="C32" i="36"/>
  <c r="D32" i="6" s="1"/>
  <c r="J26" i="36"/>
  <c r="L19" i="36"/>
  <c r="J43" i="36"/>
  <c r="I76" i="36"/>
  <c r="C76" i="20" s="1"/>
  <c r="M76" i="39" s="1"/>
  <c r="C23" i="36"/>
  <c r="D23" i="6" s="1"/>
  <c r="E37" i="36"/>
  <c r="F37" i="6" s="1"/>
  <c r="C19" i="36"/>
  <c r="D19" i="6" s="1"/>
  <c r="E76" i="36"/>
  <c r="F76" i="6" s="1"/>
  <c r="K42" i="36"/>
  <c r="F42" i="20" s="1"/>
  <c r="B21" i="36"/>
  <c r="C21" i="6" s="1"/>
  <c r="C21" i="39" s="1"/>
  <c r="H34" i="36"/>
  <c r="B34" i="20" s="1"/>
  <c r="H80" i="36"/>
  <c r="B80" i="20" s="1"/>
  <c r="A23" i="36"/>
  <c r="A23" i="20" s="1"/>
  <c r="A23" i="6" s="1"/>
  <c r="B14" i="41" s="1"/>
  <c r="E14" i="36"/>
  <c r="F14" i="6" s="1"/>
  <c r="P14" i="39" s="1"/>
  <c r="I72" i="36"/>
  <c r="C72" i="20" s="1"/>
  <c r="M72" i="39" s="1"/>
  <c r="L68" i="36"/>
  <c r="H81" i="36"/>
  <c r="B81" i="20" s="1"/>
  <c r="J50" i="36"/>
  <c r="A75" i="36"/>
  <c r="A75" i="20" s="1"/>
  <c r="A75" i="6" s="1"/>
  <c r="B66" i="41" s="1"/>
  <c r="L39" i="36"/>
  <c r="C16" i="36"/>
  <c r="D16" i="6" s="1"/>
  <c r="F50" i="36"/>
  <c r="G50" i="6" s="1"/>
  <c r="Q50" i="39" s="1"/>
  <c r="AD50" i="39" s="1"/>
  <c r="C60" i="36"/>
  <c r="D60" i="6" s="1"/>
  <c r="L17" i="36"/>
  <c r="B48" i="36"/>
  <c r="C48" i="6" s="1"/>
  <c r="G77" i="36"/>
  <c r="B24" i="36"/>
  <c r="C24" i="6" s="1"/>
  <c r="C24" i="39" s="1"/>
  <c r="B44" i="36"/>
  <c r="C44" i="6" s="1"/>
  <c r="C44" i="39" s="1"/>
  <c r="J40" i="36"/>
  <c r="B58" i="36"/>
  <c r="C58" i="6" s="1"/>
  <c r="F47" i="36"/>
  <c r="G47" i="6" s="1"/>
  <c r="Q47" i="39" s="1"/>
  <c r="AD47" i="39" s="1"/>
  <c r="H67" i="36"/>
  <c r="B67" i="20" s="1"/>
  <c r="B16" i="36"/>
  <c r="C16" i="6" s="1"/>
  <c r="C16" i="39" s="1"/>
  <c r="L46" i="36"/>
  <c r="D20" i="36"/>
  <c r="E20" i="6" s="1"/>
  <c r="L20" i="39" s="1"/>
  <c r="B80" i="36"/>
  <c r="C80" i="6" s="1"/>
  <c r="C80" i="39" s="1"/>
  <c r="C47" i="36"/>
  <c r="D47" i="6" s="1"/>
  <c r="B70" i="36"/>
  <c r="C70" i="6" s="1"/>
  <c r="L22" i="36"/>
  <c r="I52" i="36"/>
  <c r="C52" i="20" s="1"/>
  <c r="H18" i="36"/>
  <c r="B18" i="20" s="1"/>
  <c r="H33" i="36"/>
  <c r="B33" i="20" s="1"/>
  <c r="A42" i="36"/>
  <c r="A42" i="20" s="1"/>
  <c r="A42" i="6" s="1"/>
  <c r="B33" i="41" s="1"/>
  <c r="E60" i="36"/>
  <c r="F60" i="6" s="1"/>
  <c r="H76" i="36"/>
  <c r="B76" i="20" s="1"/>
  <c r="B71" i="36"/>
  <c r="C71" i="6" s="1"/>
  <c r="I36" i="36"/>
  <c r="C36" i="20" s="1"/>
  <c r="M36" i="39" s="1"/>
  <c r="E53" i="36"/>
  <c r="F53" i="6" s="1"/>
  <c r="P53" i="39" s="1"/>
  <c r="D35" i="36"/>
  <c r="E35" i="6" s="1"/>
  <c r="L35" i="39" s="1"/>
  <c r="E72" i="36"/>
  <c r="F72" i="6" s="1"/>
  <c r="L35" i="36"/>
  <c r="A35" i="36"/>
  <c r="A35" i="20" s="1"/>
  <c r="A35" i="6" s="1"/>
  <c r="B26" i="41" s="1"/>
  <c r="H69" i="36"/>
  <c r="B69" i="20" s="1"/>
  <c r="L44" i="36"/>
  <c r="B32" i="36"/>
  <c r="C32" i="6" s="1"/>
  <c r="J37" i="36"/>
  <c r="L76" i="36"/>
  <c r="F70" i="36"/>
  <c r="G70" i="6" s="1"/>
  <c r="F17" i="36"/>
  <c r="G17" i="6" s="1"/>
  <c r="Q17" i="39" s="1"/>
  <c r="AD17" i="39" s="1"/>
  <c r="H36" i="36"/>
  <c r="B36" i="20" s="1"/>
  <c r="J31" i="36"/>
  <c r="D15" i="36"/>
  <c r="E15" i="6" s="1"/>
  <c r="L15" i="39" s="1"/>
  <c r="C30" i="36"/>
  <c r="D30" i="6" s="1"/>
  <c r="A36" i="36"/>
  <c r="A36" i="20" s="1"/>
  <c r="A36" i="6" s="1"/>
  <c r="B27" i="41" s="1"/>
  <c r="C25" i="36"/>
  <c r="D25" i="6" s="1"/>
  <c r="D59" i="36"/>
  <c r="E59" i="6" s="1"/>
  <c r="L59" i="39" s="1"/>
  <c r="H31" i="36"/>
  <c r="B31" i="20" s="1"/>
  <c r="A22" i="36"/>
  <c r="A22" i="20" s="1"/>
  <c r="A22" i="6" s="1"/>
  <c r="B13" i="41" s="1"/>
  <c r="A34" i="36"/>
  <c r="A34" i="20" s="1"/>
  <c r="A34" i="6" s="1"/>
  <c r="B25" i="41" s="1"/>
  <c r="D79" i="36"/>
  <c r="E79" i="6" s="1"/>
  <c r="E42" i="36"/>
  <c r="F42" i="6" s="1"/>
  <c r="G60" i="36"/>
  <c r="H60" i="6" s="1"/>
  <c r="D52" i="36"/>
  <c r="E52" i="6" s="1"/>
  <c r="F16" i="36"/>
  <c r="G16" i="6" s="1"/>
  <c r="Q16" i="39" s="1"/>
  <c r="AD16" i="39" s="1"/>
  <c r="L77" i="36"/>
  <c r="F78" i="36"/>
  <c r="G78" i="6" s="1"/>
  <c r="Q78" i="39" s="1"/>
  <c r="AD78" i="39" s="1"/>
  <c r="H45" i="36"/>
  <c r="B45" i="20" s="1"/>
  <c r="H38" i="36"/>
  <c r="B38" i="20" s="1"/>
  <c r="H60" i="36"/>
  <c r="B60" i="20" s="1"/>
  <c r="C51" i="36"/>
  <c r="D51" i="6" s="1"/>
  <c r="H44" i="36"/>
  <c r="B44" i="20" s="1"/>
  <c r="E33" i="36"/>
  <c r="F33" i="6" s="1"/>
  <c r="D27" i="36"/>
  <c r="E27" i="6" s="1"/>
  <c r="L27" i="39" s="1"/>
  <c r="D66" i="36"/>
  <c r="E66" i="6" s="1"/>
  <c r="L66" i="39" s="1"/>
  <c r="J27" i="36"/>
  <c r="D14" i="36"/>
  <c r="E14" i="6" s="1"/>
  <c r="L14" i="39" s="1"/>
  <c r="J47" i="36"/>
  <c r="H43" i="36"/>
  <c r="B43" i="20" s="1"/>
  <c r="B46" i="36"/>
  <c r="C46" i="6" s="1"/>
  <c r="K77" i="36"/>
  <c r="F77" i="20" s="1"/>
  <c r="E30" i="36"/>
  <c r="F30" i="6" s="1"/>
  <c r="P30" i="39" s="1"/>
  <c r="J41" i="36"/>
  <c r="L54" i="36"/>
  <c r="F81" i="36"/>
  <c r="G81" i="6" s="1"/>
  <c r="E80" i="36"/>
  <c r="F80" i="6" s="1"/>
  <c r="P80" i="39" s="1"/>
  <c r="K46" i="36"/>
  <c r="F46" i="20" s="1"/>
  <c r="G37" i="36"/>
  <c r="G23" i="36"/>
  <c r="L40" i="36"/>
  <c r="B45" i="36"/>
  <c r="C45" i="6" s="1"/>
  <c r="C45" i="39" s="1"/>
  <c r="L37" i="36"/>
  <c r="A33" i="36"/>
  <c r="A33" i="20" s="1"/>
  <c r="A33" i="6" s="1"/>
  <c r="B24" i="41" s="1"/>
  <c r="L30" i="36"/>
  <c r="B36" i="36"/>
  <c r="C36" i="6" s="1"/>
  <c r="J44" i="36"/>
  <c r="K60" i="36"/>
  <c r="F60" i="20" s="1"/>
  <c r="F58" i="36"/>
  <c r="G58" i="6" s="1"/>
  <c r="J15" i="36"/>
  <c r="L64" i="36"/>
  <c r="G64" i="20" s="1"/>
  <c r="A69" i="36"/>
  <c r="A69" i="20" s="1"/>
  <c r="A69" i="6" s="1"/>
  <c r="B60" i="41" s="1"/>
  <c r="D42" i="36"/>
  <c r="E42" i="6" s="1"/>
  <c r="L42" i="39" s="1"/>
  <c r="I42" i="36"/>
  <c r="C42" i="20" s="1"/>
  <c r="C42" i="36"/>
  <c r="D42" i="6" s="1"/>
  <c r="F74" i="36"/>
  <c r="G74" i="6" s="1"/>
  <c r="Q74" i="39" s="1"/>
  <c r="AD74" i="39" s="1"/>
  <c r="G65" i="36"/>
  <c r="B69" i="36"/>
  <c r="C69" i="6" s="1"/>
  <c r="G41" i="36"/>
  <c r="A45" i="36"/>
  <c r="A45" i="20" s="1"/>
  <c r="A45" i="6" s="1"/>
  <c r="B36" i="41" s="1"/>
  <c r="K31" i="36"/>
  <c r="F31" i="20" s="1"/>
  <c r="C45" i="36"/>
  <c r="D45" i="6" s="1"/>
  <c r="D71" i="36"/>
  <c r="E71" i="6" s="1"/>
  <c r="L71" i="39" s="1"/>
  <c r="I60" i="36"/>
  <c r="C60" i="20" s="1"/>
  <c r="K37" i="36"/>
  <c r="F37" i="20" s="1"/>
  <c r="A64" i="36"/>
  <c r="A64" i="20" s="1"/>
  <c r="A64" i="6" s="1"/>
  <c r="B55" i="41" s="1"/>
  <c r="L23" i="36"/>
  <c r="D40" i="36"/>
  <c r="E40" i="6" s="1"/>
  <c r="L40" i="39" s="1"/>
  <c r="J22" i="36"/>
  <c r="E19" i="36"/>
  <c r="F19" i="6" s="1"/>
  <c r="D49" i="36"/>
  <c r="E49" i="6" s="1"/>
  <c r="L49" i="39" s="1"/>
  <c r="E73" i="36"/>
  <c r="F73" i="6" s="1"/>
  <c r="K16" i="36"/>
  <c r="F16" i="20" s="1"/>
  <c r="I22" i="36"/>
  <c r="C22" i="20" s="1"/>
  <c r="M22" i="39" s="1"/>
  <c r="C34" i="36"/>
  <c r="D34" i="6" s="1"/>
  <c r="F36" i="36"/>
  <c r="G36" i="6" s="1"/>
  <c r="Q36" i="39" s="1"/>
  <c r="AD36" i="39" s="1"/>
  <c r="A30" i="36"/>
  <c r="A30" i="20" s="1"/>
  <c r="A30" i="6" s="1"/>
  <c r="B21" i="41" s="1"/>
  <c r="J38" i="36"/>
  <c r="L31" i="36"/>
  <c r="B30" i="36"/>
  <c r="C30" i="6" s="1"/>
  <c r="C30" i="39" s="1"/>
  <c r="G45" i="36"/>
  <c r="J72" i="36"/>
  <c r="I67" i="36"/>
  <c r="C67" i="20" s="1"/>
  <c r="C31" i="36"/>
  <c r="D31" i="6" s="1"/>
  <c r="C76" i="36"/>
  <c r="D76" i="6" s="1"/>
  <c r="E32" i="36"/>
  <c r="F32" i="6" s="1"/>
  <c r="I37" i="36"/>
  <c r="C37" i="20" s="1"/>
  <c r="M37" i="39" s="1"/>
  <c r="A68" i="36"/>
  <c r="A68" i="20" s="1"/>
  <c r="A68" i="6" s="1"/>
  <c r="B59" i="41" s="1"/>
  <c r="I17" i="36"/>
  <c r="C17" i="20" s="1"/>
  <c r="M17" i="39" s="1"/>
  <c r="D51" i="36"/>
  <c r="E51" i="6" s="1"/>
  <c r="L51" i="39" s="1"/>
  <c r="D45" i="36"/>
  <c r="E45" i="6" s="1"/>
  <c r="L45" i="39" s="1"/>
  <c r="C66" i="36"/>
  <c r="D66" i="6" s="1"/>
  <c r="G17" i="36"/>
  <c r="A77" i="36"/>
  <c r="A77" i="20" s="1"/>
  <c r="A77" i="6" s="1"/>
  <c r="B68" i="41" s="1"/>
  <c r="D31" i="36"/>
  <c r="E31" i="6" s="1"/>
  <c r="L31" i="39" s="1"/>
  <c r="G54" i="36"/>
  <c r="G58" i="36"/>
  <c r="H58" i="6" s="1"/>
  <c r="R58" i="39" s="1"/>
  <c r="AG58" i="39" s="1"/>
  <c r="F76" i="36"/>
  <c r="G76" i="6" s="1"/>
  <c r="Q76" i="39" s="1"/>
  <c r="AD76" i="39" s="1"/>
  <c r="D39" i="36"/>
  <c r="E39" i="6" s="1"/>
  <c r="L39" i="39" s="1"/>
  <c r="G33" i="36"/>
  <c r="L53" i="36"/>
  <c r="C49" i="36"/>
  <c r="D49" i="6" s="1"/>
  <c r="K58" i="36"/>
  <c r="F58" i="20" s="1"/>
  <c r="G30" i="36"/>
  <c r="C40" i="36"/>
  <c r="D40" i="6" s="1"/>
  <c r="D53" i="36"/>
  <c r="E53" i="6" s="1"/>
  <c r="F24" i="36"/>
  <c r="G24" i="6" s="1"/>
  <c r="Q24" i="39" s="1"/>
  <c r="AD24" i="39" s="1"/>
  <c r="I28" i="36"/>
  <c r="C28" i="20" s="1"/>
  <c r="M28" i="39" s="1"/>
  <c r="J67" i="36"/>
  <c r="F31" i="36"/>
  <c r="G31" i="6" s="1"/>
  <c r="Q31" i="39" s="1"/>
  <c r="AD31" i="39" s="1"/>
  <c r="G59" i="36"/>
  <c r="H59" i="6" s="1"/>
  <c r="R59" i="39" s="1"/>
  <c r="AG59" i="39" s="1"/>
  <c r="H65" i="36"/>
  <c r="B65" i="20" s="1"/>
  <c r="A38" i="36"/>
  <c r="A38" i="20" s="1"/>
  <c r="A38" i="6" s="1"/>
  <c r="B29" i="41" s="1"/>
  <c r="D22" i="36"/>
  <c r="E22" i="6" s="1"/>
  <c r="L22" i="39" s="1"/>
  <c r="A20" i="36"/>
  <c r="A20" i="20" s="1"/>
  <c r="A20" i="6" s="1"/>
  <c r="B11" i="41" s="1"/>
  <c r="J64" i="36"/>
  <c r="K40" i="36"/>
  <c r="F40" i="20" s="1"/>
  <c r="C79" i="36"/>
  <c r="D79" i="6" s="1"/>
  <c r="L36" i="36"/>
  <c r="B39" i="36"/>
  <c r="C39" i="6" s="1"/>
  <c r="D43" i="36"/>
  <c r="E43" i="6" s="1"/>
  <c r="L43" i="39" s="1"/>
  <c r="A73" i="36"/>
  <c r="A73" i="20" s="1"/>
  <c r="A73" i="6" s="1"/>
  <c r="B64" i="41" s="1"/>
  <c r="K79" i="36"/>
  <c r="F79" i="20" s="1"/>
  <c r="G76" i="36"/>
  <c r="B41" i="36"/>
  <c r="C41" i="6" s="1"/>
  <c r="B14" i="36"/>
  <c r="C14" i="6" s="1"/>
  <c r="C14" i="39" s="1"/>
  <c r="C14" i="36"/>
  <c r="D14" i="6" s="1"/>
  <c r="K29" i="36"/>
  <c r="F29" i="20" s="1"/>
  <c r="B75" i="36"/>
  <c r="C75" i="6" s="1"/>
  <c r="C75" i="39" s="1"/>
  <c r="A67" i="36"/>
  <c r="A67" i="20" s="1"/>
  <c r="A67" i="6" s="1"/>
  <c r="B58" i="41" s="1"/>
  <c r="J49" i="36"/>
  <c r="A24" i="36"/>
  <c r="A24" i="20" s="1"/>
  <c r="A24" i="6" s="1"/>
  <c r="B15" i="41" s="1"/>
  <c r="H37" i="36"/>
  <c r="B37" i="20" s="1"/>
  <c r="A71" i="36"/>
  <c r="A71" i="20" s="1"/>
  <c r="A71" i="6" s="1"/>
  <c r="B62" i="41" s="1"/>
  <c r="H25" i="36"/>
  <c r="B25" i="20" s="1"/>
  <c r="D70" i="36"/>
  <c r="E70" i="6" s="1"/>
  <c r="E70" i="36"/>
  <c r="F70" i="6" s="1"/>
  <c r="K51" i="36"/>
  <c r="F51" i="20" s="1"/>
  <c r="B22" i="36"/>
  <c r="C22" i="6" s="1"/>
  <c r="C22" i="39" s="1"/>
  <c r="H14" i="36"/>
  <c r="B14" i="20" s="1"/>
  <c r="J68" i="36"/>
  <c r="D58" i="36"/>
  <c r="E58" i="6" s="1"/>
  <c r="L58" i="39" s="1"/>
  <c r="F15" i="36"/>
  <c r="G15" i="6" s="1"/>
  <c r="Q15" i="39" s="1"/>
  <c r="AD15" i="39" s="1"/>
  <c r="C26" i="36"/>
  <c r="D26" i="6" s="1"/>
  <c r="D25" i="36"/>
  <c r="E25" i="6" s="1"/>
  <c r="L25" i="39" s="1"/>
  <c r="E23" i="36"/>
  <c r="F23" i="6" s="1"/>
  <c r="F35" i="36"/>
  <c r="G35" i="6" s="1"/>
  <c r="Q35" i="39" s="1"/>
  <c r="AD35" i="39" s="1"/>
  <c r="A19" i="36"/>
  <c r="A19" i="20" s="1"/>
  <c r="A19" i="6" s="1"/>
  <c r="B10" i="41" s="1"/>
  <c r="A46" i="36"/>
  <c r="A46" i="20" s="1"/>
  <c r="A46" i="6" s="1"/>
  <c r="B37" i="41" s="1"/>
  <c r="C80" i="36"/>
  <c r="D80" i="6" s="1"/>
  <c r="I71" i="36"/>
  <c r="C71" i="20" s="1"/>
  <c r="M71" i="39" s="1"/>
  <c r="D28" i="36"/>
  <c r="E28" i="6" s="1"/>
  <c r="L28" i="39" s="1"/>
  <c r="D41" i="36"/>
  <c r="E41" i="6" s="1"/>
  <c r="L41" i="39" s="1"/>
  <c r="J74" i="36"/>
  <c r="F25" i="36"/>
  <c r="G25" i="6" s="1"/>
  <c r="Q25" i="39" s="1"/>
  <c r="AD25" i="39" s="1"/>
  <c r="I64" i="36"/>
  <c r="C64" i="20" s="1"/>
  <c r="M64" i="39" s="1"/>
  <c r="H50" i="36"/>
  <c r="B50" i="20" s="1"/>
  <c r="J16" i="36"/>
  <c r="K70" i="36"/>
  <c r="F70" i="20" s="1"/>
  <c r="J20" i="36"/>
  <c r="J34" i="36"/>
  <c r="F20" i="36"/>
  <c r="G20" i="6" s="1"/>
  <c r="Q20" i="39" s="1"/>
  <c r="AD20" i="39" s="1"/>
  <c r="E78" i="36"/>
  <c r="F78" i="6" s="1"/>
  <c r="P78" i="39" s="1"/>
  <c r="H53" i="36"/>
  <c r="B53" i="20" s="1"/>
  <c r="F46" i="36"/>
  <c r="G46" i="6" s="1"/>
  <c r="Q46" i="39" s="1"/>
  <c r="AD46" i="39" s="1"/>
  <c r="L18" i="36"/>
  <c r="B19" i="36"/>
  <c r="C19" i="6" s="1"/>
  <c r="L80" i="36"/>
  <c r="K48" i="36"/>
  <c r="F48" i="20" s="1"/>
  <c r="L26" i="36"/>
  <c r="G21" i="36"/>
  <c r="E79" i="36"/>
  <c r="F79" i="6" s="1"/>
  <c r="E75" i="36"/>
  <c r="F75" i="6" s="1"/>
  <c r="A32" i="36"/>
  <c r="A32" i="20" s="1"/>
  <c r="A32" i="6" s="1"/>
  <c r="B23" i="41" s="1"/>
  <c r="L45" i="36"/>
  <c r="D32" i="36"/>
  <c r="E32" i="6" s="1"/>
  <c r="L32" i="39" s="1"/>
  <c r="F37" i="36"/>
  <c r="G37" i="6" s="1"/>
  <c r="Q37" i="39" s="1"/>
  <c r="AD37" i="39" s="1"/>
  <c r="I40" i="36"/>
  <c r="C40" i="20" s="1"/>
  <c r="M40" i="39" s="1"/>
  <c r="H59" i="36"/>
  <c r="B59" i="20" s="1"/>
  <c r="C41" i="36"/>
  <c r="D41" i="6" s="1"/>
  <c r="I19" i="36"/>
  <c r="C19" i="20" s="1"/>
  <c r="M19" i="39" s="1"/>
  <c r="C67" i="36"/>
  <c r="D67" i="6" s="1"/>
  <c r="H77" i="36"/>
  <c r="B77" i="20" s="1"/>
  <c r="C39" i="36"/>
  <c r="D39" i="6" s="1"/>
  <c r="G47" i="36"/>
  <c r="C33" i="36"/>
  <c r="D33" i="6" s="1"/>
  <c r="E47" i="36"/>
  <c r="F47" i="6" s="1"/>
  <c r="L15" i="36"/>
  <c r="J46" i="36"/>
  <c r="F65" i="36"/>
  <c r="G65" i="6" s="1"/>
  <c r="Q65" i="39" s="1"/>
  <c r="AD65" i="39" s="1"/>
  <c r="F72" i="36"/>
  <c r="G72" i="6" s="1"/>
  <c r="D68" i="36"/>
  <c r="E68" i="6" s="1"/>
  <c r="G40" i="36"/>
  <c r="G71" i="36"/>
  <c r="H71" i="6" s="1"/>
  <c r="H46" i="36"/>
  <c r="B46" i="20" s="1"/>
  <c r="J25" i="36"/>
  <c r="A41" i="36"/>
  <c r="A41" i="20" s="1"/>
  <c r="A41" i="6" s="1"/>
  <c r="B32" i="41" s="1"/>
  <c r="E36" i="36"/>
  <c r="F36" i="6" s="1"/>
  <c r="I20" i="36"/>
  <c r="C20" i="20" s="1"/>
  <c r="M20" i="39" s="1"/>
  <c r="I21" i="36"/>
  <c r="C21" i="20" s="1"/>
  <c r="M21" i="39" s="1"/>
  <c r="F39" i="36"/>
  <c r="G39" i="6" s="1"/>
  <c r="Q39" i="39" s="1"/>
  <c r="AD39" i="39" s="1"/>
  <c r="D77" i="36"/>
  <c r="E77" i="6" s="1"/>
  <c r="L77" i="39" s="1"/>
  <c r="C64" i="36"/>
  <c r="D64" i="6" s="1"/>
  <c r="A49" i="36"/>
  <c r="A49" i="20" s="1"/>
  <c r="A49" i="6" s="1"/>
  <c r="B40" i="41" s="1"/>
  <c r="G22" i="36"/>
  <c r="A17" i="36"/>
  <c r="A17" i="20" s="1"/>
  <c r="A17" i="6" s="1"/>
  <c r="B8" i="41" s="1"/>
  <c r="G20" i="36"/>
  <c r="K59" i="36"/>
  <c r="F59" i="20" s="1"/>
  <c r="K17" i="36"/>
  <c r="F17" i="20" s="1"/>
  <c r="J54" i="36"/>
  <c r="H49" i="36"/>
  <c r="B49" i="20" s="1"/>
  <c r="J58" i="36"/>
  <c r="G31" i="36"/>
  <c r="D75" i="36"/>
  <c r="E75" i="6" s="1"/>
  <c r="L75" i="39" s="1"/>
  <c r="J30" i="36"/>
  <c r="F34" i="36"/>
  <c r="G34" i="6" s="1"/>
  <c r="Q34" i="39" s="1"/>
  <c r="AD34" i="39" s="1"/>
  <c r="B42" i="36"/>
  <c r="C42" i="6" s="1"/>
  <c r="K26" i="36"/>
  <c r="F26" i="20" s="1"/>
  <c r="J80" i="36"/>
  <c r="H79" i="36"/>
  <c r="B79" i="20" s="1"/>
  <c r="J69" i="36"/>
  <c r="E40" i="36"/>
  <c r="F40" i="6" s="1"/>
  <c r="B73" i="36"/>
  <c r="C73" i="6" s="1"/>
  <c r="K38" i="36"/>
  <c r="F38" i="20" s="1"/>
  <c r="A14" i="36"/>
  <c r="A14" i="20" s="1"/>
  <c r="A14" i="6" s="1"/>
  <c r="B5" i="41" s="1"/>
  <c r="D37" i="36"/>
  <c r="E37" i="6" s="1"/>
  <c r="L37" i="39" s="1"/>
  <c r="K20" i="36"/>
  <c r="F20" i="20" s="1"/>
  <c r="H20" i="36"/>
  <c r="B20" i="20" s="1"/>
  <c r="L47" i="36"/>
  <c r="I73" i="36"/>
  <c r="C73" i="20" s="1"/>
  <c r="M73" i="39" s="1"/>
  <c r="H26" i="36"/>
  <c r="B26" i="20" s="1"/>
  <c r="J51" i="36"/>
  <c r="F67" i="36"/>
  <c r="G67" i="6" s="1"/>
  <c r="E41" i="36"/>
  <c r="F41" i="6" s="1"/>
  <c r="D50" i="36"/>
  <c r="E50" i="6" s="1"/>
  <c r="L50" i="39" s="1"/>
  <c r="L67" i="36"/>
  <c r="G67" i="20" s="1"/>
  <c r="E39" i="36"/>
  <c r="F39" i="6" s="1"/>
  <c r="C58" i="36"/>
  <c r="D58" i="6" s="1"/>
  <c r="I53" i="36"/>
  <c r="C53" i="20" s="1"/>
  <c r="F49" i="36"/>
  <c r="G49" i="6" s="1"/>
  <c r="Q49" i="39" s="1"/>
  <c r="AD49" i="39" s="1"/>
  <c r="A16" i="36"/>
  <c r="A16" i="20" s="1"/>
  <c r="A16" i="6" s="1"/>
  <c r="B7" i="41" s="1"/>
  <c r="K35" i="36"/>
  <c r="F35" i="20" s="1"/>
  <c r="K66" i="36"/>
  <c r="F66" i="20" s="1"/>
  <c r="G69" i="36"/>
  <c r="H69" i="6" s="1"/>
  <c r="R69" i="39" s="1"/>
  <c r="AG69" i="39" s="1"/>
  <c r="E34" i="36"/>
  <c r="F34" i="6" s="1"/>
  <c r="L29" i="36"/>
  <c r="D29" i="36"/>
  <c r="E29" i="6" s="1"/>
  <c r="K53" i="36"/>
  <c r="F53" i="20" s="1"/>
  <c r="E52" i="36"/>
  <c r="F52" i="6" s="1"/>
  <c r="P52" i="39" s="1"/>
  <c r="B28" i="36"/>
  <c r="C28" i="6" s="1"/>
  <c r="H74" i="36"/>
  <c r="B74" i="20" s="1"/>
  <c r="I66" i="36"/>
  <c r="C66" i="20" s="1"/>
  <c r="M66" i="39" s="1"/>
  <c r="F41" i="36"/>
  <c r="G41" i="6" s="1"/>
  <c r="Q41" i="39" s="1"/>
  <c r="AD41" i="39" s="1"/>
  <c r="J33" i="36"/>
  <c r="G49" i="36"/>
  <c r="A80" i="36"/>
  <c r="A80" i="20" s="1"/>
  <c r="A80" i="6" s="1"/>
  <c r="B71" i="41" s="1"/>
  <c r="D17" i="36"/>
  <c r="E17" i="6" s="1"/>
  <c r="L17" i="39" s="1"/>
  <c r="G19" i="36"/>
  <c r="I81" i="36"/>
  <c r="C81" i="20" s="1"/>
  <c r="C73" i="36"/>
  <c r="D73" i="6" s="1"/>
  <c r="K47" i="36"/>
  <c r="F47" i="20" s="1"/>
  <c r="D46" i="36"/>
  <c r="E46" i="6" s="1"/>
  <c r="L46" i="39" s="1"/>
  <c r="E45" i="36"/>
  <c r="F45" i="6" s="1"/>
  <c r="P45" i="39" s="1"/>
  <c r="B40" i="36"/>
  <c r="C40" i="6" s="1"/>
  <c r="K71" i="36"/>
  <c r="F71" i="20" s="1"/>
  <c r="K65" i="36"/>
  <c r="F65" i="20" s="1"/>
  <c r="G50" i="36"/>
  <c r="K54" i="36"/>
  <c r="F54" i="20" s="1"/>
  <c r="A58" i="36"/>
  <c r="A58" i="20" s="1"/>
  <c r="A58" i="6" s="1"/>
  <c r="B49" i="41" s="1"/>
  <c r="L66" i="36"/>
  <c r="K39" i="36"/>
  <c r="F39" i="20" s="1"/>
  <c r="A25" i="36"/>
  <c r="A25" i="20" s="1"/>
  <c r="A25" i="6" s="1"/>
  <c r="B16" i="41" s="1"/>
  <c r="G53" i="36"/>
  <c r="I74" i="36"/>
  <c r="C74" i="20" s="1"/>
  <c r="M74" i="39" s="1"/>
  <c r="C17" i="36"/>
  <c r="D17" i="6" s="1"/>
  <c r="B47" i="36"/>
  <c r="C47" i="6" s="1"/>
  <c r="I77" i="36"/>
  <c r="C77" i="20" s="1"/>
  <c r="M77" i="39" s="1"/>
  <c r="E64" i="36"/>
  <c r="F64" i="6" s="1"/>
  <c r="E50" i="36"/>
  <c r="F50" i="6" s="1"/>
  <c r="P50" i="39" s="1"/>
  <c r="G44" i="36"/>
  <c r="E16" i="36"/>
  <c r="F16" i="6" s="1"/>
  <c r="P16" i="39" s="1"/>
  <c r="K67" i="36"/>
  <c r="F67" i="20" s="1"/>
  <c r="I31" i="36"/>
  <c r="C31" i="20" s="1"/>
  <c r="M31" i="39" s="1"/>
  <c r="K68" i="36"/>
  <c r="F68" i="20" s="1"/>
  <c r="A15" i="36"/>
  <c r="A15" i="20" s="1"/>
  <c r="A15" i="6" s="1"/>
  <c r="B6" i="41" s="1"/>
  <c r="E28" i="36"/>
  <c r="F28" i="6" s="1"/>
  <c r="F40" i="36"/>
  <c r="G40" i="6" s="1"/>
  <c r="Q40" i="39" s="1"/>
  <c r="AD40" i="39" s="1"/>
  <c r="H48" i="36"/>
  <c r="B48" i="20" s="1"/>
  <c r="G81" i="36"/>
  <c r="A40" i="36"/>
  <c r="A40" i="20" s="1"/>
  <c r="A40" i="6" s="1"/>
  <c r="B31" i="41" s="1"/>
  <c r="G73" i="36"/>
  <c r="H73" i="6" s="1"/>
  <c r="I34" i="36"/>
  <c r="C34" i="20" s="1"/>
  <c r="M34" i="39" s="1"/>
  <c r="B76" i="36"/>
  <c r="C76" i="6" s="1"/>
  <c r="K74" i="36"/>
  <c r="F74" i="20" s="1"/>
  <c r="J79" i="36"/>
  <c r="J42" i="36"/>
  <c r="J32" i="36"/>
  <c r="L27" i="36"/>
  <c r="L49" i="36"/>
  <c r="F27" i="36"/>
  <c r="G27" i="6" s="1"/>
  <c r="Q27" i="39" s="1"/>
  <c r="AD27" i="39" s="1"/>
  <c r="I51" i="36"/>
  <c r="C51" i="20" s="1"/>
  <c r="F29" i="36"/>
  <c r="G29" i="6" s="1"/>
  <c r="Q29" i="39" s="1"/>
  <c r="AD29" i="39" s="1"/>
  <c r="E20" i="36"/>
  <c r="F20" i="6" s="1"/>
  <c r="C70" i="36"/>
  <c r="D70" i="6" s="1"/>
  <c r="E26" i="36"/>
  <c r="F26" i="6" s="1"/>
  <c r="P26" i="39" s="1"/>
  <c r="H21" i="36"/>
  <c r="B21" i="20" s="1"/>
  <c r="L65" i="36"/>
  <c r="A72" i="36"/>
  <c r="A72" i="20" s="1"/>
  <c r="A72" i="6" s="1"/>
  <c r="B63" i="41" s="1"/>
  <c r="B50" i="36"/>
  <c r="C50" i="6" s="1"/>
  <c r="C50" i="39" s="1"/>
  <c r="L78" i="36"/>
  <c r="J28" i="36"/>
  <c r="F64" i="36"/>
  <c r="G64" i="6" s="1"/>
  <c r="E35" i="36"/>
  <c r="F35" i="6" s="1"/>
  <c r="A78" i="36"/>
  <c r="A78" i="20" s="1"/>
  <c r="A78" i="6" s="1"/>
  <c r="B69" i="41" s="1"/>
  <c r="A26" i="36"/>
  <c r="A26" i="20" s="1"/>
  <c r="A26" i="6" s="1"/>
  <c r="B17" i="41" s="1"/>
  <c r="H73" i="36"/>
  <c r="B73" i="20" s="1"/>
  <c r="C20" i="36"/>
  <c r="D20" i="6" s="1"/>
  <c r="B65" i="36"/>
  <c r="C65" i="6" s="1"/>
  <c r="I50" i="36"/>
  <c r="C50" i="20" s="1"/>
  <c r="E29" i="36"/>
  <c r="F29" i="6" s="1"/>
  <c r="G78" i="36"/>
  <c r="G66" i="36"/>
  <c r="E38" i="36"/>
  <c r="F38" i="6" s="1"/>
  <c r="P38" i="39" s="1"/>
  <c r="E67" i="36"/>
  <c r="F67" i="6" s="1"/>
  <c r="L74" i="36"/>
  <c r="A59" i="36"/>
  <c r="A59" i="20" s="1"/>
  <c r="A59" i="6" s="1"/>
  <c r="B50" i="41" s="1"/>
  <c r="I68" i="36"/>
  <c r="C68" i="20" s="1"/>
  <c r="C72" i="36"/>
  <c r="D72" i="6" s="1"/>
  <c r="E17" i="36"/>
  <c r="F17" i="6" s="1"/>
  <c r="P17" i="39" s="1"/>
  <c r="C37" i="36"/>
  <c r="D37" i="6" s="1"/>
  <c r="J19" i="36"/>
  <c r="B35" i="36"/>
  <c r="C35" i="6" s="1"/>
  <c r="E58" i="36"/>
  <c r="F58" i="6" s="1"/>
  <c r="K28" i="36"/>
  <c r="F28" i="20" s="1"/>
  <c r="D76" i="36"/>
  <c r="E76" i="6" s="1"/>
  <c r="L76" i="39" s="1"/>
  <c r="C68" i="36"/>
  <c r="D68" i="6" s="1"/>
  <c r="A39" i="36"/>
  <c r="A39" i="20" s="1"/>
  <c r="A39" i="6" s="1"/>
  <c r="B30" i="41" s="1"/>
  <c r="H41" i="36"/>
  <c r="B41" i="20" s="1"/>
  <c r="E18" i="36"/>
  <c r="F18" i="6" s="1"/>
  <c r="P18" i="39" s="1"/>
  <c r="F44" i="36"/>
  <c r="G44" i="6" s="1"/>
  <c r="Q44" i="39" s="1"/>
  <c r="AD44" i="39" s="1"/>
  <c r="G43" i="36"/>
  <c r="J53" i="36"/>
  <c r="H51" i="36"/>
  <c r="B51" i="20" s="1"/>
  <c r="B81" i="36"/>
  <c r="C81" i="6" s="1"/>
  <c r="C81" i="39" s="1"/>
  <c r="L51" i="36"/>
  <c r="D60" i="36"/>
  <c r="E60" i="6" s="1"/>
  <c r="F77" i="36"/>
  <c r="G77" i="6" s="1"/>
  <c r="Q77" i="39" s="1"/>
  <c r="AD77" i="39" s="1"/>
  <c r="B51" i="36"/>
  <c r="C51" i="6" s="1"/>
  <c r="F33" i="36"/>
  <c r="G33" i="6" s="1"/>
  <c r="Q33" i="39" s="1"/>
  <c r="AD33" i="39" s="1"/>
  <c r="H23" i="36"/>
  <c r="B23" i="20" s="1"/>
  <c r="B18" i="36"/>
  <c r="C18" i="6" s="1"/>
  <c r="C18" i="39" s="1"/>
  <c r="D38" i="36"/>
  <c r="E38" i="6" s="1"/>
  <c r="L38" i="39" s="1"/>
  <c r="G74" i="36"/>
  <c r="G15" i="36"/>
  <c r="B31" i="36"/>
  <c r="C31" i="6" s="1"/>
  <c r="C31" i="39" s="1"/>
  <c r="I23" i="36"/>
  <c r="C23" i="20" s="1"/>
  <c r="M23" i="39" s="1"/>
  <c r="C54" i="36"/>
  <c r="D54" i="6" s="1"/>
  <c r="K54" i="39" s="1"/>
  <c r="K33" i="36"/>
  <c r="F33" i="20" s="1"/>
  <c r="A48" i="36"/>
  <c r="A48" i="20" s="1"/>
  <c r="A48" i="6" s="1"/>
  <c r="B39" i="41" s="1"/>
  <c r="J66" i="36"/>
  <c r="C38" i="36"/>
  <c r="D38" i="6" s="1"/>
  <c r="I18" i="36"/>
  <c r="C18" i="20" s="1"/>
  <c r="M18" i="39" s="1"/>
  <c r="A60" i="36"/>
  <c r="A60" i="20" s="1"/>
  <c r="A60" i="6" s="1"/>
  <c r="B51" i="41" s="1"/>
  <c r="E54" i="36"/>
  <c r="F54" i="6" s="1"/>
  <c r="P54" i="39" s="1"/>
  <c r="F48" i="36"/>
  <c r="G48" i="6" s="1"/>
  <c r="Q48" i="39" s="1"/>
  <c r="AD48" i="39" s="1"/>
  <c r="L24" i="36"/>
  <c r="I38" i="36"/>
  <c r="C38" i="20" s="1"/>
  <c r="M38" i="39" s="1"/>
  <c r="C78" i="36"/>
  <c r="D78" i="6" s="1"/>
  <c r="K50" i="36"/>
  <c r="F50" i="20" s="1"/>
  <c r="A21" i="36"/>
  <c r="A21" i="20" s="1"/>
  <c r="A21" i="6" s="1"/>
  <c r="B12" i="41" s="1"/>
  <c r="H19" i="36"/>
  <c r="B19" i="20" s="1"/>
  <c r="L59" i="36"/>
  <c r="G59" i="20" s="1"/>
  <c r="E43" i="36"/>
  <c r="F43" i="6" s="1"/>
  <c r="I59" i="36"/>
  <c r="C59" i="20" s="1"/>
  <c r="G75" i="36"/>
  <c r="H75" i="6" s="1"/>
  <c r="R75" i="39" s="1"/>
  <c r="AG75" i="39" s="1"/>
  <c r="B27" i="36"/>
  <c r="C27" i="6" s="1"/>
  <c r="C27" i="39" s="1"/>
  <c r="B15" i="36"/>
  <c r="C15" i="6" s="1"/>
  <c r="C15" i="39" s="1"/>
  <c r="I80" i="36"/>
  <c r="C80" i="20" s="1"/>
  <c r="K69" i="36"/>
  <c r="F69" i="20" s="1"/>
  <c r="J29" i="36"/>
  <c r="G72" i="36"/>
  <c r="H72" i="6" s="1"/>
  <c r="H66" i="36"/>
  <c r="B66" i="20" s="1"/>
  <c r="C81" i="36"/>
  <c r="D81" i="6" s="1"/>
  <c r="A29" i="36"/>
  <c r="A29" i="20" s="1"/>
  <c r="A29" i="6" s="1"/>
  <c r="B20" i="41" s="1"/>
  <c r="E15" i="36"/>
  <c r="F15" i="6" s="1"/>
  <c r="P15" i="39" s="1"/>
  <c r="I32" i="36"/>
  <c r="C32" i="20" s="1"/>
  <c r="M32" i="39" s="1"/>
  <c r="F43" i="36"/>
  <c r="G43" i="6" s="1"/>
  <c r="Q43" i="39" s="1"/>
  <c r="AD43" i="39" s="1"/>
  <c r="A28" i="36"/>
  <c r="A28" i="20" s="1"/>
  <c r="A28" i="6" s="1"/>
  <c r="B19" i="41" s="1"/>
  <c r="J35" i="36"/>
  <c r="B72" i="36"/>
  <c r="C72" i="6" s="1"/>
  <c r="L50" i="36"/>
  <c r="C22" i="36"/>
  <c r="D22" i="6" s="1"/>
  <c r="F19" i="36"/>
  <c r="G19" i="6" s="1"/>
  <c r="Q19" i="39" s="1"/>
  <c r="AD19" i="39" s="1"/>
  <c r="D36" i="36"/>
  <c r="E36" i="6" s="1"/>
  <c r="L36" i="39" s="1"/>
  <c r="C48" i="36"/>
  <c r="D48" i="6" s="1"/>
  <c r="F51" i="36"/>
  <c r="G51" i="6" s="1"/>
  <c r="Q51" i="39" s="1"/>
  <c r="AD51" i="39" s="1"/>
  <c r="C43" i="36"/>
  <c r="D43" i="6" s="1"/>
  <c r="J48" i="36"/>
  <c r="J52" i="36"/>
  <c r="G25" i="36"/>
  <c r="G46" i="36"/>
  <c r="E44" i="36"/>
  <c r="F44" i="6" s="1"/>
  <c r="P44" i="39" s="1"/>
  <c r="G70" i="36"/>
  <c r="H70" i="6" s="1"/>
  <c r="A53" i="36"/>
  <c r="A53" i="20" s="1"/>
  <c r="A53" i="6" s="1"/>
  <c r="B44" i="41" s="1"/>
  <c r="I30" i="36"/>
  <c r="C30" i="20" s="1"/>
  <c r="M30" i="39" s="1"/>
  <c r="K15" i="36"/>
  <c r="F15" i="20" s="1"/>
  <c r="C53" i="36"/>
  <c r="D53" i="6" s="1"/>
  <c r="K53" i="39" s="1"/>
  <c r="I49" i="36"/>
  <c r="C49" i="20" s="1"/>
  <c r="K18" i="36"/>
  <c r="F18" i="20" s="1"/>
  <c r="C21" i="36"/>
  <c r="D21" i="6" s="1"/>
  <c r="A74" i="36"/>
  <c r="A74" i="20" s="1"/>
  <c r="A74" i="6" s="1"/>
  <c r="B65" i="41" s="1"/>
  <c r="K75" i="36"/>
  <c r="F75" i="20" s="1"/>
  <c r="F80" i="36"/>
  <c r="G80" i="6" s="1"/>
  <c r="C77" i="36"/>
  <c r="D77" i="6" s="1"/>
  <c r="L43" i="36"/>
  <c r="K34" i="36"/>
  <c r="F34" i="20" s="1"/>
  <c r="J76" i="36"/>
  <c r="F52" i="36"/>
  <c r="G52" i="6" s="1"/>
  <c r="D65" i="36"/>
  <c r="E65" i="6" s="1"/>
  <c r="L65" i="39" s="1"/>
  <c r="I48" i="36"/>
  <c r="C48" i="20" s="1"/>
  <c r="D33" i="36"/>
  <c r="E33" i="6" s="1"/>
  <c r="L33" i="39" s="1"/>
  <c r="I27" i="36"/>
  <c r="C27" i="20" s="1"/>
  <c r="M27" i="39" s="1"/>
  <c r="H71" i="36"/>
  <c r="B71" i="20" s="1"/>
  <c r="J36" i="36"/>
  <c r="A18" i="36"/>
  <c r="A18" i="20" s="1"/>
  <c r="A18" i="6" s="1"/>
  <c r="B9" i="41" s="1"/>
  <c r="L42" i="36"/>
  <c r="A81" i="36"/>
  <c r="A81" i="20" s="1"/>
  <c r="A81" i="6" s="1"/>
  <c r="B72" i="41" s="1"/>
  <c r="B68" i="36"/>
  <c r="C68" i="6" s="1"/>
  <c r="C68" i="39" s="1"/>
  <c r="C50" i="36"/>
  <c r="D50" i="6" s="1"/>
  <c r="H22" i="36"/>
  <c r="B22" i="20" s="1"/>
  <c r="J45" i="36"/>
  <c r="I43" i="36"/>
  <c r="C43" i="20" s="1"/>
  <c r="M43" i="39" s="1"/>
  <c r="I29" i="36"/>
  <c r="C29" i="20" s="1"/>
  <c r="M29" i="39" s="1"/>
  <c r="D23" i="36"/>
  <c r="E23" i="6" s="1"/>
  <c r="L23" i="39" s="1"/>
  <c r="B78" i="36"/>
  <c r="C78" i="6" s="1"/>
  <c r="C78" i="39" s="1"/>
  <c r="A50" i="36"/>
  <c r="A50" i="20" s="1"/>
  <c r="A50" i="6" s="1"/>
  <c r="B41" i="41" s="1"/>
  <c r="J65" i="36"/>
  <c r="I44" i="36"/>
  <c r="C44" i="20" s="1"/>
  <c r="M44" i="39" s="1"/>
  <c r="E66" i="36"/>
  <c r="F66" i="6" s="1"/>
  <c r="B34" i="36"/>
  <c r="C34" i="6" s="1"/>
  <c r="C44" i="36"/>
  <c r="D44" i="6" s="1"/>
  <c r="K30" i="36"/>
  <c r="F30" i="20" s="1"/>
  <c r="I15" i="36"/>
  <c r="C15" i="20" s="1"/>
  <c r="M15" i="39" s="1"/>
  <c r="C24" i="36"/>
  <c r="D24" i="6" s="1"/>
  <c r="I41" i="36"/>
  <c r="C41" i="20" s="1"/>
  <c r="D21" i="36"/>
  <c r="E21" i="6" s="1"/>
  <c r="L21" i="39" s="1"/>
  <c r="D30" i="36"/>
  <c r="E30" i="6" s="1"/>
  <c r="L30" i="39" s="1"/>
  <c r="L72" i="36"/>
  <c r="G72" i="20" s="1"/>
  <c r="G51" i="36"/>
  <c r="G26" i="36"/>
  <c r="B53" i="36"/>
  <c r="C53" i="6" s="1"/>
  <c r="C53" i="39" s="1"/>
  <c r="H72" i="36"/>
  <c r="B72" i="20" s="1"/>
  <c r="E48" i="36"/>
  <c r="F48" i="6" s="1"/>
  <c r="H28" i="36"/>
  <c r="B28" i="20" s="1"/>
  <c r="F75" i="36"/>
  <c r="G75" i="6" s="1"/>
  <c r="F66" i="36"/>
  <c r="G66" i="6" s="1"/>
  <c r="Q66" i="39" s="1"/>
  <c r="AD66" i="39" s="1"/>
  <c r="F53" i="36"/>
  <c r="G53" i="6" s="1"/>
  <c r="C75" i="36"/>
  <c r="D75" i="6" s="1"/>
  <c r="G52" i="36"/>
  <c r="K24" i="36"/>
  <c r="F24" i="20" s="1"/>
  <c r="L70" i="36"/>
  <c r="G70" i="20" s="1"/>
  <c r="A52" i="36"/>
  <c r="A52" i="20" s="1"/>
  <c r="A52" i="6" s="1"/>
  <c r="B43" i="41" s="1"/>
  <c r="D81" i="36"/>
  <c r="E81" i="6" s="1"/>
  <c r="G27" i="36"/>
  <c r="E65" i="36"/>
  <c r="F65" i="6" s="1"/>
  <c r="I24" i="36"/>
  <c r="C24" i="20" s="1"/>
  <c r="M24" i="39" s="1"/>
  <c r="B23" i="36"/>
  <c r="C23" i="6" s="1"/>
  <c r="H40" i="36"/>
  <c r="B40" i="20" s="1"/>
  <c r="C52" i="36"/>
  <c r="D52" i="6" s="1"/>
  <c r="G67" i="36"/>
  <c r="H67" i="6" s="1"/>
  <c r="C35" i="36"/>
  <c r="D35" i="6" s="1"/>
  <c r="E22" i="36"/>
  <c r="F22" i="6" s="1"/>
  <c r="P22" i="39" s="1"/>
  <c r="I33" i="36"/>
  <c r="C33" i="20" s="1"/>
  <c r="M33" i="39" s="1"/>
  <c r="F28" i="36"/>
  <c r="G28" i="6" s="1"/>
  <c r="Q28" i="39" s="1"/>
  <c r="AD28" i="39" s="1"/>
  <c r="H29" i="36"/>
  <c r="B29" i="20" s="1"/>
  <c r="K76" i="36"/>
  <c r="F76" i="20" s="1"/>
  <c r="F38" i="36"/>
  <c r="G38" i="6" s="1"/>
  <c r="Q38" i="39" s="1"/>
  <c r="AD38" i="39" s="1"/>
  <c r="D72" i="36"/>
  <c r="E72" i="6" s="1"/>
  <c r="L72" i="39" s="1"/>
  <c r="J21" i="36"/>
  <c r="K78" i="36"/>
  <c r="F78" i="20" s="1"/>
  <c r="B33" i="36"/>
  <c r="C33" i="6" s="1"/>
  <c r="F14" i="36"/>
  <c r="G14" i="6" s="1"/>
  <c r="Q14" i="39" s="1"/>
  <c r="AD14" i="39" s="1"/>
  <c r="A65" i="36"/>
  <c r="A65" i="20" s="1"/>
  <c r="A65" i="6" s="1"/>
  <c r="B56" i="41" s="1"/>
  <c r="K64" i="36"/>
  <c r="F64" i="20" s="1"/>
  <c r="C59" i="36"/>
  <c r="D59" i="6" s="1"/>
  <c r="K59" i="39" s="1"/>
  <c r="J78" i="36"/>
  <c r="K27" i="36"/>
  <c r="F27" i="20" s="1"/>
  <c r="J14" i="36"/>
  <c r="G35" i="36"/>
  <c r="L20" i="36"/>
  <c r="L28" i="36"/>
  <c r="I70" i="36"/>
  <c r="C70" i="20" s="1"/>
  <c r="M70" i="39" s="1"/>
  <c r="A70" i="36"/>
  <c r="A70" i="20" s="1"/>
  <c r="A70" i="6" s="1"/>
  <c r="B61" i="41" s="1"/>
  <c r="I16" i="36"/>
  <c r="C16" i="20" s="1"/>
  <c r="M16" i="39" s="1"/>
  <c r="D80" i="36"/>
  <c r="E80" i="6" s="1"/>
  <c r="K81" i="36"/>
  <c r="F81" i="20" s="1"/>
  <c r="K14" i="36"/>
  <c r="F14" i="20" s="1"/>
  <c r="K43" i="36"/>
  <c r="F43" i="20" s="1"/>
  <c r="K49" i="36"/>
  <c r="F49" i="20" s="1"/>
  <c r="F22" i="36"/>
  <c r="G22" i="6" s="1"/>
  <c r="Q22" i="39" s="1"/>
  <c r="AD22" i="39" s="1"/>
  <c r="F42" i="36"/>
  <c r="G42" i="6" s="1"/>
  <c r="Q42" i="39" s="1"/>
  <c r="AD42" i="39" s="1"/>
  <c r="K80" i="36"/>
  <c r="F80" i="20" s="1"/>
  <c r="L33" i="36"/>
  <c r="D18" i="36"/>
  <c r="E18" i="6" s="1"/>
  <c r="L18" i="39" s="1"/>
  <c r="E49" i="36"/>
  <c r="F49" i="6" s="1"/>
  <c r="J71" i="36"/>
  <c r="A54" i="36"/>
  <c r="A54" i="20" s="1"/>
  <c r="A54" i="6" s="1"/>
  <c r="B45" i="41" s="1"/>
  <c r="D47" i="36"/>
  <c r="E47" i="6" s="1"/>
  <c r="L47" i="39" s="1"/>
  <c r="C28" i="36"/>
  <c r="D28" i="6" s="1"/>
  <c r="G80" i="36"/>
  <c r="B49" i="36"/>
  <c r="C49" i="6" s="1"/>
  <c r="A37" i="36"/>
  <c r="A37" i="20" s="1"/>
  <c r="A37" i="6" s="1"/>
  <c r="B28" i="41" s="1"/>
  <c r="G16" i="36"/>
  <c r="J17" i="36"/>
  <c r="B52" i="36"/>
  <c r="C52" i="6" s="1"/>
  <c r="C52" i="39" s="1"/>
  <c r="J70" i="36"/>
  <c r="J60" i="36"/>
  <c r="L14" i="36"/>
  <c r="G14" i="20" s="1"/>
  <c r="L69" i="36"/>
  <c r="G69" i="20" s="1"/>
  <c r="G38" i="36"/>
  <c r="H16" i="36"/>
  <c r="B16" i="20" s="1"/>
  <c r="A66" i="36"/>
  <c r="A66" i="20" s="1"/>
  <c r="A66" i="6" s="1"/>
  <c r="B57" i="41" s="1"/>
  <c r="D54" i="36"/>
  <c r="E54" i="6" s="1"/>
  <c r="J23" i="36"/>
  <c r="L60" i="36"/>
  <c r="G60" i="20" s="1"/>
  <c r="J59" i="36"/>
  <c r="B29" i="36"/>
  <c r="C29" i="6" s="1"/>
  <c r="A44" i="36"/>
  <c r="A44" i="20" s="1"/>
  <c r="A44" i="6" s="1"/>
  <c r="B35" i="41" s="1"/>
  <c r="E27" i="36"/>
  <c r="F27" i="6" s="1"/>
  <c r="P27" i="39" s="1"/>
  <c r="C18" i="36"/>
  <c r="D18" i="6" s="1"/>
  <c r="I69" i="36"/>
  <c r="C69" i="20" s="1"/>
  <c r="M69" i="39" s="1"/>
  <c r="A27" i="36"/>
  <c r="A27" i="20" s="1"/>
  <c r="A27" i="6" s="1"/>
  <c r="B18" i="41" s="1"/>
  <c r="C65" i="36"/>
  <c r="D65" i="6" s="1"/>
  <c r="E69" i="36"/>
  <c r="F69" i="6" s="1"/>
  <c r="F32" i="36"/>
  <c r="G32" i="6" s="1"/>
  <c r="Q32" i="39" s="1"/>
  <c r="AD32" i="39" s="1"/>
  <c r="I26" i="36"/>
  <c r="C26" i="20" s="1"/>
  <c r="M26" i="39" s="1"/>
  <c r="D67" i="36"/>
  <c r="E67" i="6" s="1"/>
  <c r="J39" i="36"/>
  <c r="A79" i="36"/>
  <c r="A79" i="20" s="1"/>
  <c r="A79" i="6" s="1"/>
  <c r="B70" i="41" s="1"/>
  <c r="B38" i="36"/>
  <c r="C38" i="6" s="1"/>
  <c r="C38" i="39" s="1"/>
  <c r="K32" i="36"/>
  <c r="F32" i="20" s="1"/>
  <c r="K36" i="36"/>
  <c r="F36" i="20" s="1"/>
  <c r="F68" i="36"/>
  <c r="G68" i="6" s="1"/>
  <c r="C46" i="36"/>
  <c r="D46" i="6" s="1"/>
  <c r="C27" i="36"/>
  <c r="D27" i="6" s="1"/>
  <c r="I58" i="36"/>
  <c r="C58" i="20" s="1"/>
  <c r="M58" i="39" s="1"/>
  <c r="H52" i="36"/>
  <c r="B52" i="20" s="1"/>
  <c r="E77" i="36"/>
  <c r="F77" i="6" s="1"/>
  <c r="B66" i="36"/>
  <c r="C66" i="6" s="1"/>
  <c r="L71" i="36"/>
  <c r="G71" i="20" s="1"/>
  <c r="C29" i="36"/>
  <c r="D29" i="6" s="1"/>
  <c r="E68" i="36"/>
  <c r="F68" i="6" s="1"/>
  <c r="P68" i="39" s="1"/>
  <c r="H64" i="36"/>
  <c r="B64" i="20" s="1"/>
  <c r="G68" i="36"/>
  <c r="G79" i="36"/>
  <c r="H79" i="6" s="1"/>
  <c r="F54" i="36"/>
  <c r="G54" i="6" s="1"/>
  <c r="D64" i="36"/>
  <c r="E64" i="6" s="1"/>
  <c r="L64" i="39" s="1"/>
  <c r="G48" i="36"/>
  <c r="I14" i="36"/>
  <c r="C14" i="20" s="1"/>
  <c r="M14" i="39" s="1"/>
  <c r="F26" i="36"/>
  <c r="G26" i="6" s="1"/>
  <c r="Q26" i="39" s="1"/>
  <c r="AD26" i="39" s="1"/>
  <c r="F79" i="36"/>
  <c r="G79" i="6" s="1"/>
  <c r="G28" i="36"/>
  <c r="A76" i="36"/>
  <c r="A76" i="20" s="1"/>
  <c r="A76" i="6" s="1"/>
  <c r="B67" i="41" s="1"/>
  <c r="G24" i="36"/>
  <c r="H47" i="36"/>
  <c r="B47" i="20" s="1"/>
  <c r="D24" i="36"/>
  <c r="E24" i="6" s="1"/>
  <c r="L24" i="39" s="1"/>
  <c r="L38" i="36"/>
  <c r="K23" i="36"/>
  <c r="F23" i="20" s="1"/>
  <c r="F73" i="36"/>
  <c r="G73" i="6" s="1"/>
  <c r="K72" i="36"/>
  <c r="F72" i="20" s="1"/>
  <c r="K52" i="36"/>
  <c r="F52" i="20" s="1"/>
  <c r="K19" i="36"/>
  <c r="F19" i="20" s="1"/>
  <c r="I35" i="36"/>
  <c r="C35" i="20" s="1"/>
  <c r="M35" i="39" s="1"/>
  <c r="L73" i="36"/>
  <c r="G73" i="20" s="1"/>
  <c r="K73" i="36"/>
  <c r="F73" i="20" s="1"/>
  <c r="B26" i="36"/>
  <c r="C26" i="6" s="1"/>
  <c r="C26" i="39" s="1"/>
  <c r="B79" i="36"/>
  <c r="C79" i="6" s="1"/>
  <c r="C79" i="39" s="1"/>
  <c r="G42" i="36"/>
  <c r="AA14" i="36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AA52" i="36" s="1"/>
  <c r="AA53" i="36" s="1"/>
  <c r="AA54" i="36" s="1"/>
  <c r="AA58" i="36" s="1"/>
  <c r="AA59" i="36" s="1"/>
  <c r="AA60" i="36" s="1"/>
  <c r="AA64" i="36" s="1"/>
  <c r="I31" i="24"/>
  <c r="I30" i="24"/>
  <c r="E39" i="4"/>
  <c r="G44" i="25"/>
  <c r="E43" i="4" s="1"/>
  <c r="B43" i="4"/>
  <c r="E24" i="24"/>
  <c r="D24" i="24" s="1"/>
  <c r="A39" i="4" s="1"/>
  <c r="A59" i="4"/>
  <c r="A58" i="4"/>
  <c r="A57" i="4"/>
  <c r="B44" i="24"/>
  <c r="B43" i="24"/>
  <c r="Q291" i="36" l="1"/>
  <c r="Q296" i="36" s="1"/>
  <c r="Q217" i="36"/>
  <c r="Q222" i="36" s="1"/>
  <c r="Q143" i="36"/>
  <c r="Q148" i="36" s="1"/>
  <c r="Q69" i="36"/>
  <c r="L1676" i="34"/>
  <c r="F31" i="33"/>
  <c r="K52" i="39"/>
  <c r="L70" i="39"/>
  <c r="O57" i="41"/>
  <c r="G66" i="20"/>
  <c r="AP66" i="39" s="1"/>
  <c r="O20" i="41"/>
  <c r="G29" i="20"/>
  <c r="BI29" i="20" s="1"/>
  <c r="C7" i="41"/>
  <c r="D16" i="20"/>
  <c r="E16" i="39" s="1"/>
  <c r="O67" i="41"/>
  <c r="G76" i="20"/>
  <c r="BG76" i="20" s="1"/>
  <c r="C17" i="41"/>
  <c r="D26" i="20"/>
  <c r="E26" i="39" s="1"/>
  <c r="C72" i="41"/>
  <c r="D81" i="20"/>
  <c r="P81" i="20" s="1"/>
  <c r="C20" i="41"/>
  <c r="D29" i="20"/>
  <c r="P29" i="20" s="1"/>
  <c r="O65" i="41"/>
  <c r="G74" i="20"/>
  <c r="AP74" i="39" s="1"/>
  <c r="O38" i="41"/>
  <c r="G47" i="20"/>
  <c r="BG47" i="20" s="1"/>
  <c r="C60" i="41"/>
  <c r="D69" i="20"/>
  <c r="E69" i="39" s="1"/>
  <c r="C37" i="41"/>
  <c r="D46" i="20"/>
  <c r="M46" i="20" s="1"/>
  <c r="C59" i="41"/>
  <c r="D68" i="20"/>
  <c r="T68" i="20" s="1"/>
  <c r="C58" i="41"/>
  <c r="D67" i="20"/>
  <c r="E67" i="39" s="1"/>
  <c r="O44" i="41"/>
  <c r="G53" i="20"/>
  <c r="AP53" i="11" s="1"/>
  <c r="C13" i="41"/>
  <c r="D22" i="20"/>
  <c r="Q22" i="20" s="1"/>
  <c r="C28" i="41"/>
  <c r="D37" i="20"/>
  <c r="Q37" i="20" s="1"/>
  <c r="O8" i="41"/>
  <c r="G17" i="20"/>
  <c r="BJ17" i="20" s="1"/>
  <c r="O59" i="41"/>
  <c r="G68" i="20"/>
  <c r="AP68" i="39" s="1"/>
  <c r="O32" i="41"/>
  <c r="G41" i="20"/>
  <c r="BD41" i="20" s="1"/>
  <c r="C9" i="41"/>
  <c r="D18" i="20"/>
  <c r="M18" i="20" s="1"/>
  <c r="O19" i="41"/>
  <c r="G28" i="20"/>
  <c r="BJ28" i="20" s="1"/>
  <c r="C49" i="41"/>
  <c r="D58" i="20"/>
  <c r="E58" i="39" s="1"/>
  <c r="C16" i="41"/>
  <c r="D25" i="20"/>
  <c r="E25" i="39" s="1"/>
  <c r="O6" i="41"/>
  <c r="G15" i="20"/>
  <c r="AP15" i="39" s="1"/>
  <c r="C55" i="41"/>
  <c r="D64" i="20"/>
  <c r="E64" i="39" s="1"/>
  <c r="O21" i="41"/>
  <c r="G30" i="20"/>
  <c r="AP30" i="39" s="1"/>
  <c r="C38" i="41"/>
  <c r="D47" i="20"/>
  <c r="P47" i="20" s="1"/>
  <c r="O13" i="41"/>
  <c r="G22" i="20"/>
  <c r="BG22" i="20" s="1"/>
  <c r="O25" i="41"/>
  <c r="G34" i="20"/>
  <c r="BG34" i="20" s="1"/>
  <c r="O39" i="41"/>
  <c r="G48" i="20"/>
  <c r="BG48" i="20" s="1"/>
  <c r="C51" i="41"/>
  <c r="D60" i="20"/>
  <c r="M60" i="20" s="1"/>
  <c r="C24" i="41"/>
  <c r="D33" i="20"/>
  <c r="Q33" i="20" s="1"/>
  <c r="O7" i="41"/>
  <c r="G16" i="20"/>
  <c r="BJ16" i="20" s="1"/>
  <c r="C14" i="41"/>
  <c r="D23" i="20"/>
  <c r="E23" i="39" s="1"/>
  <c r="O33" i="41"/>
  <c r="G42" i="20"/>
  <c r="AP42" i="39" s="1"/>
  <c r="O40" i="41"/>
  <c r="G49" i="20"/>
  <c r="AP49" i="39" s="1"/>
  <c r="C40" i="41"/>
  <c r="D49" i="20"/>
  <c r="Q49" i="20" s="1"/>
  <c r="C63" i="41"/>
  <c r="D72" i="20"/>
  <c r="Q72" i="20" s="1"/>
  <c r="O28" i="41"/>
  <c r="G37" i="20"/>
  <c r="BI37" i="20" s="1"/>
  <c r="C22" i="41"/>
  <c r="D31" i="20"/>
  <c r="M31" i="20" s="1"/>
  <c r="C15" i="41"/>
  <c r="D24" i="20"/>
  <c r="R24" i="20" s="1"/>
  <c r="C5" i="41"/>
  <c r="D14" i="20"/>
  <c r="S14" i="20" s="1"/>
  <c r="C27" i="41"/>
  <c r="D36" i="20"/>
  <c r="E36" i="39" s="1"/>
  <c r="C57" i="41"/>
  <c r="D66" i="20"/>
  <c r="Q66" i="20" s="1"/>
  <c r="O42" i="41"/>
  <c r="G51" i="20"/>
  <c r="BI51" i="20" s="1"/>
  <c r="C23" i="41"/>
  <c r="D32" i="20"/>
  <c r="M32" i="20" s="1"/>
  <c r="C25" i="41"/>
  <c r="D34" i="20"/>
  <c r="E34" i="39" s="1"/>
  <c r="C6" i="41"/>
  <c r="D15" i="20"/>
  <c r="E15" i="39" s="1"/>
  <c r="C32" i="41"/>
  <c r="D41" i="20"/>
  <c r="E41" i="39" s="1"/>
  <c r="O30" i="41"/>
  <c r="G39" i="20"/>
  <c r="AP39" i="39" s="1"/>
  <c r="O12" i="41"/>
  <c r="G21" i="20"/>
  <c r="AP21" i="39" s="1"/>
  <c r="C66" i="41"/>
  <c r="D75" i="20"/>
  <c r="E75" i="39" s="1"/>
  <c r="C56" i="41"/>
  <c r="D65" i="20"/>
  <c r="Q65" i="20" s="1"/>
  <c r="C44" i="41"/>
  <c r="D53" i="20"/>
  <c r="E53" i="39" s="1"/>
  <c r="O69" i="41"/>
  <c r="G78" i="20"/>
  <c r="BJ78" i="20" s="1"/>
  <c r="C29" i="41"/>
  <c r="D38" i="20"/>
  <c r="S38" i="20" s="1"/>
  <c r="C35" i="41"/>
  <c r="D44" i="20"/>
  <c r="P44" i="20" s="1"/>
  <c r="O16" i="41"/>
  <c r="G25" i="20"/>
  <c r="BI25" i="20" s="1"/>
  <c r="C61" i="41"/>
  <c r="D70" i="20"/>
  <c r="S70" i="20" s="1"/>
  <c r="C30" i="41"/>
  <c r="D39" i="20"/>
  <c r="E39" i="39" s="1"/>
  <c r="C62" i="41"/>
  <c r="D71" i="20"/>
  <c r="E71" i="39" s="1"/>
  <c r="O11" i="41"/>
  <c r="G20" i="20"/>
  <c r="AP20" i="39" s="1"/>
  <c r="C10" i="41"/>
  <c r="D19" i="20"/>
  <c r="Q19" i="20" s="1"/>
  <c r="O56" i="41"/>
  <c r="G65" i="20"/>
  <c r="BG65" i="20" s="1"/>
  <c r="O14" i="41"/>
  <c r="G23" i="20"/>
  <c r="BG23" i="20" s="1"/>
  <c r="O72" i="41"/>
  <c r="G81" i="20"/>
  <c r="BV81" i="20" s="1"/>
  <c r="O17" i="41"/>
  <c r="G26" i="20"/>
  <c r="BI26" i="20" s="1"/>
  <c r="C65" i="41"/>
  <c r="D74" i="20"/>
  <c r="E74" i="39" s="1"/>
  <c r="C31" i="41"/>
  <c r="D40" i="20"/>
  <c r="E40" i="39" s="1"/>
  <c r="C12" i="41"/>
  <c r="D21" i="20"/>
  <c r="Q21" i="20" s="1"/>
  <c r="C36" i="41"/>
  <c r="D45" i="20"/>
  <c r="M45" i="20" s="1"/>
  <c r="O34" i="41"/>
  <c r="G43" i="20"/>
  <c r="BJ43" i="20" s="1"/>
  <c r="C43" i="41"/>
  <c r="D52" i="20"/>
  <c r="O41" i="41"/>
  <c r="G50" i="20"/>
  <c r="BH50" i="20" s="1"/>
  <c r="C33" i="41"/>
  <c r="D42" i="20"/>
  <c r="S42" i="20" s="1"/>
  <c r="C42" i="41"/>
  <c r="D51" i="20"/>
  <c r="R51" i="20" s="1"/>
  <c r="O71" i="41"/>
  <c r="G80" i="20"/>
  <c r="AP80" i="39" s="1"/>
  <c r="C11" i="41"/>
  <c r="D20" i="20"/>
  <c r="R20" i="20" s="1"/>
  <c r="O31" i="41"/>
  <c r="G40" i="20"/>
  <c r="BH40" i="20" s="1"/>
  <c r="O68" i="41"/>
  <c r="G77" i="20"/>
  <c r="BJ77" i="20" s="1"/>
  <c r="O26" i="41"/>
  <c r="G35" i="20"/>
  <c r="BG35" i="20" s="1"/>
  <c r="C34" i="41"/>
  <c r="D43" i="20"/>
  <c r="E43" i="39" s="1"/>
  <c r="O43" i="41"/>
  <c r="G52" i="20"/>
  <c r="C26" i="41"/>
  <c r="D35" i="20"/>
  <c r="E35" i="39" s="1"/>
  <c r="O9" i="41"/>
  <c r="G18" i="20"/>
  <c r="BG18" i="20" s="1"/>
  <c r="C68" i="41"/>
  <c r="D77" i="20"/>
  <c r="M77" i="20" s="1"/>
  <c r="C8" i="41"/>
  <c r="D17" i="20"/>
  <c r="M17" i="20" s="1"/>
  <c r="C71" i="41"/>
  <c r="D80" i="20"/>
  <c r="E80" i="39" s="1"/>
  <c r="O35" i="41"/>
  <c r="G44" i="20"/>
  <c r="AP44" i="39" s="1"/>
  <c r="C67" i="41"/>
  <c r="D76" i="20"/>
  <c r="E76" i="39" s="1"/>
  <c r="O18" i="41"/>
  <c r="G27" i="20"/>
  <c r="AP27" i="39" s="1"/>
  <c r="C45" i="41"/>
  <c r="D54" i="20"/>
  <c r="AI54" i="20" s="1"/>
  <c r="O45" i="41"/>
  <c r="G54" i="20"/>
  <c r="AP54" i="39" s="1"/>
  <c r="C18" i="41"/>
  <c r="D27" i="20"/>
  <c r="P27" i="20" s="1"/>
  <c r="O29" i="41"/>
  <c r="G38" i="20"/>
  <c r="BG38" i="20" s="1"/>
  <c r="O24" i="41"/>
  <c r="G33" i="20"/>
  <c r="BI33" i="20" s="1"/>
  <c r="C50" i="41"/>
  <c r="D59" i="20"/>
  <c r="Q59" i="20" s="1"/>
  <c r="C69" i="41"/>
  <c r="D78" i="20"/>
  <c r="Q78" i="20" s="1"/>
  <c r="C39" i="41"/>
  <c r="D48" i="20"/>
  <c r="S48" i="20" s="1"/>
  <c r="O15" i="41"/>
  <c r="G24" i="20"/>
  <c r="AP24" i="39" s="1"/>
  <c r="C19" i="41"/>
  <c r="D28" i="20"/>
  <c r="P28" i="20" s="1"/>
  <c r="C70" i="41"/>
  <c r="D79" i="20"/>
  <c r="AF79" i="20" s="1"/>
  <c r="C21" i="41"/>
  <c r="D30" i="20"/>
  <c r="M30" i="20" s="1"/>
  <c r="O36" i="41"/>
  <c r="G45" i="20"/>
  <c r="AP45" i="39" s="1"/>
  <c r="O27" i="41"/>
  <c r="G36" i="20"/>
  <c r="AP36" i="39" s="1"/>
  <c r="O22" i="41"/>
  <c r="G31" i="20"/>
  <c r="AP31" i="39" s="1"/>
  <c r="O37" i="41"/>
  <c r="G46" i="20"/>
  <c r="BD46" i="20" s="1"/>
  <c r="C41" i="41"/>
  <c r="D50" i="20"/>
  <c r="S50" i="20" s="1"/>
  <c r="O10" i="41"/>
  <c r="G19" i="20"/>
  <c r="BJ19" i="20" s="1"/>
  <c r="C64" i="41"/>
  <c r="D73" i="20"/>
  <c r="E73" i="39" s="1"/>
  <c r="O23" i="41"/>
  <c r="G32" i="20"/>
  <c r="BH32" i="20" s="1"/>
  <c r="BD14" i="20"/>
  <c r="O5" i="41"/>
  <c r="C29" i="39"/>
  <c r="P29" i="39"/>
  <c r="AO42" i="39"/>
  <c r="AO76" i="39"/>
  <c r="AO24" i="39"/>
  <c r="AO31" i="39"/>
  <c r="AO49" i="39"/>
  <c r="AO66" i="39"/>
  <c r="AO50" i="39"/>
  <c r="AO26" i="39"/>
  <c r="AO17" i="39"/>
  <c r="AO48" i="39"/>
  <c r="AO16" i="39"/>
  <c r="AO30" i="39"/>
  <c r="AO44" i="39"/>
  <c r="AO45" i="39"/>
  <c r="AO14" i="39"/>
  <c r="AO18" i="39"/>
  <c r="AO65" i="39"/>
  <c r="AO35" i="39"/>
  <c r="AO51" i="39"/>
  <c r="AO78" i="39"/>
  <c r="AO27" i="39"/>
  <c r="AO38" i="39"/>
  <c r="AO21" i="39"/>
  <c r="AO15" i="39"/>
  <c r="AO39" i="39"/>
  <c r="AO77" i="39"/>
  <c r="AO22" i="39"/>
  <c r="K46" i="39"/>
  <c r="N46" i="39" s="1"/>
  <c r="O46" i="39" s="1"/>
  <c r="K41" i="39"/>
  <c r="K47" i="39"/>
  <c r="N47" i="39" s="1"/>
  <c r="O47" i="39" s="1"/>
  <c r="K43" i="39"/>
  <c r="N43" i="39" s="1"/>
  <c r="O43" i="39" s="1"/>
  <c r="K45" i="39"/>
  <c r="N45" i="39" s="1"/>
  <c r="O45" i="39" s="1"/>
  <c r="K44" i="39"/>
  <c r="N44" i="39" s="1"/>
  <c r="O44" i="39" s="1"/>
  <c r="K25" i="39"/>
  <c r="N25" i="39" s="1"/>
  <c r="O25" i="39" s="1"/>
  <c r="C36" i="39"/>
  <c r="P36" i="39"/>
  <c r="C71" i="39"/>
  <c r="C46" i="39"/>
  <c r="P47" i="39"/>
  <c r="P37" i="39"/>
  <c r="P32" i="39"/>
  <c r="C28" i="39"/>
  <c r="P23" i="39"/>
  <c r="C43" i="39"/>
  <c r="C37" i="39"/>
  <c r="P46" i="39"/>
  <c r="C32" i="39"/>
  <c r="P25" i="39"/>
  <c r="C72" i="39"/>
  <c r="P43" i="39"/>
  <c r="P28" i="39"/>
  <c r="C23" i="39"/>
  <c r="C47" i="39"/>
  <c r="C25" i="39"/>
  <c r="C73" i="39"/>
  <c r="D59" i="39"/>
  <c r="D38" i="39"/>
  <c r="C70" i="39"/>
  <c r="P74" i="39"/>
  <c r="D18" i="39"/>
  <c r="D15" i="39"/>
  <c r="D49" i="39"/>
  <c r="D16" i="39"/>
  <c r="D21" i="39"/>
  <c r="C69" i="39"/>
  <c r="D76" i="39"/>
  <c r="D24" i="39"/>
  <c r="D50" i="39"/>
  <c r="D78" i="39"/>
  <c r="D75" i="39"/>
  <c r="D48" i="39"/>
  <c r="D31" i="39"/>
  <c r="D22" i="39"/>
  <c r="D26" i="39"/>
  <c r="D77" i="39"/>
  <c r="D27" i="39"/>
  <c r="C74" i="39"/>
  <c r="D30" i="39"/>
  <c r="P48" i="39"/>
  <c r="P19" i="39"/>
  <c r="C48" i="39"/>
  <c r="P77" i="39"/>
  <c r="C76" i="39"/>
  <c r="P76" i="39"/>
  <c r="C77" i="39"/>
  <c r="C49" i="39"/>
  <c r="P49" i="39"/>
  <c r="C19" i="39"/>
  <c r="K60" i="39"/>
  <c r="K75" i="39"/>
  <c r="N75" i="39" s="1"/>
  <c r="O75" i="39" s="1"/>
  <c r="K79" i="39"/>
  <c r="K76" i="39"/>
  <c r="K73" i="39"/>
  <c r="K78" i="39"/>
  <c r="N78" i="39" s="1"/>
  <c r="O78" i="39" s="1"/>
  <c r="K71" i="39"/>
  <c r="K72" i="39"/>
  <c r="K70" i="39"/>
  <c r="K77" i="39"/>
  <c r="N77" i="39" s="1"/>
  <c r="O77" i="39" s="1"/>
  <c r="K27" i="39"/>
  <c r="C33" i="39"/>
  <c r="K29" i="39"/>
  <c r="C66" i="39"/>
  <c r="K28" i="39"/>
  <c r="K50" i="39"/>
  <c r="C65" i="39"/>
  <c r="P40" i="39"/>
  <c r="K49" i="39"/>
  <c r="K24" i="39"/>
  <c r="P34" i="39"/>
  <c r="P39" i="39"/>
  <c r="C41" i="39"/>
  <c r="K32" i="39"/>
  <c r="P65" i="39"/>
  <c r="K48" i="39"/>
  <c r="C51" i="39"/>
  <c r="C35" i="39"/>
  <c r="K31" i="39"/>
  <c r="P42" i="39"/>
  <c r="K30" i="39"/>
  <c r="K19" i="39"/>
  <c r="P51" i="39"/>
  <c r="K18" i="39"/>
  <c r="K21" i="39"/>
  <c r="K17" i="39"/>
  <c r="C58" i="39"/>
  <c r="K38" i="39"/>
  <c r="K37" i="39"/>
  <c r="P41" i="39"/>
  <c r="K16" i="39"/>
  <c r="K23" i="39"/>
  <c r="C34" i="39"/>
  <c r="K22" i="39"/>
  <c r="P35" i="39"/>
  <c r="C42" i="39"/>
  <c r="P66" i="39"/>
  <c r="C40" i="39"/>
  <c r="K26" i="39"/>
  <c r="C39" i="39"/>
  <c r="C20" i="39"/>
  <c r="K36" i="39"/>
  <c r="K15" i="39"/>
  <c r="P20" i="39"/>
  <c r="P33" i="39"/>
  <c r="C64" i="39"/>
  <c r="A64" i="32"/>
  <c r="A17" i="38"/>
  <c r="J17" i="38" s="1"/>
  <c r="A27" i="39"/>
  <c r="A87" i="32"/>
  <c r="A40" i="38"/>
  <c r="J40" i="38" s="1"/>
  <c r="A50" i="39"/>
  <c r="A67" i="32"/>
  <c r="A30" i="39"/>
  <c r="A20" i="38"/>
  <c r="J20" i="38" s="1"/>
  <c r="A73" i="32"/>
  <c r="A26" i="38"/>
  <c r="J26" i="38" s="1"/>
  <c r="A36" i="39"/>
  <c r="A113" i="32"/>
  <c r="A66" i="38"/>
  <c r="J66" i="38" s="1"/>
  <c r="A76" i="39"/>
  <c r="A44" i="38"/>
  <c r="J44" i="38" s="1"/>
  <c r="A54" i="39"/>
  <c r="A71" i="38"/>
  <c r="J71" i="38" s="1"/>
  <c r="A81" i="39"/>
  <c r="A63" i="32"/>
  <c r="A16" i="38"/>
  <c r="J16" i="38" s="1"/>
  <c r="A26" i="39"/>
  <c r="A30" i="38"/>
  <c r="J30" i="38" s="1"/>
  <c r="A40" i="39"/>
  <c r="A110" i="32"/>
  <c r="A63" i="38"/>
  <c r="J63" i="38" s="1"/>
  <c r="A73" i="39"/>
  <c r="A60" i="32"/>
  <c r="A13" i="38"/>
  <c r="J13" i="38" s="1"/>
  <c r="A23" i="39"/>
  <c r="A107" i="32"/>
  <c r="A60" i="38"/>
  <c r="J60" i="38" s="1"/>
  <c r="A70" i="39"/>
  <c r="A96" i="32"/>
  <c r="A49" i="38"/>
  <c r="J49" i="38" s="1"/>
  <c r="A59" i="39"/>
  <c r="A54" i="32"/>
  <c r="A17" i="39"/>
  <c r="A7" i="38"/>
  <c r="J7" i="38" s="1"/>
  <c r="A69" i="32"/>
  <c r="A22" i="38"/>
  <c r="J22" i="38" s="1"/>
  <c r="A32" i="39"/>
  <c r="A108" i="32"/>
  <c r="A71" i="39"/>
  <c r="A61" i="38"/>
  <c r="J61" i="38" s="1"/>
  <c r="A114" i="32"/>
  <c r="A67" i="38"/>
  <c r="J67" i="38" s="1"/>
  <c r="A77" i="39"/>
  <c r="A65" i="32"/>
  <c r="A28" i="39"/>
  <c r="A18" i="38"/>
  <c r="J18" i="38" s="1"/>
  <c r="A41" i="39"/>
  <c r="A31" i="38"/>
  <c r="J31" i="38" s="1"/>
  <c r="A83" i="32"/>
  <c r="A36" i="38"/>
  <c r="J36" i="38" s="1"/>
  <c r="A46" i="39"/>
  <c r="A60" i="39"/>
  <c r="A50" i="38"/>
  <c r="J50" i="38" s="1"/>
  <c r="A109" i="32"/>
  <c r="A62" i="38"/>
  <c r="J62" i="38" s="1"/>
  <c r="A72" i="39"/>
  <c r="A61" i="32"/>
  <c r="A14" i="38"/>
  <c r="J14" i="38" s="1"/>
  <c r="A24" i="39"/>
  <c r="A58" i="32"/>
  <c r="A21" i="39"/>
  <c r="A11" i="38"/>
  <c r="J11" i="38" s="1"/>
  <c r="A106" i="32"/>
  <c r="A59" i="38"/>
  <c r="A69" i="39"/>
  <c r="A68" i="32"/>
  <c r="A21" i="38"/>
  <c r="J21" i="38" s="1"/>
  <c r="A31" i="39"/>
  <c r="A55" i="32"/>
  <c r="A8" i="38"/>
  <c r="J8" i="38" s="1"/>
  <c r="A18" i="39"/>
  <c r="A104" i="32"/>
  <c r="A57" i="38"/>
  <c r="J57" i="38" s="1"/>
  <c r="A67" i="39"/>
  <c r="A24" i="38"/>
  <c r="J24" i="38" s="1"/>
  <c r="A34" i="39"/>
  <c r="A81" i="32"/>
  <c r="A34" i="38"/>
  <c r="J34" i="38" s="1"/>
  <c r="A44" i="39"/>
  <c r="A74" i="32"/>
  <c r="A37" i="39"/>
  <c r="A27" i="38"/>
  <c r="J27" i="38" s="1"/>
  <c r="A66" i="32"/>
  <c r="A29" i="39"/>
  <c r="A19" i="38"/>
  <c r="J19" i="38" s="1"/>
  <c r="A29" i="38"/>
  <c r="J29" i="38" s="1"/>
  <c r="A39" i="39"/>
  <c r="A53" i="32"/>
  <c r="A6" i="38"/>
  <c r="J6" i="38" s="1"/>
  <c r="A16" i="39"/>
  <c r="A14" i="39"/>
  <c r="A4" i="38"/>
  <c r="J4" i="38" s="1"/>
  <c r="A75" i="32"/>
  <c r="A28" i="38"/>
  <c r="J28" i="38" s="1"/>
  <c r="A38" i="39"/>
  <c r="A59" i="32"/>
  <c r="A12" i="38"/>
  <c r="J12" i="38" s="1"/>
  <c r="A22" i="39"/>
  <c r="A35" i="39"/>
  <c r="A25" i="38"/>
  <c r="J25" i="38" s="1"/>
  <c r="A51" i="39"/>
  <c r="A41" i="38"/>
  <c r="J41" i="38" s="1"/>
  <c r="A80" i="32"/>
  <c r="A43" i="39"/>
  <c r="A33" i="38"/>
  <c r="J33" i="38" s="1"/>
  <c r="A53" i="39"/>
  <c r="A43" i="38"/>
  <c r="J43" i="38" s="1"/>
  <c r="A52" i="32"/>
  <c r="A5" i="38"/>
  <c r="J5" i="38" s="1"/>
  <c r="A15" i="39"/>
  <c r="A65" i="39"/>
  <c r="A55" i="38"/>
  <c r="J55" i="38" s="1"/>
  <c r="A111" i="32"/>
  <c r="A74" i="39"/>
  <c r="A64" i="38"/>
  <c r="J64" i="38" s="1"/>
  <c r="A82" i="32"/>
  <c r="A45" i="39"/>
  <c r="A35" i="38"/>
  <c r="J35" i="38" s="1"/>
  <c r="A10" i="38"/>
  <c r="J10" i="38" s="1"/>
  <c r="A20" i="39"/>
  <c r="A23" i="38"/>
  <c r="J23" i="38" s="1"/>
  <c r="A33" i="39"/>
  <c r="A115" i="32"/>
  <c r="A68" i="38"/>
  <c r="J68" i="38" s="1"/>
  <c r="A78" i="39"/>
  <c r="A64" i="39"/>
  <c r="A54" i="38"/>
  <c r="J54" i="38" s="1"/>
  <c r="A85" i="32"/>
  <c r="A38" i="38"/>
  <c r="J38" i="38" s="1"/>
  <c r="A48" i="39"/>
  <c r="A62" i="32"/>
  <c r="A25" i="39"/>
  <c r="A15" i="38"/>
  <c r="J15" i="38" s="1"/>
  <c r="A80" i="39"/>
  <c r="A70" i="38"/>
  <c r="J70" i="38" s="1"/>
  <c r="A58" i="38"/>
  <c r="J58" i="38" s="1"/>
  <c r="A68" i="39"/>
  <c r="A32" i="38"/>
  <c r="J32" i="38" s="1"/>
  <c r="A42" i="39"/>
  <c r="A112" i="32"/>
  <c r="A75" i="39"/>
  <c r="A65" i="38"/>
  <c r="J65" i="38" s="1"/>
  <c r="A48" i="38"/>
  <c r="J48" i="38" s="1"/>
  <c r="A58" i="39"/>
  <c r="A79" i="39"/>
  <c r="A69" i="38"/>
  <c r="J69" i="38" s="1"/>
  <c r="A86" i="32"/>
  <c r="A39" i="38"/>
  <c r="J39" i="38" s="1"/>
  <c r="A49" i="39"/>
  <c r="A56" i="32"/>
  <c r="A19" i="39"/>
  <c r="A9" i="38"/>
  <c r="J9" i="38" s="1"/>
  <c r="A66" i="39"/>
  <c r="A56" i="38"/>
  <c r="J56" i="38" s="1"/>
  <c r="A84" i="32"/>
  <c r="A37" i="38"/>
  <c r="J37" i="38" s="1"/>
  <c r="A47" i="39"/>
  <c r="A42" i="38"/>
  <c r="J42" i="38" s="1"/>
  <c r="A52" i="39"/>
  <c r="H23" i="18"/>
  <c r="K65" i="39"/>
  <c r="N65" i="39" s="1"/>
  <c r="O65" i="39" s="1"/>
  <c r="H18" i="18"/>
  <c r="K58" i="39"/>
  <c r="D81" i="11"/>
  <c r="D81" i="39"/>
  <c r="Q54" i="11"/>
  <c r="AD54" i="11" s="1"/>
  <c r="Q54" i="39"/>
  <c r="AD54" i="39" s="1"/>
  <c r="M48" i="11"/>
  <c r="M48" i="39"/>
  <c r="H6" i="18"/>
  <c r="K20" i="39"/>
  <c r="M51" i="11"/>
  <c r="M51" i="39"/>
  <c r="M42" i="11"/>
  <c r="M42" i="39"/>
  <c r="H14" i="18"/>
  <c r="K51" i="39"/>
  <c r="R60" i="11"/>
  <c r="AG60" i="11" s="1"/>
  <c r="R60" i="39"/>
  <c r="AG60" i="39" s="1"/>
  <c r="M52" i="11"/>
  <c r="M52" i="39"/>
  <c r="D67" i="11"/>
  <c r="D67" i="39"/>
  <c r="D68" i="11"/>
  <c r="D68" i="39"/>
  <c r="M79" i="11"/>
  <c r="M79" i="39"/>
  <c r="AO52" i="11"/>
  <c r="AO52" i="39"/>
  <c r="R79" i="11"/>
  <c r="AG79" i="11" s="1"/>
  <c r="R79" i="39"/>
  <c r="AG79" i="39" s="1"/>
  <c r="D52" i="11"/>
  <c r="D52" i="39"/>
  <c r="L54" i="11"/>
  <c r="L54" i="39"/>
  <c r="AO68" i="11"/>
  <c r="AO68" i="39"/>
  <c r="AO54" i="11"/>
  <c r="AO54" i="39"/>
  <c r="D79" i="11"/>
  <c r="D79" i="39"/>
  <c r="D53" i="11"/>
  <c r="D53" i="39"/>
  <c r="H24" i="18"/>
  <c r="K66" i="39"/>
  <c r="N66" i="39" s="1"/>
  <c r="O66" i="39" s="1"/>
  <c r="D60" i="11"/>
  <c r="D60" i="39"/>
  <c r="M41" i="11"/>
  <c r="M41" i="39"/>
  <c r="H13" i="18"/>
  <c r="K42" i="39"/>
  <c r="M80" i="11"/>
  <c r="M80" i="39"/>
  <c r="M81" i="11"/>
  <c r="M81" i="39"/>
  <c r="H22" i="18"/>
  <c r="K64" i="39"/>
  <c r="H8" i="18"/>
  <c r="K34" i="39"/>
  <c r="AO81" i="11"/>
  <c r="AO81" i="39"/>
  <c r="M49" i="11"/>
  <c r="M49" i="39"/>
  <c r="H11" i="18"/>
  <c r="K40" i="39"/>
  <c r="D80" i="11"/>
  <c r="D80" i="39"/>
  <c r="Q80" i="11"/>
  <c r="AD80" i="11" s="1"/>
  <c r="Q80" i="39"/>
  <c r="AD80" i="39" s="1"/>
  <c r="K67" i="11"/>
  <c r="K67" i="39"/>
  <c r="L52" i="11"/>
  <c r="L52" i="39"/>
  <c r="M67" i="11"/>
  <c r="M67" i="39"/>
  <c r="Q68" i="11"/>
  <c r="AD68" i="11" s="1"/>
  <c r="Q68" i="39"/>
  <c r="AD68" i="39" s="1"/>
  <c r="L80" i="11"/>
  <c r="L80" i="39"/>
  <c r="H9" i="18"/>
  <c r="K35" i="39"/>
  <c r="L81" i="11"/>
  <c r="L81" i="39"/>
  <c r="K81" i="11"/>
  <c r="K81" i="39"/>
  <c r="K68" i="11"/>
  <c r="K68" i="39"/>
  <c r="AO53" i="11"/>
  <c r="AO53" i="39"/>
  <c r="L68" i="11"/>
  <c r="L68" i="39"/>
  <c r="H10" i="18"/>
  <c r="K39" i="39"/>
  <c r="M60" i="11"/>
  <c r="M60" i="39"/>
  <c r="M54" i="11"/>
  <c r="M54" i="39"/>
  <c r="K80" i="11"/>
  <c r="K80" i="39"/>
  <c r="Q52" i="11"/>
  <c r="AD52" i="11" s="1"/>
  <c r="Q52" i="39"/>
  <c r="AD52" i="39" s="1"/>
  <c r="Q81" i="11"/>
  <c r="AD81" i="11" s="1"/>
  <c r="Q81" i="39"/>
  <c r="AD81" i="39" s="1"/>
  <c r="L79" i="11"/>
  <c r="L79" i="39"/>
  <c r="L67" i="11"/>
  <c r="L67" i="39"/>
  <c r="Q53" i="11"/>
  <c r="AD53" i="11" s="1"/>
  <c r="Q53" i="39"/>
  <c r="AD53" i="39" s="1"/>
  <c r="L60" i="11"/>
  <c r="L60" i="39"/>
  <c r="H7" i="18"/>
  <c r="K33" i="39"/>
  <c r="L53" i="11"/>
  <c r="L53" i="39"/>
  <c r="D54" i="11"/>
  <c r="D54" i="39"/>
  <c r="AO80" i="11"/>
  <c r="AO80" i="39"/>
  <c r="R67" i="11"/>
  <c r="AG67" i="11" s="1"/>
  <c r="R67" i="39"/>
  <c r="AG67" i="39" s="1"/>
  <c r="M59" i="11"/>
  <c r="M59" i="39"/>
  <c r="N59" i="39" s="1"/>
  <c r="O59" i="39" s="1"/>
  <c r="M68" i="11"/>
  <c r="M68" i="39"/>
  <c r="M50" i="11"/>
  <c r="M50" i="39"/>
  <c r="L29" i="11"/>
  <c r="L29" i="39"/>
  <c r="M53" i="11"/>
  <c r="M53" i="39"/>
  <c r="H5" i="18"/>
  <c r="K14" i="39"/>
  <c r="C68" i="11"/>
  <c r="P54" i="11"/>
  <c r="P53" i="11"/>
  <c r="C67" i="11"/>
  <c r="C52" i="11"/>
  <c r="C53" i="11"/>
  <c r="P68" i="11"/>
  <c r="P52" i="11"/>
  <c r="C80" i="11"/>
  <c r="P81" i="11"/>
  <c r="C60" i="11"/>
  <c r="C79" i="11"/>
  <c r="C81" i="11"/>
  <c r="P80" i="11"/>
  <c r="C54" i="11"/>
  <c r="H16" i="6"/>
  <c r="I16" i="20"/>
  <c r="H35" i="6"/>
  <c r="I35" i="20"/>
  <c r="H46" i="6"/>
  <c r="I46" i="20"/>
  <c r="H74" i="6"/>
  <c r="I74" i="20"/>
  <c r="H19" i="6"/>
  <c r="I19" i="20"/>
  <c r="H37" i="6"/>
  <c r="I37" i="20"/>
  <c r="H29" i="6"/>
  <c r="I29" i="20"/>
  <c r="H24" i="6"/>
  <c r="I24" i="20"/>
  <c r="H38" i="6"/>
  <c r="I38" i="20"/>
  <c r="H27" i="6"/>
  <c r="I27" i="20"/>
  <c r="H78" i="6"/>
  <c r="I78" i="20"/>
  <c r="H34" i="6"/>
  <c r="I34" i="20"/>
  <c r="H52" i="6"/>
  <c r="I52" i="20"/>
  <c r="H44" i="6"/>
  <c r="I44" i="20"/>
  <c r="H76" i="6"/>
  <c r="I76" i="20"/>
  <c r="H30" i="6"/>
  <c r="I30" i="20"/>
  <c r="H33" i="6"/>
  <c r="I33" i="20"/>
  <c r="H54" i="6"/>
  <c r="I54" i="20"/>
  <c r="H39" i="6"/>
  <c r="I39" i="20"/>
  <c r="H18" i="6"/>
  <c r="I18" i="20"/>
  <c r="H36" i="6"/>
  <c r="I36" i="20"/>
  <c r="H51" i="6"/>
  <c r="I51" i="20"/>
  <c r="H66" i="6"/>
  <c r="I66" i="20"/>
  <c r="H14" i="6"/>
  <c r="I14" i="20"/>
  <c r="H25" i="6"/>
  <c r="I25" i="20"/>
  <c r="H43" i="6"/>
  <c r="I43" i="20"/>
  <c r="H81" i="6"/>
  <c r="I81" i="20"/>
  <c r="H53" i="6"/>
  <c r="I53" i="20"/>
  <c r="H31" i="6"/>
  <c r="I31" i="20"/>
  <c r="H22" i="6"/>
  <c r="I22" i="20"/>
  <c r="H40" i="6"/>
  <c r="I40" i="20"/>
  <c r="H47" i="6"/>
  <c r="I47" i="20"/>
  <c r="H17" i="6"/>
  <c r="I17" i="20"/>
  <c r="H45" i="6"/>
  <c r="I45" i="20"/>
  <c r="H65" i="6"/>
  <c r="I65" i="20"/>
  <c r="H32" i="6"/>
  <c r="I32" i="20"/>
  <c r="H42" i="6"/>
  <c r="I42" i="20"/>
  <c r="H28" i="6"/>
  <c r="I28" i="20"/>
  <c r="H48" i="6"/>
  <c r="I48" i="20"/>
  <c r="H68" i="6"/>
  <c r="I68" i="20"/>
  <c r="H80" i="6"/>
  <c r="I80" i="20"/>
  <c r="H26" i="6"/>
  <c r="I26" i="20"/>
  <c r="H15" i="6"/>
  <c r="I15" i="20"/>
  <c r="H50" i="6"/>
  <c r="I50" i="20"/>
  <c r="H49" i="6"/>
  <c r="I49" i="20"/>
  <c r="H20" i="6"/>
  <c r="I20" i="20"/>
  <c r="H21" i="6"/>
  <c r="I21" i="20"/>
  <c r="H41" i="6"/>
  <c r="I41" i="20"/>
  <c r="H23" i="6"/>
  <c r="I23" i="20"/>
  <c r="H77" i="6"/>
  <c r="I77" i="20"/>
  <c r="A6" i="18"/>
  <c r="A57" i="32"/>
  <c r="A91" i="32"/>
  <c r="A54" i="11"/>
  <c r="A44" i="12"/>
  <c r="A45" i="13"/>
  <c r="A23" i="18"/>
  <c r="A102" i="32"/>
  <c r="A118" i="32"/>
  <c r="A81" i="11"/>
  <c r="A71" i="12"/>
  <c r="A72" i="13"/>
  <c r="A10" i="18"/>
  <c r="A76" i="32"/>
  <c r="A18" i="18"/>
  <c r="A95" i="32"/>
  <c r="A5" i="18"/>
  <c r="A51" i="32"/>
  <c r="A78" i="32"/>
  <c r="A12" i="18"/>
  <c r="A72" i="32"/>
  <c r="A9" i="18"/>
  <c r="A24" i="18"/>
  <c r="A103" i="32"/>
  <c r="A89" i="32"/>
  <c r="A42" i="12"/>
  <c r="A43" i="13"/>
  <c r="A52" i="11"/>
  <c r="A97" i="32"/>
  <c r="A50" i="12"/>
  <c r="A51" i="13"/>
  <c r="A60" i="11"/>
  <c r="A117" i="32"/>
  <c r="A71" i="13"/>
  <c r="A80" i="11"/>
  <c r="A70" i="12"/>
  <c r="A105" i="32"/>
  <c r="A59" i="13"/>
  <c r="A58" i="12"/>
  <c r="A68" i="11"/>
  <c r="A13" i="18"/>
  <c r="A79" i="32"/>
  <c r="A88" i="32"/>
  <c r="A14" i="18"/>
  <c r="A7" i="18"/>
  <c r="A70" i="32"/>
  <c r="A116" i="32"/>
  <c r="A70" i="13"/>
  <c r="A79" i="11"/>
  <c r="A69" i="12"/>
  <c r="A90" i="32"/>
  <c r="A44" i="13"/>
  <c r="A53" i="11"/>
  <c r="A43" i="12"/>
  <c r="A77" i="32"/>
  <c r="A11" i="18"/>
  <c r="A22" i="18"/>
  <c r="A101" i="32"/>
  <c r="A71" i="32"/>
  <c r="A8" i="18"/>
  <c r="K53" i="11"/>
  <c r="H44" i="13"/>
  <c r="K60" i="11"/>
  <c r="H51" i="13"/>
  <c r="K52" i="11"/>
  <c r="H43" i="13"/>
  <c r="K54" i="11"/>
  <c r="H45" i="13"/>
  <c r="K79" i="11"/>
  <c r="H70" i="13"/>
  <c r="AA15" i="36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65" i="36"/>
  <c r="C18" i="10"/>
  <c r="F18" i="10" s="1"/>
  <c r="B18" i="10"/>
  <c r="K18" i="10" s="1"/>
  <c r="C17" i="10"/>
  <c r="F17" i="10" s="1"/>
  <c r="B17" i="10"/>
  <c r="K17" i="10" s="1"/>
  <c r="B45" i="24"/>
  <c r="A56" i="4" s="1"/>
  <c r="A18" i="4"/>
  <c r="E40" i="25"/>
  <c r="I29" i="24"/>
  <c r="B29" i="24" s="1"/>
  <c r="I28" i="24"/>
  <c r="B28" i="24" s="1"/>
  <c r="I27" i="24"/>
  <c r="B27" i="24" s="1"/>
  <c r="A40" i="4" s="1"/>
  <c r="J24" i="24"/>
  <c r="B25" i="24"/>
  <c r="C3" i="4" s="1"/>
  <c r="G3" i="27" s="1"/>
  <c r="B3" i="24"/>
  <c r="Q74" i="36" l="1"/>
  <c r="C74" i="36" s="1"/>
  <c r="D74" i="6" s="1"/>
  <c r="C69" i="36"/>
  <c r="D69" i="6" s="1"/>
  <c r="F3" i="4"/>
  <c r="B9" i="35" s="1"/>
  <c r="B7" i="24"/>
  <c r="F32" i="33"/>
  <c r="L1738" i="34"/>
  <c r="N27" i="39"/>
  <c r="O27" i="39" s="1"/>
  <c r="K17" i="38"/>
  <c r="B17" i="38"/>
  <c r="N23" i="39"/>
  <c r="O23" i="39" s="1"/>
  <c r="B13" i="38"/>
  <c r="K13" i="38"/>
  <c r="N26" i="39"/>
  <c r="O26" i="39" s="1"/>
  <c r="K16" i="38"/>
  <c r="B16" i="38"/>
  <c r="N16" i="39"/>
  <c r="O16" i="39" s="1"/>
  <c r="B6" i="38"/>
  <c r="K6" i="38"/>
  <c r="K60" i="38"/>
  <c r="B60" i="38"/>
  <c r="B50" i="38"/>
  <c r="K50" i="38"/>
  <c r="N22" i="39"/>
  <c r="O22" i="39" s="1"/>
  <c r="B12" i="38"/>
  <c r="K12" i="38"/>
  <c r="K39" i="38"/>
  <c r="B39" i="38"/>
  <c r="N14" i="39"/>
  <c r="O14" i="39" s="1"/>
  <c r="B4" i="38"/>
  <c r="K4" i="38"/>
  <c r="N34" i="39"/>
  <c r="O34" i="39" s="1"/>
  <c r="B24" i="38"/>
  <c r="K24" i="38"/>
  <c r="N58" i="39"/>
  <c r="O58" i="39" s="1"/>
  <c r="AH58" i="39" s="1"/>
  <c r="AI58" i="39" s="1"/>
  <c r="B48" i="38"/>
  <c r="K48" i="38"/>
  <c r="N19" i="39"/>
  <c r="O19" i="39" s="1"/>
  <c r="B9" i="38"/>
  <c r="K9" i="38"/>
  <c r="B40" i="38"/>
  <c r="K40" i="38"/>
  <c r="N37" i="39"/>
  <c r="O37" i="39" s="1"/>
  <c r="B27" i="38"/>
  <c r="K27" i="38"/>
  <c r="N30" i="39"/>
  <c r="O30" i="39" s="1"/>
  <c r="B20" i="38"/>
  <c r="K20" i="38"/>
  <c r="N28" i="39"/>
  <c r="O28" i="39" s="1"/>
  <c r="B18" i="38"/>
  <c r="K18" i="38"/>
  <c r="N71" i="39"/>
  <c r="O71" i="39" s="1"/>
  <c r="AL71" i="39" s="1"/>
  <c r="AM71" i="39" s="1"/>
  <c r="G61" i="38" s="1"/>
  <c r="K61" i="38"/>
  <c r="B61" i="38"/>
  <c r="N36" i="39"/>
  <c r="O36" i="39" s="1"/>
  <c r="B26" i="38"/>
  <c r="K26" i="38"/>
  <c r="N24" i="39"/>
  <c r="O24" i="39" s="1"/>
  <c r="B14" i="38"/>
  <c r="K14" i="38"/>
  <c r="N76" i="39"/>
  <c r="O76" i="39" s="1"/>
  <c r="B66" i="38"/>
  <c r="K66" i="38"/>
  <c r="B38" i="38"/>
  <c r="K38" i="38"/>
  <c r="B32" i="38"/>
  <c r="K32" i="38"/>
  <c r="N20" i="39"/>
  <c r="O20" i="39" s="1"/>
  <c r="B10" i="38"/>
  <c r="K10" i="38"/>
  <c r="N32" i="39"/>
  <c r="O32" i="39" s="1"/>
  <c r="B22" i="38"/>
  <c r="K22" i="38"/>
  <c r="N72" i="39"/>
  <c r="O72" i="39" s="1"/>
  <c r="AL72" i="39" s="1"/>
  <c r="AM72" i="39" s="1"/>
  <c r="G62" i="38" s="1"/>
  <c r="K62" i="38"/>
  <c r="B62" i="38"/>
  <c r="N33" i="39"/>
  <c r="O33" i="39" s="1"/>
  <c r="B23" i="38"/>
  <c r="K23" i="38"/>
  <c r="N35" i="39"/>
  <c r="O35" i="39" s="1"/>
  <c r="B25" i="38"/>
  <c r="K25" i="38"/>
  <c r="N40" i="39"/>
  <c r="O40" i="39" s="1"/>
  <c r="B30" i="38"/>
  <c r="K30" i="38"/>
  <c r="N64" i="39"/>
  <c r="O64" i="39" s="1"/>
  <c r="AH64" i="39" s="1"/>
  <c r="AJ64" i="39" s="1"/>
  <c r="F54" i="38" s="1"/>
  <c r="O54" i="38" s="1"/>
  <c r="B54" i="38"/>
  <c r="K54" i="38"/>
  <c r="B41" i="38"/>
  <c r="K41" i="38"/>
  <c r="N38" i="39"/>
  <c r="O38" i="39" s="1"/>
  <c r="B28" i="38"/>
  <c r="K28" i="38"/>
  <c r="B57" i="38"/>
  <c r="K57" i="38"/>
  <c r="N17" i="39"/>
  <c r="O17" i="39" s="1"/>
  <c r="B7" i="38"/>
  <c r="K7" i="38"/>
  <c r="N21" i="39"/>
  <c r="O21" i="39" s="1"/>
  <c r="B11" i="38"/>
  <c r="K11" i="38"/>
  <c r="N39" i="39"/>
  <c r="O39" i="39" s="1"/>
  <c r="B29" i="38"/>
  <c r="K29" i="38"/>
  <c r="N18" i="39"/>
  <c r="O18" i="39" s="1"/>
  <c r="K8" i="38"/>
  <c r="B8" i="38"/>
  <c r="N15" i="39"/>
  <c r="O15" i="39" s="1"/>
  <c r="B5" i="38"/>
  <c r="K5" i="38"/>
  <c r="N31" i="39"/>
  <c r="O31" i="39" s="1"/>
  <c r="B21" i="38"/>
  <c r="K21" i="38"/>
  <c r="B19" i="38"/>
  <c r="K19" i="38"/>
  <c r="B63" i="38"/>
  <c r="K63" i="38"/>
  <c r="K42" i="38"/>
  <c r="B42" i="38"/>
  <c r="N70" i="39"/>
  <c r="O70" i="39" s="1"/>
  <c r="AL70" i="39" s="1"/>
  <c r="AM70" i="39" s="1"/>
  <c r="G60" i="38" s="1"/>
  <c r="I33" i="41"/>
  <c r="G33" i="41"/>
  <c r="I29" i="41"/>
  <c r="G29" i="41"/>
  <c r="G68" i="41"/>
  <c r="I68" i="41"/>
  <c r="G11" i="41"/>
  <c r="I11" i="41"/>
  <c r="I17" i="41"/>
  <c r="G17" i="41"/>
  <c r="I19" i="41"/>
  <c r="G19" i="41"/>
  <c r="G36" i="41"/>
  <c r="I36" i="41"/>
  <c r="I13" i="41"/>
  <c r="G13" i="41"/>
  <c r="I34" i="41"/>
  <c r="G34" i="41"/>
  <c r="I42" i="41"/>
  <c r="G42" i="41"/>
  <c r="I45" i="41"/>
  <c r="G45" i="41"/>
  <c r="G35" i="41"/>
  <c r="I35" i="41"/>
  <c r="I18" i="41"/>
  <c r="G18" i="41"/>
  <c r="G28" i="41"/>
  <c r="I28" i="41"/>
  <c r="I26" i="41"/>
  <c r="G26" i="41"/>
  <c r="I14" i="41"/>
  <c r="G14" i="41"/>
  <c r="I71" i="41"/>
  <c r="G71" i="41"/>
  <c r="I16" i="41"/>
  <c r="G16" i="41"/>
  <c r="I24" i="41"/>
  <c r="G24" i="41"/>
  <c r="I7" i="41"/>
  <c r="G7" i="41"/>
  <c r="I40" i="41"/>
  <c r="G40" i="41"/>
  <c r="I8" i="41"/>
  <c r="G8" i="41"/>
  <c r="I27" i="41"/>
  <c r="G27" i="41"/>
  <c r="G43" i="41"/>
  <c r="I43" i="41"/>
  <c r="I10" i="41"/>
  <c r="G10" i="41"/>
  <c r="G32" i="41"/>
  <c r="I32" i="41"/>
  <c r="I41" i="41"/>
  <c r="G41" i="41"/>
  <c r="I59" i="41"/>
  <c r="G59" i="41"/>
  <c r="I23" i="41"/>
  <c r="G23" i="41"/>
  <c r="I38" i="41"/>
  <c r="G38" i="41"/>
  <c r="G44" i="41"/>
  <c r="I44" i="41"/>
  <c r="I5" i="41"/>
  <c r="G5" i="41"/>
  <c r="I9" i="41"/>
  <c r="G9" i="41"/>
  <c r="I21" i="41"/>
  <c r="G21" i="41"/>
  <c r="I25" i="41"/>
  <c r="G25" i="41"/>
  <c r="I15" i="41"/>
  <c r="G15" i="41"/>
  <c r="I65" i="41"/>
  <c r="G65" i="41"/>
  <c r="G22" i="41"/>
  <c r="I22" i="41"/>
  <c r="G12" i="41"/>
  <c r="I12" i="41"/>
  <c r="I6" i="41"/>
  <c r="G6" i="41"/>
  <c r="I39" i="41"/>
  <c r="G39" i="41"/>
  <c r="G56" i="41"/>
  <c r="I56" i="41"/>
  <c r="I31" i="41"/>
  <c r="G31" i="41"/>
  <c r="I72" i="41"/>
  <c r="G72" i="41"/>
  <c r="I57" i="41"/>
  <c r="G57" i="41"/>
  <c r="I30" i="41"/>
  <c r="G30" i="41"/>
  <c r="I67" i="41"/>
  <c r="G67" i="41"/>
  <c r="G69" i="41"/>
  <c r="I69" i="41"/>
  <c r="G20" i="41"/>
  <c r="I20" i="41"/>
  <c r="I37" i="41"/>
  <c r="G37" i="41"/>
  <c r="AP52" i="39"/>
  <c r="BZ52" i="20"/>
  <c r="BR52" i="20"/>
  <c r="BJ52" i="20"/>
  <c r="BQ52" i="20"/>
  <c r="BI52" i="20"/>
  <c r="BS52" i="20"/>
  <c r="BY52" i="20"/>
  <c r="BX52" i="20"/>
  <c r="BP52" i="20"/>
  <c r="BH52" i="20"/>
  <c r="BM52" i="20"/>
  <c r="BL52" i="20"/>
  <c r="BW52" i="20"/>
  <c r="BO52" i="20"/>
  <c r="BG52" i="20"/>
  <c r="BV52" i="20"/>
  <c r="BN52" i="20"/>
  <c r="BD52" i="20"/>
  <c r="BU52" i="20"/>
  <c r="BT52" i="20"/>
  <c r="BK52" i="20"/>
  <c r="E52" i="39"/>
  <c r="AF52" i="20"/>
  <c r="X52" i="20"/>
  <c r="P52" i="20"/>
  <c r="AE52" i="20"/>
  <c r="W52" i="20"/>
  <c r="AI52" i="20"/>
  <c r="AA52" i="20"/>
  <c r="Z52" i="20"/>
  <c r="Q52" i="20"/>
  <c r="AD52" i="20"/>
  <c r="V52" i="20"/>
  <c r="AB52" i="20"/>
  <c r="T52" i="20"/>
  <c r="S52" i="20"/>
  <c r="R52" i="20"/>
  <c r="AG52" i="20"/>
  <c r="AC52" i="20"/>
  <c r="U52" i="20"/>
  <c r="AH52" i="20"/>
  <c r="Y52" i="20"/>
  <c r="M71" i="41"/>
  <c r="M22" i="41"/>
  <c r="M24" i="41"/>
  <c r="M10" i="41"/>
  <c r="M12" i="41"/>
  <c r="M6" i="41"/>
  <c r="M39" i="41"/>
  <c r="M56" i="41"/>
  <c r="M31" i="41"/>
  <c r="M72" i="41"/>
  <c r="M57" i="41"/>
  <c r="M30" i="41"/>
  <c r="M67" i="41"/>
  <c r="M69" i="41"/>
  <c r="M20" i="41"/>
  <c r="M37" i="41"/>
  <c r="M33" i="41"/>
  <c r="M27" i="41"/>
  <c r="M68" i="41"/>
  <c r="M11" i="41"/>
  <c r="M17" i="41"/>
  <c r="M19" i="41"/>
  <c r="M36" i="41"/>
  <c r="M13" i="41"/>
  <c r="M34" i="41"/>
  <c r="M42" i="41"/>
  <c r="M45" i="41"/>
  <c r="M35" i="41"/>
  <c r="M18" i="41"/>
  <c r="M28" i="41"/>
  <c r="M26" i="41"/>
  <c r="M14" i="41"/>
  <c r="M8" i="41"/>
  <c r="M16" i="41"/>
  <c r="M29" i="41"/>
  <c r="M7" i="41"/>
  <c r="M32" i="41"/>
  <c r="M41" i="41"/>
  <c r="M59" i="41"/>
  <c r="M23" i="41"/>
  <c r="M38" i="41"/>
  <c r="M44" i="41"/>
  <c r="M5" i="41"/>
  <c r="M9" i="41"/>
  <c r="M21" i="41"/>
  <c r="M25" i="41"/>
  <c r="M15" i="41"/>
  <c r="M65" i="41"/>
  <c r="M40" i="41"/>
  <c r="M43" i="41"/>
  <c r="R77" i="39"/>
  <c r="AG77" i="39" s="1"/>
  <c r="AH77" i="39" s="1"/>
  <c r="AJ77" i="39" s="1"/>
  <c r="F67" i="38" s="1"/>
  <c r="O67" i="38" s="1"/>
  <c r="K68" i="41"/>
  <c r="R20" i="39"/>
  <c r="AG20" i="39" s="1"/>
  <c r="K11" i="41"/>
  <c r="R26" i="39"/>
  <c r="AG26" i="39" s="1"/>
  <c r="K17" i="41"/>
  <c r="R28" i="39"/>
  <c r="AG28" i="39" s="1"/>
  <c r="K19" i="41"/>
  <c r="R45" i="39"/>
  <c r="AG45" i="39" s="1"/>
  <c r="AH45" i="39" s="1"/>
  <c r="AJ45" i="39" s="1"/>
  <c r="F35" i="38" s="1"/>
  <c r="O35" i="38" s="1"/>
  <c r="K36" i="41"/>
  <c r="R22" i="39"/>
  <c r="AG22" i="39" s="1"/>
  <c r="K13" i="41"/>
  <c r="R43" i="39"/>
  <c r="AG43" i="39" s="1"/>
  <c r="AH43" i="39" s="1"/>
  <c r="AJ43" i="39" s="1"/>
  <c r="F33" i="38" s="1"/>
  <c r="O33" i="38" s="1"/>
  <c r="K34" i="41"/>
  <c r="R51" i="39"/>
  <c r="AG51" i="39" s="1"/>
  <c r="K42" i="41"/>
  <c r="K45" i="41"/>
  <c r="R44" i="39"/>
  <c r="AG44" i="39" s="1"/>
  <c r="AH44" i="39" s="1"/>
  <c r="AJ44" i="39" s="1"/>
  <c r="F34" i="38" s="1"/>
  <c r="O34" i="38" s="1"/>
  <c r="K35" i="41"/>
  <c r="R27" i="39"/>
  <c r="AG27" i="39" s="1"/>
  <c r="K18" i="41"/>
  <c r="R37" i="39"/>
  <c r="AG37" i="39" s="1"/>
  <c r="K28" i="41"/>
  <c r="R35" i="39"/>
  <c r="AG35" i="39" s="1"/>
  <c r="K26" i="41"/>
  <c r="R23" i="39"/>
  <c r="AG23" i="39" s="1"/>
  <c r="K14" i="41"/>
  <c r="K71" i="41"/>
  <c r="R17" i="39"/>
  <c r="AG17" i="39" s="1"/>
  <c r="K8" i="41"/>
  <c r="R25" i="39"/>
  <c r="AG25" i="39" s="1"/>
  <c r="AH25" i="39" s="1"/>
  <c r="AJ25" i="39" s="1"/>
  <c r="F15" i="38" s="1"/>
  <c r="O15" i="38" s="1"/>
  <c r="K16" i="41"/>
  <c r="R33" i="39"/>
  <c r="AG33" i="39" s="1"/>
  <c r="K24" i="41"/>
  <c r="R38" i="39"/>
  <c r="AG38" i="39" s="1"/>
  <c r="K29" i="41"/>
  <c r="R19" i="39"/>
  <c r="AG19" i="39" s="1"/>
  <c r="AH19" i="39" s="1"/>
  <c r="AJ19" i="39" s="1"/>
  <c r="F9" i="38" s="1"/>
  <c r="O9" i="38" s="1"/>
  <c r="K10" i="41"/>
  <c r="R41" i="39"/>
  <c r="AG41" i="39" s="1"/>
  <c r="K32" i="41"/>
  <c r="R50" i="39"/>
  <c r="AG50" i="39" s="1"/>
  <c r="K41" i="41"/>
  <c r="K59" i="41"/>
  <c r="R32" i="39"/>
  <c r="AG32" i="39" s="1"/>
  <c r="K23" i="41"/>
  <c r="R47" i="39"/>
  <c r="AG47" i="39" s="1"/>
  <c r="AH47" i="39" s="1"/>
  <c r="AI47" i="39" s="1"/>
  <c r="K38" i="41"/>
  <c r="K44" i="41"/>
  <c r="R14" i="39"/>
  <c r="AG14" i="39" s="1"/>
  <c r="K5" i="41"/>
  <c r="R18" i="39"/>
  <c r="AG18" i="39" s="1"/>
  <c r="K9" i="41"/>
  <c r="R30" i="39"/>
  <c r="AG30" i="39" s="1"/>
  <c r="K21" i="41"/>
  <c r="R34" i="39"/>
  <c r="AG34" i="39" s="1"/>
  <c r="K25" i="41"/>
  <c r="R24" i="39"/>
  <c r="AG24" i="39" s="1"/>
  <c r="K15" i="41"/>
  <c r="R74" i="39"/>
  <c r="AG74" i="39" s="1"/>
  <c r="K65" i="41"/>
  <c r="R42" i="39"/>
  <c r="AG42" i="39" s="1"/>
  <c r="K33" i="41"/>
  <c r="R36" i="39"/>
  <c r="AG36" i="39" s="1"/>
  <c r="K27" i="41"/>
  <c r="R16" i="39"/>
  <c r="AG16" i="39" s="1"/>
  <c r="K7" i="41"/>
  <c r="R49" i="39"/>
  <c r="AG49" i="39" s="1"/>
  <c r="K40" i="41"/>
  <c r="R31" i="39"/>
  <c r="AG31" i="39" s="1"/>
  <c r="K22" i="41"/>
  <c r="K43" i="41"/>
  <c r="R21" i="39"/>
  <c r="AG21" i="39" s="1"/>
  <c r="K12" i="41"/>
  <c r="R15" i="39"/>
  <c r="AG15" i="39" s="1"/>
  <c r="K6" i="41"/>
  <c r="R48" i="39"/>
  <c r="AG48" i="39" s="1"/>
  <c r="K39" i="41"/>
  <c r="R65" i="39"/>
  <c r="AG65" i="39" s="1"/>
  <c r="AH65" i="39" s="1"/>
  <c r="AI65" i="39" s="1"/>
  <c r="K56" i="41"/>
  <c r="R40" i="39"/>
  <c r="AG40" i="39" s="1"/>
  <c r="K31" i="41"/>
  <c r="K72" i="41"/>
  <c r="R66" i="39"/>
  <c r="AG66" i="39" s="1"/>
  <c r="AH66" i="39" s="1"/>
  <c r="K57" i="41"/>
  <c r="R39" i="39"/>
  <c r="AG39" i="39" s="1"/>
  <c r="K30" i="41"/>
  <c r="R76" i="39"/>
  <c r="AG76" i="39" s="1"/>
  <c r="K67" i="41"/>
  <c r="R78" i="39"/>
  <c r="AG78" i="39" s="1"/>
  <c r="AH78" i="39" s="1"/>
  <c r="AJ78" i="39" s="1"/>
  <c r="F68" i="38" s="1"/>
  <c r="O68" i="38" s="1"/>
  <c r="K69" i="41"/>
  <c r="R29" i="39"/>
  <c r="AG29" i="39" s="1"/>
  <c r="K20" i="41"/>
  <c r="R46" i="39"/>
  <c r="AG46" i="39" s="1"/>
  <c r="AH46" i="39" s="1"/>
  <c r="AJ46" i="39" s="1"/>
  <c r="F36" i="38" s="1"/>
  <c r="O36" i="38" s="1"/>
  <c r="K37" i="41"/>
  <c r="AP14" i="11"/>
  <c r="BG14" i="20"/>
  <c r="AP14" i="39"/>
  <c r="BH14" i="20"/>
  <c r="BI14" i="20"/>
  <c r="BJ14" i="20"/>
  <c r="S25" i="20"/>
  <c r="BH23" i="20"/>
  <c r="BD33" i="20"/>
  <c r="BJ23" i="20"/>
  <c r="BH20" i="20"/>
  <c r="Q41" i="20"/>
  <c r="BI20" i="20"/>
  <c r="M80" i="20"/>
  <c r="BX80" i="20"/>
  <c r="BH36" i="20"/>
  <c r="P41" i="20"/>
  <c r="BJ36" i="20"/>
  <c r="BJ15" i="20"/>
  <c r="BI36" i="20"/>
  <c r="M41" i="20"/>
  <c r="BI54" i="20"/>
  <c r="M75" i="20"/>
  <c r="Q75" i="20"/>
  <c r="Q16" i="20"/>
  <c r="BO80" i="20"/>
  <c r="W80" i="20"/>
  <c r="BV80" i="20"/>
  <c r="BG20" i="20"/>
  <c r="R41" i="20"/>
  <c r="S75" i="20"/>
  <c r="BZ80" i="20"/>
  <c r="S41" i="20"/>
  <c r="BW54" i="20"/>
  <c r="BD36" i="20"/>
  <c r="BG80" i="20"/>
  <c r="BJ20" i="20"/>
  <c r="BM54" i="20"/>
  <c r="BG36" i="20"/>
  <c r="BT80" i="20"/>
  <c r="BD20" i="20"/>
  <c r="P37" i="20"/>
  <c r="S69" i="20"/>
  <c r="P69" i="20"/>
  <c r="R69" i="20"/>
  <c r="M66" i="20"/>
  <c r="BJ76" i="20"/>
  <c r="P32" i="20"/>
  <c r="S51" i="20"/>
  <c r="M27" i="20"/>
  <c r="S32" i="20"/>
  <c r="BI16" i="20"/>
  <c r="Q28" i="20"/>
  <c r="BP81" i="20"/>
  <c r="BD34" i="20"/>
  <c r="P59" i="20"/>
  <c r="AB81" i="20"/>
  <c r="P34" i="20"/>
  <c r="R64" i="20"/>
  <c r="Q64" i="20"/>
  <c r="BH18" i="20"/>
  <c r="Q51" i="20"/>
  <c r="R37" i="20"/>
  <c r="S66" i="20"/>
  <c r="R33" i="20"/>
  <c r="S37" i="20"/>
  <c r="BH28" i="20"/>
  <c r="BJ49" i="20"/>
  <c r="BG16" i="20"/>
  <c r="Q32" i="20"/>
  <c r="BG30" i="20"/>
  <c r="R28" i="20"/>
  <c r="M51" i="20"/>
  <c r="R66" i="20"/>
  <c r="M37" i="20"/>
  <c r="S74" i="20"/>
  <c r="R23" i="20"/>
  <c r="S47" i="20"/>
  <c r="BG43" i="20"/>
  <c r="P71" i="20"/>
  <c r="Q74" i="20"/>
  <c r="Q47" i="20"/>
  <c r="BH21" i="20"/>
  <c r="V53" i="20"/>
  <c r="BI41" i="20"/>
  <c r="E37" i="39"/>
  <c r="AG53" i="20"/>
  <c r="BJ31" i="20"/>
  <c r="AC79" i="20"/>
  <c r="R47" i="20"/>
  <c r="R71" i="20"/>
  <c r="AE67" i="20"/>
  <c r="P23" i="20"/>
  <c r="M47" i="20"/>
  <c r="S71" i="20"/>
  <c r="Q29" i="20"/>
  <c r="M34" i="20"/>
  <c r="Q27" i="20"/>
  <c r="BH38" i="20"/>
  <c r="BJ41" i="20"/>
  <c r="S64" i="20"/>
  <c r="R34" i="20"/>
  <c r="AC60" i="20"/>
  <c r="BD48" i="20"/>
  <c r="S33" i="20"/>
  <c r="M25" i="20"/>
  <c r="BM53" i="20"/>
  <c r="Q34" i="20"/>
  <c r="BH34" i="20"/>
  <c r="Z68" i="20"/>
  <c r="S34" i="20"/>
  <c r="M36" i="20"/>
  <c r="BI34" i="20"/>
  <c r="M68" i="20"/>
  <c r="AD53" i="20"/>
  <c r="P53" i="20"/>
  <c r="AA68" i="20"/>
  <c r="BG19" i="20"/>
  <c r="AE68" i="20"/>
  <c r="BD29" i="20"/>
  <c r="AA53" i="20"/>
  <c r="S23" i="20"/>
  <c r="BJ46" i="20"/>
  <c r="BG41" i="20"/>
  <c r="BJ30" i="20"/>
  <c r="M20" i="20"/>
  <c r="M71" i="20"/>
  <c r="AD67" i="20"/>
  <c r="AI68" i="20"/>
  <c r="BI74" i="20"/>
  <c r="E47" i="39"/>
  <c r="BJ21" i="20"/>
  <c r="BI21" i="20"/>
  <c r="BH74" i="20"/>
  <c r="AE53" i="20"/>
  <c r="Q23" i="20"/>
  <c r="M43" i="20"/>
  <c r="BH30" i="20"/>
  <c r="S20" i="20"/>
  <c r="R17" i="20"/>
  <c r="Y68" i="20"/>
  <c r="X68" i="20"/>
  <c r="BD74" i="20"/>
  <c r="BI42" i="20"/>
  <c r="U67" i="20"/>
  <c r="W53" i="20"/>
  <c r="Q71" i="20"/>
  <c r="Z67" i="20"/>
  <c r="R74" i="20"/>
  <c r="AI53" i="20"/>
  <c r="M23" i="20"/>
  <c r="P19" i="20"/>
  <c r="S43" i="20"/>
  <c r="BI30" i="20"/>
  <c r="R68" i="20"/>
  <c r="E68" i="11"/>
  <c r="BG74" i="20"/>
  <c r="U60" i="20"/>
  <c r="BI31" i="20"/>
  <c r="Q67" i="20"/>
  <c r="BG31" i="20"/>
  <c r="BJ74" i="20"/>
  <c r="BG21" i="20"/>
  <c r="P26" i="20"/>
  <c r="M74" i="20"/>
  <c r="AB53" i="20"/>
  <c r="AC53" i="20"/>
  <c r="BJ38" i="20"/>
  <c r="AP52" i="11"/>
  <c r="BH31" i="20"/>
  <c r="BD30" i="20"/>
  <c r="BD21" i="20"/>
  <c r="AA67" i="20"/>
  <c r="V68" i="20"/>
  <c r="Y60" i="20"/>
  <c r="S36" i="20"/>
  <c r="S35" i="20"/>
  <c r="P58" i="20"/>
  <c r="Q36" i="20"/>
  <c r="BG28" i="20"/>
  <c r="BQ80" i="20"/>
  <c r="S58" i="20"/>
  <c r="BH25" i="20"/>
  <c r="M69" i="20"/>
  <c r="BH54" i="20"/>
  <c r="R72" i="20"/>
  <c r="M16" i="20"/>
  <c r="BG29" i="20"/>
  <c r="P36" i="20"/>
  <c r="BD19" i="20"/>
  <c r="Y80" i="20"/>
  <c r="Q79" i="20"/>
  <c r="P75" i="20"/>
  <c r="P43" i="20"/>
  <c r="BM80" i="20"/>
  <c r="BL80" i="20"/>
  <c r="BN80" i="20"/>
  <c r="BG15" i="20"/>
  <c r="P51" i="20"/>
  <c r="BH16" i="20"/>
  <c r="S46" i="20"/>
  <c r="BH47" i="20"/>
  <c r="BD43" i="20"/>
  <c r="AB60" i="20"/>
  <c r="V79" i="20"/>
  <c r="BY80" i="20"/>
  <c r="BH29" i="20"/>
  <c r="AH80" i="20"/>
  <c r="BI22" i="20"/>
  <c r="AP80" i="11"/>
  <c r="BR68" i="20"/>
  <c r="E51" i="39"/>
  <c r="BD76" i="20"/>
  <c r="BP54" i="20"/>
  <c r="P74" i="20"/>
  <c r="S16" i="20"/>
  <c r="P33" i="20"/>
  <c r="R36" i="20"/>
  <c r="BI19" i="20"/>
  <c r="AG80" i="20"/>
  <c r="Y79" i="20"/>
  <c r="R75" i="20"/>
  <c r="R43" i="20"/>
  <c r="BU80" i="20"/>
  <c r="BP80" i="20"/>
  <c r="BR80" i="20"/>
  <c r="BD16" i="20"/>
  <c r="Q46" i="20"/>
  <c r="BJ47" i="20"/>
  <c r="BI43" i="20"/>
  <c r="V60" i="20"/>
  <c r="Q35" i="20"/>
  <c r="Q43" i="20"/>
  <c r="BI80" i="20"/>
  <c r="R58" i="20"/>
  <c r="E33" i="39"/>
  <c r="BJ54" i="20"/>
  <c r="BH49" i="20"/>
  <c r="AP29" i="39"/>
  <c r="BD32" i="20"/>
  <c r="BR54" i="20"/>
  <c r="M38" i="20"/>
  <c r="P16" i="20"/>
  <c r="BJ29" i="20"/>
  <c r="BH19" i="20"/>
  <c r="P80" i="20"/>
  <c r="BI49" i="20"/>
  <c r="R65" i="20"/>
  <c r="BK80" i="20"/>
  <c r="BW80" i="20"/>
  <c r="BD80" i="20"/>
  <c r="BH15" i="20"/>
  <c r="M58" i="20"/>
  <c r="BD25" i="20"/>
  <c r="BD17" i="20"/>
  <c r="Q69" i="20"/>
  <c r="BH43" i="20"/>
  <c r="P39" i="20"/>
  <c r="AE60" i="20"/>
  <c r="AP16" i="39"/>
  <c r="AP43" i="39"/>
  <c r="AP23" i="39"/>
  <c r="M33" i="20"/>
  <c r="AE80" i="20"/>
  <c r="AP19" i="39"/>
  <c r="BD37" i="20"/>
  <c r="M35" i="20"/>
  <c r="Q20" i="20"/>
  <c r="BD15" i="20"/>
  <c r="AA60" i="20"/>
  <c r="BV54" i="20"/>
  <c r="P72" i="20"/>
  <c r="R16" i="20"/>
  <c r="Q80" i="20"/>
  <c r="T80" i="20"/>
  <c r="BG49" i="20"/>
  <c r="Q18" i="20"/>
  <c r="BS80" i="20"/>
  <c r="BH80" i="20"/>
  <c r="BJ80" i="20"/>
  <c r="BI15" i="20"/>
  <c r="Q58" i="20"/>
  <c r="BG25" i="20"/>
  <c r="BH17" i="20"/>
  <c r="BD47" i="20"/>
  <c r="T60" i="20"/>
  <c r="AI60" i="20"/>
  <c r="BI18" i="20"/>
  <c r="BG46" i="20"/>
  <c r="BD45" i="20"/>
  <c r="M19" i="20"/>
  <c r="M67" i="20"/>
  <c r="E67" i="11"/>
  <c r="M52" i="20"/>
  <c r="BG33" i="20"/>
  <c r="BI32" i="20"/>
  <c r="P31" i="20"/>
  <c r="M44" i="20"/>
  <c r="S54" i="20"/>
  <c r="BJ44" i="20"/>
  <c r="Z79" i="20"/>
  <c r="M28" i="20"/>
  <c r="P35" i="20"/>
  <c r="S76" i="20"/>
  <c r="BH41" i="20"/>
  <c r="P20" i="20"/>
  <c r="P25" i="20"/>
  <c r="BD42" i="20"/>
  <c r="AG81" i="20"/>
  <c r="BH53" i="20"/>
  <c r="S67" i="20"/>
  <c r="AB67" i="20"/>
  <c r="R67" i="20"/>
  <c r="AC68" i="20"/>
  <c r="S68" i="20"/>
  <c r="AB68" i="20"/>
  <c r="P46" i="20"/>
  <c r="R32" i="20"/>
  <c r="S29" i="20"/>
  <c r="BD28" i="20"/>
  <c r="E66" i="39"/>
  <c r="AP32" i="39"/>
  <c r="E28" i="39"/>
  <c r="E20" i="39"/>
  <c r="E32" i="39"/>
  <c r="AP34" i="39"/>
  <c r="AP28" i="39"/>
  <c r="AP41" i="39"/>
  <c r="AP47" i="39"/>
  <c r="AP25" i="39"/>
  <c r="BY81" i="20"/>
  <c r="AP18" i="39"/>
  <c r="BG37" i="20"/>
  <c r="M54" i="20"/>
  <c r="M76" i="20"/>
  <c r="BV53" i="20"/>
  <c r="X67" i="20"/>
  <c r="R29" i="20"/>
  <c r="BG32" i="20"/>
  <c r="BJ18" i="20"/>
  <c r="W54" i="20"/>
  <c r="BJ34" i="20"/>
  <c r="BD23" i="20"/>
  <c r="AE79" i="20"/>
  <c r="AD79" i="20"/>
  <c r="S28" i="20"/>
  <c r="R35" i="20"/>
  <c r="R25" i="20"/>
  <c r="BG42" i="20"/>
  <c r="S81" i="20"/>
  <c r="BI53" i="20"/>
  <c r="W67" i="20"/>
  <c r="AF67" i="20"/>
  <c r="V67" i="20"/>
  <c r="AG68" i="20"/>
  <c r="W68" i="20"/>
  <c r="AF68" i="20"/>
  <c r="R46" i="20"/>
  <c r="P66" i="20"/>
  <c r="M29" i="20"/>
  <c r="BI28" i="20"/>
  <c r="M72" i="20"/>
  <c r="BD18" i="20"/>
  <c r="BI23" i="20"/>
  <c r="Q25" i="20"/>
  <c r="R15" i="20"/>
  <c r="AI67" i="20"/>
  <c r="BH33" i="20"/>
  <c r="AP46" i="39"/>
  <c r="AP37" i="39"/>
  <c r="AP33" i="39"/>
  <c r="E72" i="39"/>
  <c r="E19" i="39"/>
  <c r="E46" i="39"/>
  <c r="BJ32" i="20"/>
  <c r="Q40" i="20"/>
  <c r="BJ37" i="20"/>
  <c r="S72" i="20"/>
  <c r="BI46" i="20"/>
  <c r="P79" i="20"/>
  <c r="S19" i="20"/>
  <c r="P76" i="20"/>
  <c r="BJ25" i="20"/>
  <c r="BS68" i="20"/>
  <c r="S15" i="20"/>
  <c r="BS53" i="20"/>
  <c r="P67" i="20"/>
  <c r="AC67" i="20"/>
  <c r="Q68" i="20"/>
  <c r="AD68" i="20"/>
  <c r="P68" i="20"/>
  <c r="BI47" i="20"/>
  <c r="BJ33" i="20"/>
  <c r="E68" i="39"/>
  <c r="BQ53" i="20"/>
  <c r="BH37" i="20"/>
  <c r="BH46" i="20"/>
  <c r="R19" i="20"/>
  <c r="BO53" i="20"/>
  <c r="Y67" i="20"/>
  <c r="AH67" i="20"/>
  <c r="E29" i="39"/>
  <c r="P54" i="20"/>
  <c r="T79" i="20"/>
  <c r="R76" i="20"/>
  <c r="BI68" i="20"/>
  <c r="BN53" i="20"/>
  <c r="BW53" i="20"/>
  <c r="T67" i="20"/>
  <c r="AG67" i="20"/>
  <c r="U68" i="20"/>
  <c r="AH68" i="20"/>
  <c r="Q24" i="20"/>
  <c r="BI45" i="20"/>
  <c r="BG27" i="20"/>
  <c r="BI44" i="20"/>
  <c r="P49" i="20"/>
  <c r="BG40" i="20"/>
  <c r="BJ42" i="20"/>
  <c r="BG51" i="20"/>
  <c r="BH45" i="20"/>
  <c r="BG44" i="20"/>
  <c r="M49" i="20"/>
  <c r="BH42" i="20"/>
  <c r="BJ45" i="20"/>
  <c r="BD51" i="20"/>
  <c r="BJ51" i="20"/>
  <c r="BD27" i="20"/>
  <c r="BH44" i="20"/>
  <c r="BG45" i="20"/>
  <c r="BH51" i="20"/>
  <c r="AP51" i="39"/>
  <c r="BI27" i="20"/>
  <c r="BD44" i="20"/>
  <c r="BD24" i="20"/>
  <c r="BI24" i="20"/>
  <c r="BH35" i="20"/>
  <c r="AP35" i="39"/>
  <c r="M26" i="20"/>
  <c r="P77" i="20"/>
  <c r="BZ68" i="20"/>
  <c r="Q15" i="20"/>
  <c r="BH76" i="20"/>
  <c r="X54" i="20"/>
  <c r="BD78" i="20"/>
  <c r="X80" i="20"/>
  <c r="BD39" i="20"/>
  <c r="AP76" i="39"/>
  <c r="M40" i="20"/>
  <c r="BD54" i="20"/>
  <c r="BO54" i="20"/>
  <c r="AP54" i="11"/>
  <c r="V54" i="20"/>
  <c r="BJ27" i="20"/>
  <c r="AH53" i="20"/>
  <c r="M53" i="20"/>
  <c r="U53" i="20"/>
  <c r="U80" i="20"/>
  <c r="Z80" i="20"/>
  <c r="BJ24" i="20"/>
  <c r="BJ22" i="20"/>
  <c r="M48" i="20"/>
  <c r="BK68" i="20"/>
  <c r="BT68" i="20"/>
  <c r="BJ68" i="20"/>
  <c r="BI39" i="20"/>
  <c r="S45" i="20"/>
  <c r="S17" i="20"/>
  <c r="BM68" i="20"/>
  <c r="AP17" i="39"/>
  <c r="R26" i="20"/>
  <c r="BX54" i="20"/>
  <c r="E80" i="11"/>
  <c r="Q17" i="20"/>
  <c r="BH68" i="20"/>
  <c r="BI17" i="20"/>
  <c r="M15" i="20"/>
  <c r="P45" i="20"/>
  <c r="R73" i="20"/>
  <c r="S40" i="20"/>
  <c r="BN54" i="20"/>
  <c r="BS54" i="20"/>
  <c r="AD54" i="20"/>
  <c r="BH27" i="20"/>
  <c r="T53" i="20"/>
  <c r="S53" i="20"/>
  <c r="Y53" i="20"/>
  <c r="M70" i="20"/>
  <c r="BD31" i="20"/>
  <c r="AC80" i="20"/>
  <c r="AD80" i="20"/>
  <c r="BD49" i="20"/>
  <c r="BH24" i="20"/>
  <c r="BH22" i="20"/>
  <c r="Q48" i="20"/>
  <c r="P17" i="20"/>
  <c r="BO68" i="20"/>
  <c r="BX68" i="20"/>
  <c r="BN68" i="20"/>
  <c r="BG39" i="20"/>
  <c r="P15" i="20"/>
  <c r="BG50" i="20"/>
  <c r="Q45" i="20"/>
  <c r="BW68" i="20"/>
  <c r="BV68" i="20"/>
  <c r="E17" i="39"/>
  <c r="BG24" i="20"/>
  <c r="BQ68" i="20"/>
  <c r="BZ54" i="20"/>
  <c r="S80" i="20"/>
  <c r="BU68" i="20"/>
  <c r="E45" i="39"/>
  <c r="S26" i="20"/>
  <c r="BI76" i="20"/>
  <c r="BL54" i="20"/>
  <c r="BG54" i="20"/>
  <c r="BU54" i="20"/>
  <c r="AF54" i="20"/>
  <c r="R53" i="20"/>
  <c r="X53" i="20"/>
  <c r="E53" i="11"/>
  <c r="AA80" i="20"/>
  <c r="R80" i="20"/>
  <c r="AB80" i="20"/>
  <c r="Q76" i="20"/>
  <c r="BI35" i="20"/>
  <c r="R48" i="20"/>
  <c r="BL68" i="20"/>
  <c r="BY68" i="20"/>
  <c r="BH39" i="20"/>
  <c r="BG17" i="20"/>
  <c r="M22" i="20"/>
  <c r="E52" i="11"/>
  <c r="R45" i="20"/>
  <c r="BJ35" i="20"/>
  <c r="AP68" i="11"/>
  <c r="E48" i="39"/>
  <c r="BQ54" i="20"/>
  <c r="BD35" i="20"/>
  <c r="P48" i="20"/>
  <c r="Q26" i="20"/>
  <c r="BT54" i="20"/>
  <c r="BK54" i="20"/>
  <c r="BY54" i="20"/>
  <c r="AB54" i="20"/>
  <c r="BD66" i="20"/>
  <c r="Z53" i="20"/>
  <c r="AF53" i="20"/>
  <c r="Q53" i="20"/>
  <c r="AI80" i="20"/>
  <c r="V80" i="20"/>
  <c r="AF80" i="20"/>
  <c r="BG68" i="20"/>
  <c r="BP68" i="20"/>
  <c r="BD68" i="20"/>
  <c r="BJ39" i="20"/>
  <c r="BD81" i="20"/>
  <c r="R31" i="20"/>
  <c r="BJ65" i="20"/>
  <c r="R39" i="20"/>
  <c r="E30" i="39"/>
  <c r="E42" i="39"/>
  <c r="E22" i="39"/>
  <c r="E81" i="39"/>
  <c r="E44" i="39"/>
  <c r="BK81" i="20"/>
  <c r="M73" i="20"/>
  <c r="S31" i="20"/>
  <c r="R81" i="20"/>
  <c r="R21" i="20"/>
  <c r="BN81" i="20"/>
  <c r="Q31" i="20"/>
  <c r="BJ26" i="20"/>
  <c r="BI66" i="20"/>
  <c r="Q70" i="20"/>
  <c r="P30" i="20"/>
  <c r="AG79" i="20"/>
  <c r="BD22" i="20"/>
  <c r="V81" i="20"/>
  <c r="R77" i="20"/>
  <c r="BP53" i="20"/>
  <c r="S21" i="20"/>
  <c r="AD60" i="20"/>
  <c r="E60" i="39"/>
  <c r="BH81" i="20"/>
  <c r="BQ81" i="20"/>
  <c r="BZ81" i="20"/>
  <c r="M24" i="20"/>
  <c r="P40" i="20"/>
  <c r="R27" i="20"/>
  <c r="R44" i="20"/>
  <c r="Q38" i="20"/>
  <c r="BD26" i="20"/>
  <c r="AH54" i="20"/>
  <c r="AC54" i="20"/>
  <c r="BG78" i="20"/>
  <c r="Q14" i="20"/>
  <c r="BJ48" i="20"/>
  <c r="Q50" i="20"/>
  <c r="S30" i="20"/>
  <c r="M79" i="20"/>
  <c r="AI79" i="20"/>
  <c r="E79" i="11"/>
  <c r="R18" i="20"/>
  <c r="BG77" i="20"/>
  <c r="BD40" i="20"/>
  <c r="M64" i="20"/>
  <c r="Q42" i="20"/>
  <c r="M59" i="20"/>
  <c r="Y81" i="20"/>
  <c r="AH81" i="20"/>
  <c r="T81" i="20"/>
  <c r="Q77" i="20"/>
  <c r="BT53" i="20"/>
  <c r="BR53" i="20"/>
  <c r="BG53" i="20"/>
  <c r="BI50" i="20"/>
  <c r="Z60" i="20"/>
  <c r="AF60" i="20"/>
  <c r="S60" i="20"/>
  <c r="S73" i="20"/>
  <c r="R70" i="20"/>
  <c r="E81" i="11"/>
  <c r="E24" i="39"/>
  <c r="E14" i="39"/>
  <c r="AP81" i="39"/>
  <c r="E65" i="39"/>
  <c r="M14" i="20"/>
  <c r="M78" i="20"/>
  <c r="R22" i="20"/>
  <c r="S39" i="20"/>
  <c r="Q73" i="20"/>
  <c r="Q54" i="20"/>
  <c r="BH78" i="20"/>
  <c r="BI38" i="20"/>
  <c r="BD65" i="20"/>
  <c r="E38" i="39"/>
  <c r="BL81" i="20"/>
  <c r="BU81" i="20"/>
  <c r="P73" i="20"/>
  <c r="S24" i="20"/>
  <c r="R40" i="20"/>
  <c r="S27" i="20"/>
  <c r="S44" i="20"/>
  <c r="BG26" i="20"/>
  <c r="T54" i="20"/>
  <c r="AG54" i="20"/>
  <c r="P70" i="20"/>
  <c r="BH48" i="20"/>
  <c r="M50" i="20"/>
  <c r="Q30" i="20"/>
  <c r="W79" i="20"/>
  <c r="U79" i="20"/>
  <c r="R79" i="20"/>
  <c r="P65" i="20"/>
  <c r="S18" i="20"/>
  <c r="BI40" i="20"/>
  <c r="P64" i="20"/>
  <c r="AC81" i="20"/>
  <c r="M81" i="20"/>
  <c r="X81" i="20"/>
  <c r="BD53" i="20"/>
  <c r="BZ53" i="20"/>
  <c r="BK53" i="20"/>
  <c r="BD50" i="20"/>
  <c r="AH60" i="20"/>
  <c r="Q60" i="20"/>
  <c r="W60" i="20"/>
  <c r="BT81" i="20"/>
  <c r="Q44" i="20"/>
  <c r="BI48" i="20"/>
  <c r="S65" i="20"/>
  <c r="W81" i="20"/>
  <c r="P22" i="20"/>
  <c r="AP48" i="39"/>
  <c r="E21" i="39"/>
  <c r="E70" i="39"/>
  <c r="E31" i="39"/>
  <c r="BJ81" i="20"/>
  <c r="BH66" i="20"/>
  <c r="BH65" i="20"/>
  <c r="BO81" i="20"/>
  <c r="P38" i="20"/>
  <c r="E54" i="11"/>
  <c r="P14" i="20"/>
  <c r="P50" i="20"/>
  <c r="R49" i="20"/>
  <c r="AH79" i="20"/>
  <c r="M65" i="20"/>
  <c r="BD77" i="20"/>
  <c r="M42" i="20"/>
  <c r="AE81" i="20"/>
  <c r="S22" i="20"/>
  <c r="Q39" i="20"/>
  <c r="AG60" i="20"/>
  <c r="E50" i="39"/>
  <c r="E79" i="39"/>
  <c r="E59" i="39"/>
  <c r="AP26" i="39"/>
  <c r="AP40" i="39"/>
  <c r="AP50" i="39"/>
  <c r="AP38" i="39"/>
  <c r="E54" i="39"/>
  <c r="E18" i="39"/>
  <c r="AP53" i="39"/>
  <c r="E49" i="39"/>
  <c r="AP22" i="39"/>
  <c r="E77" i="39"/>
  <c r="E27" i="39"/>
  <c r="BS81" i="20"/>
  <c r="BI81" i="20"/>
  <c r="BR81" i="20"/>
  <c r="P24" i="20"/>
  <c r="R38" i="20"/>
  <c r="BH26" i="20"/>
  <c r="R54" i="20"/>
  <c r="U54" i="20"/>
  <c r="AE54" i="20"/>
  <c r="BG66" i="20"/>
  <c r="BI78" i="20"/>
  <c r="R14" i="20"/>
  <c r="BD38" i="20"/>
  <c r="R50" i="20"/>
  <c r="S49" i="20"/>
  <c r="R30" i="20"/>
  <c r="S79" i="20"/>
  <c r="AB79" i="20"/>
  <c r="BI65" i="20"/>
  <c r="P18" i="20"/>
  <c r="BI77" i="20"/>
  <c r="BJ40" i="20"/>
  <c r="R42" i="20"/>
  <c r="S78" i="20"/>
  <c r="S59" i="20"/>
  <c r="Q81" i="20"/>
  <c r="Z81" i="20"/>
  <c r="AI81" i="20"/>
  <c r="S77" i="20"/>
  <c r="BX53" i="20"/>
  <c r="BY53" i="20"/>
  <c r="BJ50" i="20"/>
  <c r="M21" i="20"/>
  <c r="M39" i="20"/>
  <c r="P60" i="20"/>
  <c r="E60" i="11"/>
  <c r="BG81" i="20"/>
  <c r="BJ66" i="20"/>
  <c r="P78" i="20"/>
  <c r="AF81" i="20"/>
  <c r="P21" i="20"/>
  <c r="E78" i="39"/>
  <c r="AP77" i="39"/>
  <c r="AP65" i="39"/>
  <c r="BX81" i="20"/>
  <c r="BH77" i="20"/>
  <c r="P42" i="20"/>
  <c r="AA81" i="20"/>
  <c r="AP81" i="11"/>
  <c r="AA54" i="20"/>
  <c r="X79" i="20"/>
  <c r="R78" i="20"/>
  <c r="R59" i="20"/>
  <c r="BU53" i="20"/>
  <c r="AP78" i="39"/>
  <c r="BW81" i="20"/>
  <c r="BM81" i="20"/>
  <c r="Z54" i="20"/>
  <c r="Y54" i="20"/>
  <c r="AA79" i="20"/>
  <c r="U81" i="20"/>
  <c r="AD81" i="20"/>
  <c r="BL53" i="20"/>
  <c r="BJ53" i="20"/>
  <c r="R60" i="20"/>
  <c r="X60" i="20"/>
  <c r="D45" i="39"/>
  <c r="D44" i="39"/>
  <c r="N41" i="39"/>
  <c r="O41" i="39" s="1"/>
  <c r="D17" i="39"/>
  <c r="D66" i="39"/>
  <c r="D65" i="39"/>
  <c r="D64" i="39"/>
  <c r="D51" i="39"/>
  <c r="D42" i="39"/>
  <c r="D39" i="39"/>
  <c r="D35" i="39"/>
  <c r="D14" i="39"/>
  <c r="N50" i="39"/>
  <c r="O50" i="39" s="1"/>
  <c r="N49" i="39"/>
  <c r="O49" i="39" s="1"/>
  <c r="N29" i="39"/>
  <c r="O29" i="39" s="1"/>
  <c r="N48" i="39"/>
  <c r="O48" i="39" s="1"/>
  <c r="S67" i="11"/>
  <c r="N60" i="39"/>
  <c r="O60" i="39" s="1"/>
  <c r="N79" i="39"/>
  <c r="O79" i="39" s="1"/>
  <c r="AH75" i="39"/>
  <c r="AI75" i="39" s="1"/>
  <c r="N42" i="39"/>
  <c r="O42" i="39" s="1"/>
  <c r="N80" i="39"/>
  <c r="O80" i="39" s="1"/>
  <c r="N80" i="11"/>
  <c r="N81" i="11"/>
  <c r="N53" i="39"/>
  <c r="O53" i="39" s="1"/>
  <c r="N53" i="11"/>
  <c r="O53" i="11" s="1"/>
  <c r="N60" i="11"/>
  <c r="N67" i="39"/>
  <c r="O67" i="39" s="1"/>
  <c r="N54" i="39"/>
  <c r="O54" i="39" s="1"/>
  <c r="N52" i="39"/>
  <c r="O52" i="39" s="1"/>
  <c r="N67" i="11"/>
  <c r="AH59" i="39"/>
  <c r="R54" i="11"/>
  <c r="AG54" i="11" s="1"/>
  <c r="R54" i="39"/>
  <c r="AG54" i="39" s="1"/>
  <c r="N79" i="11"/>
  <c r="R80" i="11"/>
  <c r="AG80" i="11" s="1"/>
  <c r="R80" i="39"/>
  <c r="AG80" i="39" s="1"/>
  <c r="R52" i="11"/>
  <c r="AG52" i="11" s="1"/>
  <c r="R52" i="39"/>
  <c r="AG52" i="39" s="1"/>
  <c r="N51" i="39"/>
  <c r="O51" i="39" s="1"/>
  <c r="N54" i="11"/>
  <c r="O54" i="11" s="1"/>
  <c r="R68" i="11"/>
  <c r="AG68" i="11" s="1"/>
  <c r="R68" i="39"/>
  <c r="AG68" i="39" s="1"/>
  <c r="N52" i="11"/>
  <c r="L42" i="12" s="1"/>
  <c r="R81" i="11"/>
  <c r="AG81" i="11" s="1"/>
  <c r="R81" i="39"/>
  <c r="AG81" i="39" s="1"/>
  <c r="R53" i="11"/>
  <c r="AG53" i="11" s="1"/>
  <c r="R53" i="39"/>
  <c r="AG53" i="39" s="1"/>
  <c r="N81" i="39"/>
  <c r="O81" i="39" s="1"/>
  <c r="AA66" i="36"/>
  <c r="K19" i="10"/>
  <c r="F43" i="4"/>
  <c r="B30" i="24"/>
  <c r="H18" i="10"/>
  <c r="H17" i="10"/>
  <c r="B31" i="24"/>
  <c r="D42" i="4" s="1"/>
  <c r="I25" i="24"/>
  <c r="B26" i="24" s="1"/>
  <c r="I26" i="24" s="1"/>
  <c r="C42" i="4" s="1"/>
  <c r="D40" i="4"/>
  <c r="F40" i="4" s="1"/>
  <c r="F38" i="4"/>
  <c r="H41" i="13"/>
  <c r="G41" i="13"/>
  <c r="A41" i="13"/>
  <c r="H40" i="13"/>
  <c r="G40" i="13"/>
  <c r="A40" i="13"/>
  <c r="BZ50" i="20"/>
  <c r="BY50" i="20"/>
  <c r="BX50" i="20"/>
  <c r="BW50" i="20"/>
  <c r="BV50" i="20"/>
  <c r="BU50" i="20"/>
  <c r="BT50" i="20"/>
  <c r="BS50" i="20"/>
  <c r="BR50" i="20"/>
  <c r="BQ50" i="20"/>
  <c r="BP50" i="20"/>
  <c r="BO50" i="20"/>
  <c r="BN50" i="20"/>
  <c r="BM50" i="20"/>
  <c r="BL50" i="20"/>
  <c r="BK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BZ49" i="20"/>
  <c r="BY49" i="20"/>
  <c r="BX49" i="20"/>
  <c r="BW49" i="20"/>
  <c r="BV49" i="20"/>
  <c r="BU49" i="20"/>
  <c r="BT49" i="20"/>
  <c r="BS49" i="20"/>
  <c r="BR49" i="20"/>
  <c r="BQ49" i="20"/>
  <c r="BP49" i="20"/>
  <c r="BO49" i="20"/>
  <c r="BN49" i="20"/>
  <c r="BM49" i="20"/>
  <c r="BL49" i="20"/>
  <c r="BK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AP50" i="11"/>
  <c r="AO50" i="11"/>
  <c r="S50" i="11"/>
  <c r="R50" i="11"/>
  <c r="AG50" i="11" s="1"/>
  <c r="Q50" i="11"/>
  <c r="AD50" i="11" s="1"/>
  <c r="P50" i="11"/>
  <c r="L50" i="11"/>
  <c r="K50" i="11"/>
  <c r="E50" i="11"/>
  <c r="D50" i="11"/>
  <c r="C50" i="11"/>
  <c r="A50" i="11"/>
  <c r="AP49" i="11"/>
  <c r="AO49" i="11"/>
  <c r="S49" i="11"/>
  <c r="R49" i="11"/>
  <c r="AG49" i="11" s="1"/>
  <c r="Q49" i="11"/>
  <c r="AD49" i="11" s="1"/>
  <c r="P49" i="11"/>
  <c r="L49" i="11"/>
  <c r="K49" i="11"/>
  <c r="E49" i="11"/>
  <c r="D49" i="11"/>
  <c r="C49" i="11"/>
  <c r="A49" i="11"/>
  <c r="A40" i="12"/>
  <c r="A39" i="12"/>
  <c r="E38" i="19"/>
  <c r="D39" i="4"/>
  <c r="D38" i="19" s="1"/>
  <c r="C39" i="4"/>
  <c r="C38" i="19" s="1"/>
  <c r="B39" i="4"/>
  <c r="B38" i="19" s="1"/>
  <c r="E37" i="19"/>
  <c r="B37" i="19"/>
  <c r="A37" i="19"/>
  <c r="H67" i="13"/>
  <c r="G67" i="13"/>
  <c r="H66" i="13"/>
  <c r="G66" i="13"/>
  <c r="H69" i="13"/>
  <c r="G69" i="13"/>
  <c r="H68" i="13"/>
  <c r="G68" i="13"/>
  <c r="L78" i="11"/>
  <c r="K78" i="11"/>
  <c r="BZ76" i="20"/>
  <c r="BY76" i="20"/>
  <c r="BX76" i="20"/>
  <c r="BW76" i="20"/>
  <c r="BV76" i="20"/>
  <c r="BU76" i="20"/>
  <c r="BT76" i="20"/>
  <c r="BS76" i="20"/>
  <c r="BR76" i="20"/>
  <c r="BQ76" i="20"/>
  <c r="BP76" i="20"/>
  <c r="BO76" i="20"/>
  <c r="BN76" i="20"/>
  <c r="BM76" i="20"/>
  <c r="BL76" i="20"/>
  <c r="BK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BZ78" i="20"/>
  <c r="BY78" i="20"/>
  <c r="BX78" i="20"/>
  <c r="BW78" i="20"/>
  <c r="BV78" i="20"/>
  <c r="BU78" i="20"/>
  <c r="BT78" i="20"/>
  <c r="BS78" i="20"/>
  <c r="BR78" i="20"/>
  <c r="BQ78" i="20"/>
  <c r="BP78" i="20"/>
  <c r="BO78" i="20"/>
  <c r="BN78" i="20"/>
  <c r="BM78" i="20"/>
  <c r="BL78" i="20"/>
  <c r="BK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BZ77" i="20"/>
  <c r="BY77" i="20"/>
  <c r="BX77" i="20"/>
  <c r="BW77" i="20"/>
  <c r="BV77" i="20"/>
  <c r="BU77" i="20"/>
  <c r="BT77" i="20"/>
  <c r="BS77" i="20"/>
  <c r="BR77" i="20"/>
  <c r="BQ77" i="20"/>
  <c r="BP77" i="20"/>
  <c r="BO77" i="20"/>
  <c r="BN77" i="20"/>
  <c r="BM77" i="20"/>
  <c r="BL77" i="20"/>
  <c r="BK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AP78" i="11"/>
  <c r="AO78" i="11"/>
  <c r="S78" i="11"/>
  <c r="R78" i="11"/>
  <c r="AG78" i="11" s="1"/>
  <c r="Q78" i="11"/>
  <c r="AD78" i="11" s="1"/>
  <c r="P78" i="11"/>
  <c r="M78" i="11"/>
  <c r="E78" i="11"/>
  <c r="D78" i="11"/>
  <c r="C78" i="11"/>
  <c r="A78" i="11"/>
  <c r="AP77" i="11"/>
  <c r="AO77" i="11"/>
  <c r="S77" i="11"/>
  <c r="R77" i="11"/>
  <c r="AG77" i="11" s="1"/>
  <c r="Q77" i="11"/>
  <c r="AD77" i="11" s="1"/>
  <c r="P77" i="11"/>
  <c r="M77" i="11"/>
  <c r="E77" i="11"/>
  <c r="D77" i="11"/>
  <c r="C77" i="11"/>
  <c r="A77" i="11"/>
  <c r="AP76" i="11"/>
  <c r="AO76" i="11"/>
  <c r="S76" i="11"/>
  <c r="R76" i="11"/>
  <c r="AG76" i="11" s="1"/>
  <c r="Q76" i="11"/>
  <c r="AD76" i="11" s="1"/>
  <c r="P76" i="11"/>
  <c r="M76" i="11"/>
  <c r="L76" i="11"/>
  <c r="K76" i="11"/>
  <c r="E76" i="11"/>
  <c r="D76" i="11"/>
  <c r="C76" i="11"/>
  <c r="A76" i="11"/>
  <c r="S75" i="11"/>
  <c r="R75" i="11"/>
  <c r="AG75" i="11" s="1"/>
  <c r="M75" i="11"/>
  <c r="L75" i="11"/>
  <c r="K75" i="11"/>
  <c r="E75" i="11"/>
  <c r="D75" i="11"/>
  <c r="C75" i="11"/>
  <c r="A75" i="11"/>
  <c r="A68" i="12"/>
  <c r="A67" i="12"/>
  <c r="A66" i="12"/>
  <c r="A65" i="12"/>
  <c r="A66" i="13"/>
  <c r="A69" i="13"/>
  <c r="A68" i="13"/>
  <c r="A67" i="13"/>
  <c r="L48" i="11"/>
  <c r="K48" i="11"/>
  <c r="AP48" i="11"/>
  <c r="AO48" i="11"/>
  <c r="E48" i="11"/>
  <c r="D48" i="11"/>
  <c r="H39" i="13"/>
  <c r="G39" i="13"/>
  <c r="A39" i="13"/>
  <c r="BZ48" i="20"/>
  <c r="BY48" i="20"/>
  <c r="BX48" i="20"/>
  <c r="BW48" i="20"/>
  <c r="BV48" i="20"/>
  <c r="BU48" i="20"/>
  <c r="BT48" i="20"/>
  <c r="BS48" i="20"/>
  <c r="BR48" i="20"/>
  <c r="BQ48" i="20"/>
  <c r="BP48" i="20"/>
  <c r="BO48" i="20"/>
  <c r="BN48" i="20"/>
  <c r="BM48" i="20"/>
  <c r="BL48" i="20"/>
  <c r="BK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11"/>
  <c r="R48" i="11"/>
  <c r="AG48" i="11" s="1"/>
  <c r="Q48" i="11"/>
  <c r="AD48" i="11" s="1"/>
  <c r="P48" i="11"/>
  <c r="C48" i="11"/>
  <c r="A48" i="11"/>
  <c r="A38" i="12"/>
  <c r="B9" i="30" l="1"/>
  <c r="D9" i="30" s="1"/>
  <c r="AH39" i="39"/>
  <c r="AJ39" i="39" s="1"/>
  <c r="F29" i="38" s="1"/>
  <c r="O29" i="38" s="1"/>
  <c r="AH30" i="39"/>
  <c r="AJ30" i="39" s="1"/>
  <c r="F20" i="38" s="1"/>
  <c r="O20" i="38" s="1"/>
  <c r="AH26" i="39"/>
  <c r="AJ26" i="39" s="1"/>
  <c r="F16" i="38" s="1"/>
  <c r="O16" i="38" s="1"/>
  <c r="AH15" i="39"/>
  <c r="AI15" i="39" s="1"/>
  <c r="AF15" i="39" s="1"/>
  <c r="AH31" i="39"/>
  <c r="AI31" i="39" s="1"/>
  <c r="AF31" i="39" s="1"/>
  <c r="AH28" i="39"/>
  <c r="AI28" i="39" s="1"/>
  <c r="K69" i="39"/>
  <c r="K74" i="39" s="1"/>
  <c r="AH22" i="39"/>
  <c r="AJ22" i="39" s="1"/>
  <c r="F12" i="38" s="1"/>
  <c r="O12" i="38" s="1"/>
  <c r="AH20" i="39"/>
  <c r="AI20" i="39" s="1"/>
  <c r="AH34" i="39"/>
  <c r="AI34" i="39" s="1"/>
  <c r="AH35" i="39"/>
  <c r="AI35" i="39" s="1"/>
  <c r="AF35" i="39" s="1"/>
  <c r="AH24" i="39"/>
  <c r="AJ24" i="39" s="1"/>
  <c r="F14" i="38" s="1"/>
  <c r="O14" i="38" s="1"/>
  <c r="AH17" i="39"/>
  <c r="AI17" i="39" s="1"/>
  <c r="AF17" i="39" s="1"/>
  <c r="AH27" i="39"/>
  <c r="AJ27" i="39" s="1"/>
  <c r="F17" i="38" s="1"/>
  <c r="O17" i="38" s="1"/>
  <c r="AH14" i="39"/>
  <c r="AI14" i="39" s="1"/>
  <c r="AH33" i="39"/>
  <c r="AI33" i="39" s="1"/>
  <c r="F33" i="33"/>
  <c r="L1800" i="34"/>
  <c r="AH18" i="39"/>
  <c r="AI18" i="39" s="1"/>
  <c r="AF18" i="39" s="1"/>
  <c r="AH38" i="39"/>
  <c r="AI38" i="39" s="1"/>
  <c r="AF38" i="39" s="1"/>
  <c r="AH16" i="39"/>
  <c r="AI16" i="39" s="1"/>
  <c r="AF16" i="39" s="1"/>
  <c r="AH23" i="39"/>
  <c r="AI23" i="39" s="1"/>
  <c r="AH40" i="39"/>
  <c r="AI40" i="39" s="1"/>
  <c r="AH21" i="39"/>
  <c r="AJ21" i="39" s="1"/>
  <c r="F11" i="38" s="1"/>
  <c r="O11" i="38" s="1"/>
  <c r="AH76" i="39"/>
  <c r="AI76" i="39" s="1"/>
  <c r="AF76" i="39" s="1"/>
  <c r="AH36" i="39"/>
  <c r="AI36" i="39" s="1"/>
  <c r="AH32" i="39"/>
  <c r="AJ32" i="39" s="1"/>
  <c r="F22" i="38" s="1"/>
  <c r="O22" i="38" s="1"/>
  <c r="AH37" i="39"/>
  <c r="AI37" i="39" s="1"/>
  <c r="AH41" i="39"/>
  <c r="AJ41" i="39" s="1"/>
  <c r="F31" i="38" s="1"/>
  <c r="O31" i="38" s="1"/>
  <c r="BF52" i="20"/>
  <c r="H52" i="20" s="1"/>
  <c r="AQ52" i="39" s="1"/>
  <c r="O52" i="20"/>
  <c r="E52" i="20" s="1"/>
  <c r="F52" i="39" s="1"/>
  <c r="AH51" i="39"/>
  <c r="AI51" i="39" s="1"/>
  <c r="AF51" i="39" s="1"/>
  <c r="AH29" i="39"/>
  <c r="AI29" i="39" s="1"/>
  <c r="AH50" i="39"/>
  <c r="AJ50" i="39" s="1"/>
  <c r="F40" i="38" s="1"/>
  <c r="O40" i="38" s="1"/>
  <c r="B28" i="30"/>
  <c r="C28" i="30" s="1"/>
  <c r="C20" i="27"/>
  <c r="B28" i="35"/>
  <c r="BF80" i="20"/>
  <c r="H80" i="20" s="1"/>
  <c r="AQ80" i="39" s="1"/>
  <c r="O68" i="20"/>
  <c r="E68" i="20" s="1"/>
  <c r="F68" i="39" s="1"/>
  <c r="BF54" i="20"/>
  <c r="H54" i="20" s="1"/>
  <c r="AQ54" i="39" s="1"/>
  <c r="O67" i="20"/>
  <c r="O53" i="20"/>
  <c r="E53" i="20" s="1"/>
  <c r="F53" i="39" s="1"/>
  <c r="BF68" i="20"/>
  <c r="H68" i="20" s="1"/>
  <c r="AQ68" i="39" s="1"/>
  <c r="O80" i="20"/>
  <c r="E80" i="20" s="1"/>
  <c r="F80" i="39" s="1"/>
  <c r="B50" i="24"/>
  <c r="O81" i="20"/>
  <c r="E81" i="20" s="1"/>
  <c r="F81" i="39" s="1"/>
  <c r="O54" i="20"/>
  <c r="E54" i="20" s="1"/>
  <c r="F54" i="39" s="1"/>
  <c r="BF53" i="20"/>
  <c r="H53" i="20" s="1"/>
  <c r="AQ53" i="39" s="1"/>
  <c r="A4" i="20"/>
  <c r="I8" i="39" s="1"/>
  <c r="AR35" i="39" s="1"/>
  <c r="AS35" i="39" s="1"/>
  <c r="BF81" i="20"/>
  <c r="H81" i="20" s="1"/>
  <c r="AQ81" i="39" s="1"/>
  <c r="O60" i="20"/>
  <c r="E60" i="20" s="1"/>
  <c r="F60" i="39" s="1"/>
  <c r="O79" i="20"/>
  <c r="E79" i="20" s="1"/>
  <c r="F79" i="39" s="1"/>
  <c r="B49" i="24"/>
  <c r="AF65" i="39"/>
  <c r="N68" i="11"/>
  <c r="O68" i="11" s="1"/>
  <c r="L50" i="12"/>
  <c r="O79" i="11"/>
  <c r="O81" i="11"/>
  <c r="O80" i="11"/>
  <c r="AH49" i="39"/>
  <c r="AJ49" i="39" s="1"/>
  <c r="F39" i="38" s="1"/>
  <c r="O39" i="38" s="1"/>
  <c r="AH48" i="39"/>
  <c r="AI48" i="39" s="1"/>
  <c r="AF48" i="39" s="1"/>
  <c r="AI77" i="39"/>
  <c r="AF77" i="39" s="1"/>
  <c r="AI43" i="39"/>
  <c r="AJ65" i="39"/>
  <c r="F55" i="38" s="1"/>
  <c r="O55" i="38" s="1"/>
  <c r="AI25" i="39"/>
  <c r="AI78" i="39"/>
  <c r="AF78" i="39" s="1"/>
  <c r="AI64" i="39"/>
  <c r="AH79" i="39"/>
  <c r="AJ79" i="39" s="1"/>
  <c r="F69" i="38" s="1"/>
  <c r="O69" i="38" s="1"/>
  <c r="N68" i="39"/>
  <c r="O68" i="39" s="1"/>
  <c r="AH68" i="39" s="1"/>
  <c r="AJ68" i="39" s="1"/>
  <c r="F58" i="38" s="1"/>
  <c r="O58" i="38" s="1"/>
  <c r="AH60" i="39"/>
  <c r="AJ60" i="39" s="1"/>
  <c r="F50" i="38" s="1"/>
  <c r="O50" i="38" s="1"/>
  <c r="L69" i="12"/>
  <c r="AJ58" i="39"/>
  <c r="F48" i="38" s="1"/>
  <c r="O48" i="38" s="1"/>
  <c r="AI45" i="39"/>
  <c r="AF45" i="39" s="1"/>
  <c r="O60" i="11"/>
  <c r="AI19" i="39"/>
  <c r="AI46" i="39"/>
  <c r="AJ75" i="39"/>
  <c r="F65" i="38" s="1"/>
  <c r="O65" i="38" s="1"/>
  <c r="AH80" i="39"/>
  <c r="AI80" i="39" s="1"/>
  <c r="AF80" i="39" s="1"/>
  <c r="AH42" i="39"/>
  <c r="AJ42" i="39" s="1"/>
  <c r="F32" i="38" s="1"/>
  <c r="O32" i="38" s="1"/>
  <c r="M43" i="12"/>
  <c r="AI44" i="39"/>
  <c r="AF44" i="39" s="1"/>
  <c r="AJ47" i="39"/>
  <c r="F37" i="38" s="1"/>
  <c r="O37" i="38" s="1"/>
  <c r="L43" i="12"/>
  <c r="AH54" i="39"/>
  <c r="AJ54" i="39" s="1"/>
  <c r="F44" i="38" s="1"/>
  <c r="O44" i="38" s="1"/>
  <c r="L44" i="12"/>
  <c r="AH67" i="39"/>
  <c r="AJ67" i="39" s="1"/>
  <c r="F57" i="38" s="1"/>
  <c r="O57" i="38" s="1"/>
  <c r="O67" i="11"/>
  <c r="AH53" i="39"/>
  <c r="AJ53" i="39" s="1"/>
  <c r="F43" i="38" s="1"/>
  <c r="O43" i="38" s="1"/>
  <c r="AH81" i="39"/>
  <c r="AI81" i="39" s="1"/>
  <c r="AF81" i="39" s="1"/>
  <c r="AH52" i="39"/>
  <c r="O52" i="11"/>
  <c r="AJ66" i="39"/>
  <c r="F56" i="38" s="1"/>
  <c r="O56" i="38" s="1"/>
  <c r="AI66" i="39"/>
  <c r="AF66" i="39" s="1"/>
  <c r="AJ59" i="39"/>
  <c r="F49" i="38" s="1"/>
  <c r="O49" i="38" s="1"/>
  <c r="AI59" i="39"/>
  <c r="M44" i="12"/>
  <c r="AA67" i="36"/>
  <c r="O49" i="20"/>
  <c r="E49" i="20" s="1"/>
  <c r="E9" i="35"/>
  <c r="F9" i="35" s="1"/>
  <c r="C9" i="35"/>
  <c r="D41" i="4"/>
  <c r="L77" i="11"/>
  <c r="BF48" i="20"/>
  <c r="H48" i="20" s="1"/>
  <c r="N49" i="11"/>
  <c r="BF49" i="20"/>
  <c r="H49" i="20" s="1"/>
  <c r="K77" i="11"/>
  <c r="O77" i="20"/>
  <c r="E77" i="20" s="1"/>
  <c r="BF77" i="20"/>
  <c r="H77" i="20" s="1"/>
  <c r="O78" i="20"/>
  <c r="E78" i="20" s="1"/>
  <c r="F78" i="39" s="1"/>
  <c r="BF78" i="20"/>
  <c r="H78" i="20" s="1"/>
  <c r="AQ78" i="39" s="1"/>
  <c r="O75" i="20"/>
  <c r="E75" i="20" s="1"/>
  <c r="F75" i="39" s="1"/>
  <c r="O76" i="20"/>
  <c r="E76" i="20" s="1"/>
  <c r="BF76" i="20"/>
  <c r="H76" i="20" s="1"/>
  <c r="O48" i="20"/>
  <c r="E48" i="20" s="1"/>
  <c r="O50" i="20"/>
  <c r="E50" i="20" s="1"/>
  <c r="F50" i="39" s="1"/>
  <c r="BF50" i="20"/>
  <c r="H50" i="20" s="1"/>
  <c r="AQ50" i="39" s="1"/>
  <c r="F37" i="19"/>
  <c r="C21" i="37" s="1"/>
  <c r="H21" i="37" s="1"/>
  <c r="B26" i="15"/>
  <c r="N50" i="11"/>
  <c r="C41" i="4"/>
  <c r="F39" i="4"/>
  <c r="P28" i="27" s="1"/>
  <c r="D37" i="19"/>
  <c r="N78" i="11"/>
  <c r="N75" i="11"/>
  <c r="N76" i="11"/>
  <c r="N48" i="11"/>
  <c r="B16" i="33"/>
  <c r="I72" i="6"/>
  <c r="I71" i="6"/>
  <c r="B38" i="24"/>
  <c r="I70" i="6" s="1"/>
  <c r="B37" i="24"/>
  <c r="I69" i="6" s="1"/>
  <c r="B34" i="24"/>
  <c r="I76" i="10" s="1"/>
  <c r="E23" i="35" s="1"/>
  <c r="C26" i="24"/>
  <c r="C40" i="4"/>
  <c r="B17" i="24"/>
  <c r="B16" i="24" s="1"/>
  <c r="B18" i="24" s="1"/>
  <c r="B14" i="24"/>
  <c r="B13" i="24"/>
  <c r="K11" i="5" s="1"/>
  <c r="B12" i="24"/>
  <c r="K10" i="5" s="1"/>
  <c r="B11" i="24"/>
  <c r="K9" i="5" s="1"/>
  <c r="AI39" i="39" l="1"/>
  <c r="AF39" i="39" s="1"/>
  <c r="AI30" i="39"/>
  <c r="AF30" i="39" s="1"/>
  <c r="AJ15" i="39"/>
  <c r="F5" i="38" s="1"/>
  <c r="O5" i="38" s="1"/>
  <c r="AI26" i="39"/>
  <c r="AF26" i="39" s="1"/>
  <c r="AJ31" i="39"/>
  <c r="F21" i="38" s="1"/>
  <c r="O21" i="38" s="1"/>
  <c r="AJ28" i="39"/>
  <c r="F18" i="38" s="1"/>
  <c r="O18" i="38" s="1"/>
  <c r="AJ20" i="39"/>
  <c r="F10" i="38" s="1"/>
  <c r="O10" i="38" s="1"/>
  <c r="AI22" i="39"/>
  <c r="AF22" i="39" s="1"/>
  <c r="D28" i="30"/>
  <c r="F28" i="30"/>
  <c r="AJ34" i="39"/>
  <c r="F24" i="38" s="1"/>
  <c r="O24" i="38" s="1"/>
  <c r="AJ18" i="39"/>
  <c r="F8" i="38" s="1"/>
  <c r="O8" i="38" s="1"/>
  <c r="AJ17" i="39"/>
  <c r="F7" i="38" s="1"/>
  <c r="O7" i="38" s="1"/>
  <c r="AJ16" i="39"/>
  <c r="F6" i="38" s="1"/>
  <c r="O6" i="38" s="1"/>
  <c r="AI24" i="39"/>
  <c r="AF24" i="39" s="1"/>
  <c r="AJ35" i="39"/>
  <c r="F25" i="38" s="1"/>
  <c r="O25" i="38" s="1"/>
  <c r="AJ14" i="39"/>
  <c r="F4" i="38" s="1"/>
  <c r="O4" i="38" s="1"/>
  <c r="AJ40" i="39"/>
  <c r="F30" i="38" s="1"/>
  <c r="O30" i="38" s="1"/>
  <c r="AJ36" i="39"/>
  <c r="F26" i="38" s="1"/>
  <c r="O26" i="38" s="1"/>
  <c r="AJ33" i="39"/>
  <c r="F23" i="38" s="1"/>
  <c r="O23" i="38" s="1"/>
  <c r="AI21" i="39"/>
  <c r="AF21" i="39" s="1"/>
  <c r="AI27" i="39"/>
  <c r="AF27" i="39" s="1"/>
  <c r="F34" i="33"/>
  <c r="L1862" i="34"/>
  <c r="AJ23" i="39"/>
  <c r="F13" i="38" s="1"/>
  <c r="O13" i="38" s="1"/>
  <c r="AJ76" i="39"/>
  <c r="F66" i="38" s="1"/>
  <c r="O66" i="38" s="1"/>
  <c r="AJ38" i="39"/>
  <c r="F28" i="38" s="1"/>
  <c r="O28" i="38" s="1"/>
  <c r="AJ37" i="39"/>
  <c r="F27" i="38" s="1"/>
  <c r="O27" i="38" s="1"/>
  <c r="AI32" i="39"/>
  <c r="AI41" i="39"/>
  <c r="AJ51" i="39"/>
  <c r="F41" i="38" s="1"/>
  <c r="O41" i="38" s="1"/>
  <c r="AI50" i="39"/>
  <c r="AF50" i="39" s="1"/>
  <c r="AJ29" i="39"/>
  <c r="F19" i="38" s="1"/>
  <c r="O19" i="38" s="1"/>
  <c r="H45" i="41"/>
  <c r="L45" i="41"/>
  <c r="N45" i="41"/>
  <c r="F45" i="41"/>
  <c r="J45" i="41"/>
  <c r="L44" i="41"/>
  <c r="J44" i="41"/>
  <c r="F44" i="41"/>
  <c r="N44" i="41"/>
  <c r="H44" i="41"/>
  <c r="F81" i="11"/>
  <c r="C28" i="35"/>
  <c r="E28" i="35"/>
  <c r="K35" i="27"/>
  <c r="G23" i="27"/>
  <c r="AQ52" i="11"/>
  <c r="AQ80" i="11"/>
  <c r="AQ54" i="11"/>
  <c r="F60" i="11"/>
  <c r="F68" i="11"/>
  <c r="F53" i="11"/>
  <c r="F52" i="11"/>
  <c r="AQ68" i="11"/>
  <c r="F80" i="11"/>
  <c r="AQ81" i="11"/>
  <c r="F79" i="11"/>
  <c r="AR80" i="39"/>
  <c r="AS80" i="39" s="1"/>
  <c r="U80" i="39" s="1"/>
  <c r="V80" i="39" s="1"/>
  <c r="AR52" i="39"/>
  <c r="AS52" i="39" s="1"/>
  <c r="U52" i="39" s="1"/>
  <c r="V52" i="39" s="1"/>
  <c r="AR38" i="39"/>
  <c r="AS38" i="39" s="1"/>
  <c r="G74" i="39"/>
  <c r="H74" i="39" s="1"/>
  <c r="AR51" i="39"/>
  <c r="AS51" i="39" s="1"/>
  <c r="AR29" i="39"/>
  <c r="AS29" i="39" s="1"/>
  <c r="AR48" i="39"/>
  <c r="AS48" i="39" s="1"/>
  <c r="AR25" i="39"/>
  <c r="AS25" i="39" s="1"/>
  <c r="AR23" i="39"/>
  <c r="AS23" i="39" s="1"/>
  <c r="G23" i="39"/>
  <c r="H23" i="39" s="1"/>
  <c r="AQ53" i="11"/>
  <c r="G15" i="39"/>
  <c r="H15" i="39" s="1"/>
  <c r="F54" i="11"/>
  <c r="AR31" i="39"/>
  <c r="AS31" i="39" s="1"/>
  <c r="G47" i="39"/>
  <c r="H47" i="39" s="1"/>
  <c r="G59" i="39"/>
  <c r="H59" i="39" s="1"/>
  <c r="AR18" i="39"/>
  <c r="AS18" i="39" s="1"/>
  <c r="G27" i="39"/>
  <c r="H27" i="39" s="1"/>
  <c r="G16" i="39"/>
  <c r="H16" i="39" s="1"/>
  <c r="AR28" i="39"/>
  <c r="AS28" i="39" s="1"/>
  <c r="AR22" i="39"/>
  <c r="AS22" i="39" s="1"/>
  <c r="G80" i="39"/>
  <c r="H80" i="39" s="1"/>
  <c r="I80" i="39" s="1"/>
  <c r="J80" i="39" s="1"/>
  <c r="T80" i="39" s="1"/>
  <c r="G53" i="39"/>
  <c r="H53" i="39" s="1"/>
  <c r="I53" i="39" s="1"/>
  <c r="J53" i="39" s="1"/>
  <c r="T53" i="39" s="1"/>
  <c r="G39" i="39"/>
  <c r="H39" i="39" s="1"/>
  <c r="G29" i="39"/>
  <c r="H29" i="39" s="1"/>
  <c r="AR30" i="39"/>
  <c r="AS30" i="39" s="1"/>
  <c r="AR33" i="39"/>
  <c r="AS33" i="39" s="1"/>
  <c r="G70" i="39"/>
  <c r="H70" i="39" s="1"/>
  <c r="G64" i="39"/>
  <c r="H64" i="39" s="1"/>
  <c r="AR40" i="39"/>
  <c r="AS40" i="39" s="1"/>
  <c r="G14" i="39"/>
  <c r="H14" i="39" s="1"/>
  <c r="AR50" i="39"/>
  <c r="AS50" i="39" s="1"/>
  <c r="U50" i="39" s="1"/>
  <c r="V50" i="39" s="1"/>
  <c r="AR76" i="39"/>
  <c r="AS76" i="39" s="1"/>
  <c r="G79" i="39"/>
  <c r="H79" i="39" s="1"/>
  <c r="I79" i="39" s="1"/>
  <c r="J79" i="39" s="1"/>
  <c r="T79" i="39" s="1"/>
  <c r="W79" i="39" s="1"/>
  <c r="G26" i="39"/>
  <c r="H26" i="39" s="1"/>
  <c r="G37" i="39"/>
  <c r="H37" i="39" s="1"/>
  <c r="AR45" i="39"/>
  <c r="AS45" i="39" s="1"/>
  <c r="G49" i="39"/>
  <c r="H49" i="39" s="1"/>
  <c r="G36" i="39"/>
  <c r="H36" i="39" s="1"/>
  <c r="AR53" i="39"/>
  <c r="AS53" i="39" s="1"/>
  <c r="U53" i="39" s="1"/>
  <c r="V53" i="39" s="1"/>
  <c r="G34" i="39"/>
  <c r="H34" i="39" s="1"/>
  <c r="AR34" i="39"/>
  <c r="AS34" i="39" s="1"/>
  <c r="AR15" i="39"/>
  <c r="AS15" i="39" s="1"/>
  <c r="G35" i="39"/>
  <c r="H35" i="39" s="1"/>
  <c r="AR42" i="39"/>
  <c r="AS42" i="39" s="1"/>
  <c r="AR78" i="39"/>
  <c r="AS78" i="39" s="1"/>
  <c r="U78" i="39" s="1"/>
  <c r="V78" i="39" s="1"/>
  <c r="G68" i="39"/>
  <c r="H68" i="39" s="1"/>
  <c r="I68" i="39" s="1"/>
  <c r="J68" i="39" s="1"/>
  <c r="T68" i="39" s="1"/>
  <c r="G44" i="39"/>
  <c r="H44" i="39" s="1"/>
  <c r="G21" i="39"/>
  <c r="H21" i="39" s="1"/>
  <c r="G22" i="39"/>
  <c r="H22" i="39" s="1"/>
  <c r="AR17" i="39"/>
  <c r="AS17" i="39" s="1"/>
  <c r="G20" i="39"/>
  <c r="H20" i="39" s="1"/>
  <c r="G43" i="39"/>
  <c r="H43" i="39" s="1"/>
  <c r="AR65" i="39"/>
  <c r="AS65" i="39" s="1"/>
  <c r="AR37" i="39"/>
  <c r="AS37" i="39" s="1"/>
  <c r="G42" i="39"/>
  <c r="H42" i="39" s="1"/>
  <c r="G45" i="39"/>
  <c r="H45" i="39" s="1"/>
  <c r="AR81" i="39"/>
  <c r="AS81" i="39" s="1"/>
  <c r="U81" i="39" s="1"/>
  <c r="V81" i="39" s="1"/>
  <c r="G58" i="39"/>
  <c r="H58" i="39" s="1"/>
  <c r="AR77" i="39"/>
  <c r="AS77" i="39" s="1"/>
  <c r="G48" i="39"/>
  <c r="H48" i="39" s="1"/>
  <c r="G69" i="39"/>
  <c r="H69" i="39" s="1"/>
  <c r="G67" i="39"/>
  <c r="H67" i="39" s="1"/>
  <c r="AR47" i="39"/>
  <c r="AS47" i="39" s="1"/>
  <c r="AR32" i="39"/>
  <c r="AS32" i="39" s="1"/>
  <c r="AR43" i="39"/>
  <c r="AS43" i="39" s="1"/>
  <c r="G65" i="39"/>
  <c r="H65" i="39" s="1"/>
  <c r="AR41" i="39"/>
  <c r="AS41" i="39" s="1"/>
  <c r="AR24" i="39"/>
  <c r="AS24" i="39" s="1"/>
  <c r="AR27" i="39"/>
  <c r="AS27" i="39" s="1"/>
  <c r="G46" i="39"/>
  <c r="H46" i="39" s="1"/>
  <c r="AR14" i="39"/>
  <c r="AS14" i="39" s="1"/>
  <c r="G66" i="39"/>
  <c r="H66" i="39" s="1"/>
  <c r="AR66" i="39"/>
  <c r="AS66" i="39" s="1"/>
  <c r="G41" i="39"/>
  <c r="H41" i="39" s="1"/>
  <c r="G40" i="39"/>
  <c r="H40" i="39" s="1"/>
  <c r="AR19" i="39"/>
  <c r="AS19" i="39" s="1"/>
  <c r="AR44" i="39"/>
  <c r="AS44" i="39" s="1"/>
  <c r="G71" i="39"/>
  <c r="H71" i="39" s="1"/>
  <c r="AR16" i="39"/>
  <c r="AS16" i="39" s="1"/>
  <c r="G30" i="39"/>
  <c r="H30" i="39" s="1"/>
  <c r="AR74" i="39"/>
  <c r="AS74" i="39" s="1"/>
  <c r="G33" i="39"/>
  <c r="H33" i="39" s="1"/>
  <c r="G19" i="39"/>
  <c r="H19" i="39" s="1"/>
  <c r="G31" i="39"/>
  <c r="H31" i="39" s="1"/>
  <c r="G25" i="39"/>
  <c r="H25" i="39" s="1"/>
  <c r="G54" i="39"/>
  <c r="H54" i="39" s="1"/>
  <c r="I54" i="39" s="1"/>
  <c r="J54" i="39" s="1"/>
  <c r="T54" i="39" s="1"/>
  <c r="AR36" i="39"/>
  <c r="AS36" i="39" s="1"/>
  <c r="AR68" i="39"/>
  <c r="AS68" i="39" s="1"/>
  <c r="U68" i="39" s="1"/>
  <c r="V68" i="39" s="1"/>
  <c r="G76" i="39"/>
  <c r="H76" i="39" s="1"/>
  <c r="G32" i="39"/>
  <c r="H32" i="39" s="1"/>
  <c r="AR21" i="39"/>
  <c r="AS21" i="39" s="1"/>
  <c r="AR26" i="39"/>
  <c r="AS26" i="39" s="1"/>
  <c r="G17" i="39"/>
  <c r="H17" i="39" s="1"/>
  <c r="G81" i="39"/>
  <c r="H81" i="39" s="1"/>
  <c r="I81" i="39" s="1"/>
  <c r="J81" i="39" s="1"/>
  <c r="T81" i="39" s="1"/>
  <c r="G50" i="39"/>
  <c r="H50" i="39" s="1"/>
  <c r="I50" i="39" s="1"/>
  <c r="J50" i="39" s="1"/>
  <c r="T50" i="39" s="1"/>
  <c r="G51" i="39"/>
  <c r="H51" i="39" s="1"/>
  <c r="AR46" i="39"/>
  <c r="AS46" i="39" s="1"/>
  <c r="G60" i="39"/>
  <c r="H60" i="39" s="1"/>
  <c r="I60" i="39" s="1"/>
  <c r="J60" i="39" s="1"/>
  <c r="T60" i="39" s="1"/>
  <c r="W60" i="39" s="1"/>
  <c r="AR20" i="39"/>
  <c r="AS20" i="39" s="1"/>
  <c r="G78" i="39"/>
  <c r="H78" i="39" s="1"/>
  <c r="I78" i="39" s="1"/>
  <c r="J78" i="39" s="1"/>
  <c r="T78" i="39" s="1"/>
  <c r="AR39" i="39"/>
  <c r="AS39" i="39" s="1"/>
  <c r="G24" i="39"/>
  <c r="H24" i="39" s="1"/>
  <c r="G75" i="39"/>
  <c r="H75" i="39" s="1"/>
  <c r="I75" i="39" s="1"/>
  <c r="J75" i="39" s="1"/>
  <c r="T75" i="39" s="1"/>
  <c r="G52" i="39"/>
  <c r="H52" i="39" s="1"/>
  <c r="I52" i="39" s="1"/>
  <c r="J52" i="39" s="1"/>
  <c r="T52" i="39" s="1"/>
  <c r="G28" i="39"/>
  <c r="H28" i="39" s="1"/>
  <c r="AR54" i="39"/>
  <c r="AS54" i="39" s="1"/>
  <c r="U54" i="39" s="1"/>
  <c r="V54" i="39" s="1"/>
  <c r="G72" i="39"/>
  <c r="H72" i="39" s="1"/>
  <c r="G77" i="39"/>
  <c r="H77" i="39" s="1"/>
  <c r="AR49" i="39"/>
  <c r="AS49" i="39" s="1"/>
  <c r="G38" i="39"/>
  <c r="H38" i="39" s="1"/>
  <c r="G73" i="39"/>
  <c r="H73" i="39" s="1"/>
  <c r="G18" i="39"/>
  <c r="H18" i="39" s="1"/>
  <c r="L38" i="12"/>
  <c r="O78" i="11"/>
  <c r="M69" i="12"/>
  <c r="O49" i="11"/>
  <c r="AQ48" i="39"/>
  <c r="F77" i="39"/>
  <c r="F76" i="39"/>
  <c r="F48" i="39"/>
  <c r="F49" i="39"/>
  <c r="AQ77" i="39"/>
  <c r="AQ76" i="39"/>
  <c r="AQ49" i="39"/>
  <c r="AI49" i="39"/>
  <c r="AF49" i="39" s="1"/>
  <c r="AJ48" i="39"/>
  <c r="F38" i="38" s="1"/>
  <c r="O38" i="38" s="1"/>
  <c r="AI79" i="39"/>
  <c r="AJ80" i="39"/>
  <c r="F70" i="38" s="1"/>
  <c r="O70" i="38" s="1"/>
  <c r="AH62" i="39"/>
  <c r="AI60" i="39"/>
  <c r="M50" i="12"/>
  <c r="F51" i="41" s="1"/>
  <c r="AI54" i="39"/>
  <c r="AF54" i="39" s="1"/>
  <c r="AI67" i="39"/>
  <c r="AI42" i="39"/>
  <c r="AF42" i="39" s="1"/>
  <c r="AJ81" i="39"/>
  <c r="F71" i="38" s="1"/>
  <c r="O71" i="38" s="1"/>
  <c r="AH56" i="39"/>
  <c r="AI53" i="39"/>
  <c r="AF53" i="39" s="1"/>
  <c r="AI68" i="39"/>
  <c r="AF68" i="39" s="1"/>
  <c r="AI52" i="39"/>
  <c r="AF52" i="39" s="1"/>
  <c r="AJ52" i="39"/>
  <c r="F42" i="38" s="1"/>
  <c r="O42" i="38" s="1"/>
  <c r="AF14" i="39"/>
  <c r="M42" i="12"/>
  <c r="F50" i="11"/>
  <c r="F75" i="11"/>
  <c r="AQ48" i="11"/>
  <c r="AQ78" i="11"/>
  <c r="AQ50" i="11"/>
  <c r="F48" i="11"/>
  <c r="F49" i="11"/>
  <c r="AQ77" i="11"/>
  <c r="F77" i="11"/>
  <c r="AQ76" i="11"/>
  <c r="AQ49" i="11"/>
  <c r="F78" i="11"/>
  <c r="F76" i="11"/>
  <c r="AA68" i="36"/>
  <c r="N77" i="11"/>
  <c r="L39" i="12"/>
  <c r="O50" i="11"/>
  <c r="L40" i="12"/>
  <c r="O76" i="11"/>
  <c r="L66" i="12"/>
  <c r="O75" i="11"/>
  <c r="L65" i="12"/>
  <c r="G26" i="15"/>
  <c r="C37" i="19"/>
  <c r="B6" i="24"/>
  <c r="B15" i="33" s="1"/>
  <c r="B8" i="24"/>
  <c r="B17" i="33" s="1"/>
  <c r="B42" i="19"/>
  <c r="D42" i="19"/>
  <c r="C42" i="19"/>
  <c r="A42" i="19"/>
  <c r="A42" i="4"/>
  <c r="F35" i="33" l="1"/>
  <c r="L1924" i="34"/>
  <c r="I48" i="39"/>
  <c r="J48" i="39" s="1"/>
  <c r="T48" i="39" s="1"/>
  <c r="I49" i="39"/>
  <c r="J49" i="39" s="1"/>
  <c r="T49" i="39" s="1"/>
  <c r="N43" i="41"/>
  <c r="J43" i="41"/>
  <c r="H43" i="41"/>
  <c r="L43" i="41"/>
  <c r="F43" i="41"/>
  <c r="I28" i="35"/>
  <c r="F28" i="35"/>
  <c r="Y80" i="39"/>
  <c r="X52" i="39"/>
  <c r="X81" i="39"/>
  <c r="W80" i="39"/>
  <c r="U49" i="39"/>
  <c r="V49" i="39" s="1"/>
  <c r="X53" i="39"/>
  <c r="W53" i="39"/>
  <c r="W81" i="39"/>
  <c r="U48" i="39"/>
  <c r="V48" i="39" s="1"/>
  <c r="Y81" i="39"/>
  <c r="Y53" i="39"/>
  <c r="I76" i="39"/>
  <c r="J76" i="39" s="1"/>
  <c r="T76" i="39" s="1"/>
  <c r="X80" i="39"/>
  <c r="I77" i="39"/>
  <c r="J77" i="39" s="1"/>
  <c r="T77" i="39" s="1"/>
  <c r="Y54" i="39"/>
  <c r="X60" i="39"/>
  <c r="X79" i="39"/>
  <c r="W52" i="39"/>
  <c r="X54" i="39"/>
  <c r="Y79" i="39"/>
  <c r="Y60" i="39"/>
  <c r="W54" i="39"/>
  <c r="Y52" i="39"/>
  <c r="U76" i="39"/>
  <c r="V76" i="39" s="1"/>
  <c r="U77" i="39"/>
  <c r="V77" i="39" s="1"/>
  <c r="M39" i="12"/>
  <c r="O77" i="11"/>
  <c r="X68" i="39"/>
  <c r="Y68" i="39"/>
  <c r="W68" i="39"/>
  <c r="AI62" i="39"/>
  <c r="AI56" i="39"/>
  <c r="X78" i="39"/>
  <c r="Y78" i="39"/>
  <c r="W78" i="39"/>
  <c r="X75" i="39"/>
  <c r="W75" i="39"/>
  <c r="Y75" i="39"/>
  <c r="W50" i="39"/>
  <c r="Y50" i="39"/>
  <c r="X50" i="39"/>
  <c r="AA69" i="36"/>
  <c r="M40" i="12"/>
  <c r="M66" i="12"/>
  <c r="M65" i="12"/>
  <c r="E42" i="19"/>
  <c r="F38" i="19"/>
  <c r="F42" i="19"/>
  <c r="F36" i="33" l="1"/>
  <c r="L1986" i="34"/>
  <c r="W48" i="39"/>
  <c r="Y49" i="39"/>
  <c r="H41" i="41"/>
  <c r="L41" i="41"/>
  <c r="J41" i="41"/>
  <c r="N41" i="41"/>
  <c r="F41" i="41"/>
  <c r="H69" i="41"/>
  <c r="N69" i="41"/>
  <c r="J69" i="41"/>
  <c r="L69" i="41"/>
  <c r="F69" i="41"/>
  <c r="L68" i="41"/>
  <c r="N68" i="41"/>
  <c r="N67" i="41"/>
  <c r="F67" i="41"/>
  <c r="H68" i="41"/>
  <c r="H67" i="41"/>
  <c r="J68" i="41"/>
  <c r="J67" i="41"/>
  <c r="L67" i="41"/>
  <c r="F68" i="41"/>
  <c r="N40" i="41"/>
  <c r="J40" i="41"/>
  <c r="H40" i="41"/>
  <c r="F40" i="41"/>
  <c r="L40" i="41"/>
  <c r="X49" i="39"/>
  <c r="W77" i="39"/>
  <c r="W49" i="39"/>
  <c r="Z80" i="39"/>
  <c r="C70" i="38" s="1"/>
  <c r="L70" i="38" s="1"/>
  <c r="Y76" i="39"/>
  <c r="Z60" i="39"/>
  <c r="C50" i="38" s="1"/>
  <c r="L50" i="38" s="1"/>
  <c r="D69" i="38"/>
  <c r="M69" i="38" s="1"/>
  <c r="D71" i="38"/>
  <c r="M71" i="38" s="1"/>
  <c r="D43" i="38"/>
  <c r="M43" i="38" s="1"/>
  <c r="X48" i="39"/>
  <c r="W76" i="39"/>
  <c r="Z53" i="39"/>
  <c r="C43" i="38" s="1"/>
  <c r="L43" i="38" s="1"/>
  <c r="Y48" i="39"/>
  <c r="D70" i="38"/>
  <c r="M70" i="38" s="1"/>
  <c r="Z52" i="39"/>
  <c r="C42" i="38" s="1"/>
  <c r="L42" i="38" s="1"/>
  <c r="Z81" i="39"/>
  <c r="C71" i="38" s="1"/>
  <c r="L71" i="38" s="1"/>
  <c r="X77" i="39"/>
  <c r="X76" i="39"/>
  <c r="D42" i="38"/>
  <c r="M42" i="38" s="1"/>
  <c r="Y77" i="39"/>
  <c r="Z79" i="39"/>
  <c r="C69" i="38" s="1"/>
  <c r="L69" i="38" s="1"/>
  <c r="Z54" i="39"/>
  <c r="C44" i="38" s="1"/>
  <c r="L44" i="38" s="1"/>
  <c r="D50" i="38"/>
  <c r="M50" i="38" s="1"/>
  <c r="D44" i="38"/>
  <c r="M44" i="38" s="1"/>
  <c r="D65" i="38"/>
  <c r="M65" i="38" s="1"/>
  <c r="D40" i="38"/>
  <c r="M40" i="38" s="1"/>
  <c r="D68" i="38"/>
  <c r="M68" i="38" s="1"/>
  <c r="D58" i="38"/>
  <c r="M58" i="38" s="1"/>
  <c r="Z68" i="39"/>
  <c r="Z78" i="39"/>
  <c r="Z50" i="39"/>
  <c r="Z75" i="39"/>
  <c r="AA70" i="36"/>
  <c r="A41" i="4"/>
  <c r="G37" i="13"/>
  <c r="F37" i="33" l="1"/>
  <c r="L2048" i="34"/>
  <c r="D39" i="38"/>
  <c r="M39" i="38" s="1"/>
  <c r="Z49" i="39"/>
  <c r="C39" i="38" s="1"/>
  <c r="L39" i="38" s="1"/>
  <c r="D66" i="38"/>
  <c r="M66" i="38" s="1"/>
  <c r="Z48" i="39"/>
  <c r="C38" i="38" s="1"/>
  <c r="L38" i="38" s="1"/>
  <c r="D38" i="38"/>
  <c r="M38" i="38" s="1"/>
  <c r="D67" i="38"/>
  <c r="M67" i="38" s="1"/>
  <c r="Z77" i="39"/>
  <c r="C67" i="38" s="1"/>
  <c r="L67" i="38" s="1"/>
  <c r="Z76" i="39"/>
  <c r="C66" i="38" s="1"/>
  <c r="L66" i="38" s="1"/>
  <c r="C65" i="38"/>
  <c r="L65" i="38" s="1"/>
  <c r="C68" i="38"/>
  <c r="L68" i="38" s="1"/>
  <c r="C58" i="38"/>
  <c r="L58" i="38" s="1"/>
  <c r="C40" i="38"/>
  <c r="L40" i="38" s="1"/>
  <c r="AA71" i="36"/>
  <c r="G30" i="14"/>
  <c r="E30" i="14"/>
  <c r="D30" i="14"/>
  <c r="C30" i="14"/>
  <c r="B30" i="14"/>
  <c r="A30" i="14"/>
  <c r="G29" i="14"/>
  <c r="E29" i="14"/>
  <c r="D29" i="14"/>
  <c r="C29" i="14"/>
  <c r="B29" i="14"/>
  <c r="A29" i="14"/>
  <c r="G59" i="14"/>
  <c r="E59" i="14"/>
  <c r="D59" i="14"/>
  <c r="C59" i="14"/>
  <c r="B59" i="14"/>
  <c r="A59" i="14"/>
  <c r="G58" i="14"/>
  <c r="E58" i="14"/>
  <c r="D58" i="14"/>
  <c r="C58" i="14"/>
  <c r="B58" i="14"/>
  <c r="A58" i="14"/>
  <c r="G57" i="14"/>
  <c r="E57" i="14"/>
  <c r="D57" i="14"/>
  <c r="C57" i="14"/>
  <c r="B57" i="14"/>
  <c r="A57" i="14"/>
  <c r="G56" i="14"/>
  <c r="E56" i="14"/>
  <c r="D56" i="14"/>
  <c r="C56" i="14"/>
  <c r="B56" i="14"/>
  <c r="A56" i="14"/>
  <c r="G55" i="14"/>
  <c r="E55" i="14"/>
  <c r="D55" i="14"/>
  <c r="C55" i="14"/>
  <c r="B55" i="14"/>
  <c r="A55" i="14"/>
  <c r="G54" i="14"/>
  <c r="E54" i="14"/>
  <c r="D54" i="14"/>
  <c r="C54" i="14"/>
  <c r="B54" i="14"/>
  <c r="A54" i="14"/>
  <c r="G48" i="14"/>
  <c r="E48" i="14"/>
  <c r="D48" i="14"/>
  <c r="C48" i="14"/>
  <c r="B48" i="14"/>
  <c r="A48" i="14"/>
  <c r="G47" i="14"/>
  <c r="E47" i="14"/>
  <c r="D47" i="14"/>
  <c r="C47" i="14"/>
  <c r="B47" i="14"/>
  <c r="A47" i="14"/>
  <c r="G46" i="14"/>
  <c r="E46" i="14"/>
  <c r="D46" i="14"/>
  <c r="C46" i="14"/>
  <c r="B46" i="14"/>
  <c r="A46" i="14"/>
  <c r="G45" i="14"/>
  <c r="E45" i="14"/>
  <c r="D45" i="14"/>
  <c r="C45" i="14"/>
  <c r="B45" i="14"/>
  <c r="A45" i="14"/>
  <c r="F38" i="33" l="1"/>
  <c r="L2110" i="34"/>
  <c r="AA72" i="36"/>
  <c r="G38" i="13"/>
  <c r="L47" i="11"/>
  <c r="K47" i="11"/>
  <c r="L46" i="11"/>
  <c r="K46" i="11"/>
  <c r="M44" i="11"/>
  <c r="M43" i="11"/>
  <c r="M45" i="11"/>
  <c r="M46" i="11"/>
  <c r="A74" i="11"/>
  <c r="A73" i="11"/>
  <c r="A72" i="11"/>
  <c r="A71" i="11"/>
  <c r="A70" i="11"/>
  <c r="A69" i="11"/>
  <c r="A67" i="11"/>
  <c r="A66" i="11"/>
  <c r="A65" i="11"/>
  <c r="A64" i="11"/>
  <c r="A58" i="11"/>
  <c r="A51" i="11"/>
  <c r="A47" i="11"/>
  <c r="A46" i="11"/>
  <c r="A45" i="11"/>
  <c r="A44" i="11"/>
  <c r="A43" i="11"/>
  <c r="A59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H22" i="13"/>
  <c r="G22" i="13"/>
  <c r="A22" i="13"/>
  <c r="AP31" i="11"/>
  <c r="AO31" i="11"/>
  <c r="S31" i="11"/>
  <c r="R31" i="11"/>
  <c r="AG31" i="11" s="1"/>
  <c r="Q31" i="11"/>
  <c r="AD31" i="11" s="1"/>
  <c r="P31" i="11"/>
  <c r="M31" i="11"/>
  <c r="L31" i="11"/>
  <c r="K31" i="11"/>
  <c r="E31" i="11"/>
  <c r="D31" i="11"/>
  <c r="C31" i="11"/>
  <c r="BZ31" i="20"/>
  <c r="BY31" i="20"/>
  <c r="BX31" i="20"/>
  <c r="BW31" i="20"/>
  <c r="BV31" i="20"/>
  <c r="BU31" i="20"/>
  <c r="BT31" i="20"/>
  <c r="BS31" i="20"/>
  <c r="BR31" i="20"/>
  <c r="BQ31" i="20"/>
  <c r="BP31" i="20"/>
  <c r="BO31" i="20"/>
  <c r="BN31" i="20"/>
  <c r="BM31" i="20"/>
  <c r="BL31" i="20"/>
  <c r="BK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A21" i="12"/>
  <c r="D4" i="4"/>
  <c r="L2172" i="34" l="1"/>
  <c r="F39" i="33"/>
  <c r="AA73" i="36"/>
  <c r="O31" i="20"/>
  <c r="E31" i="20" s="1"/>
  <c r="F31" i="39" s="1"/>
  <c r="I31" i="39" s="1"/>
  <c r="J31" i="39" s="1"/>
  <c r="T31" i="39" s="1"/>
  <c r="N46" i="11"/>
  <c r="BF31" i="20"/>
  <c r="H31" i="20" s="1"/>
  <c r="AQ31" i="39" s="1"/>
  <c r="U31" i="39" s="1"/>
  <c r="V31" i="39" s="1"/>
  <c r="N31" i="11"/>
  <c r="F45" i="14"/>
  <c r="F57" i="14"/>
  <c r="F29" i="14"/>
  <c r="F30" i="14"/>
  <c r="L2234" i="34" l="1"/>
  <c r="F40" i="33"/>
  <c r="L36" i="12"/>
  <c r="D46" i="39"/>
  <c r="X31" i="39"/>
  <c r="W31" i="39"/>
  <c r="Y31" i="39"/>
  <c r="AQ31" i="11"/>
  <c r="F31" i="11"/>
  <c r="AA74" i="36"/>
  <c r="AA75" i="36" s="1"/>
  <c r="O31" i="11"/>
  <c r="L21" i="12"/>
  <c r="BZ74" i="20"/>
  <c r="BY74" i="20"/>
  <c r="BX74" i="20"/>
  <c r="BW74" i="20"/>
  <c r="BV74" i="20"/>
  <c r="BU74" i="20"/>
  <c r="BT74" i="20"/>
  <c r="BS74" i="20"/>
  <c r="BR74" i="20"/>
  <c r="BQ74" i="20"/>
  <c r="BP74" i="20"/>
  <c r="BO74" i="20"/>
  <c r="BN74" i="20"/>
  <c r="BM74" i="20"/>
  <c r="BL74" i="20"/>
  <c r="BK74" i="20"/>
  <c r="BZ66" i="20"/>
  <c r="BY66" i="20"/>
  <c r="BX66" i="20"/>
  <c r="BW66" i="20"/>
  <c r="BV66" i="20"/>
  <c r="BU66" i="20"/>
  <c r="BT66" i="20"/>
  <c r="BS66" i="20"/>
  <c r="BR66" i="20"/>
  <c r="BQ66" i="20"/>
  <c r="BP66" i="20"/>
  <c r="BO66" i="20"/>
  <c r="BN66" i="20"/>
  <c r="BM66" i="20"/>
  <c r="BL66" i="20"/>
  <c r="BK66" i="20"/>
  <c r="BZ65" i="20"/>
  <c r="BY65" i="20"/>
  <c r="BX65" i="20"/>
  <c r="BW65" i="20"/>
  <c r="BV65" i="20"/>
  <c r="BU65" i="20"/>
  <c r="BT65" i="20"/>
  <c r="BS65" i="20"/>
  <c r="BR65" i="20"/>
  <c r="BQ65" i="20"/>
  <c r="BP65" i="20"/>
  <c r="BO65" i="20"/>
  <c r="BN65" i="20"/>
  <c r="BM65" i="20"/>
  <c r="BL65" i="20"/>
  <c r="BK65" i="20"/>
  <c r="BZ51" i="20"/>
  <c r="BY51" i="20"/>
  <c r="BX51" i="20"/>
  <c r="BW51" i="20"/>
  <c r="BV51" i="20"/>
  <c r="BU51" i="20"/>
  <c r="BT51" i="20"/>
  <c r="BS51" i="20"/>
  <c r="BR51" i="20"/>
  <c r="BQ51" i="20"/>
  <c r="BP51" i="20"/>
  <c r="BO51" i="20"/>
  <c r="BN51" i="20"/>
  <c r="BM51" i="20"/>
  <c r="BL51" i="20"/>
  <c r="BK51" i="20"/>
  <c r="BZ47" i="20"/>
  <c r="BY47" i="20"/>
  <c r="BX47" i="20"/>
  <c r="BW47" i="20"/>
  <c r="BV47" i="20"/>
  <c r="BU47" i="20"/>
  <c r="BT47" i="20"/>
  <c r="BS47" i="20"/>
  <c r="BR47" i="20"/>
  <c r="BQ47" i="20"/>
  <c r="BP47" i="20"/>
  <c r="BO47" i="20"/>
  <c r="BN47" i="20"/>
  <c r="BM47" i="20"/>
  <c r="BL47" i="20"/>
  <c r="BK47" i="20"/>
  <c r="BZ46" i="20"/>
  <c r="BY46" i="20"/>
  <c r="BX46" i="20"/>
  <c r="BW46" i="20"/>
  <c r="BV46" i="20"/>
  <c r="BU46" i="20"/>
  <c r="BT46" i="20"/>
  <c r="BS46" i="20"/>
  <c r="BR46" i="20"/>
  <c r="BQ46" i="20"/>
  <c r="BP46" i="20"/>
  <c r="BO46" i="20"/>
  <c r="BN46" i="20"/>
  <c r="BM46" i="20"/>
  <c r="BL46" i="20"/>
  <c r="BK46" i="20"/>
  <c r="BZ45" i="20"/>
  <c r="BY45" i="20"/>
  <c r="BX45" i="20"/>
  <c r="BW45" i="20"/>
  <c r="BV45" i="20"/>
  <c r="BU45" i="20"/>
  <c r="BT45" i="20"/>
  <c r="BS45" i="20"/>
  <c r="BR45" i="20"/>
  <c r="BQ45" i="20"/>
  <c r="BP45" i="20"/>
  <c r="BO45" i="20"/>
  <c r="BN45" i="20"/>
  <c r="BM45" i="20"/>
  <c r="BL45" i="20"/>
  <c r="BK45" i="20"/>
  <c r="BZ44" i="20"/>
  <c r="BY44" i="20"/>
  <c r="BX44" i="20"/>
  <c r="BW44" i="20"/>
  <c r="BV44" i="20"/>
  <c r="BU44" i="20"/>
  <c r="BT44" i="20"/>
  <c r="BS44" i="20"/>
  <c r="BR44" i="20"/>
  <c r="BQ44" i="20"/>
  <c r="BP44" i="20"/>
  <c r="BO44" i="20"/>
  <c r="BN44" i="20"/>
  <c r="BM44" i="20"/>
  <c r="BL44" i="20"/>
  <c r="BK44" i="20"/>
  <c r="BZ43" i="20"/>
  <c r="BY43" i="20"/>
  <c r="BX43" i="20"/>
  <c r="BW43" i="20"/>
  <c r="BV43" i="20"/>
  <c r="BU43" i="20"/>
  <c r="BT43" i="20"/>
  <c r="BS43" i="20"/>
  <c r="BR43" i="20"/>
  <c r="BQ43" i="20"/>
  <c r="BP43" i="20"/>
  <c r="BO43" i="20"/>
  <c r="BN43" i="20"/>
  <c r="BM43" i="20"/>
  <c r="BL43" i="20"/>
  <c r="BK43" i="20"/>
  <c r="BZ42" i="20"/>
  <c r="BY42" i="20"/>
  <c r="BX42" i="20"/>
  <c r="BW42" i="20"/>
  <c r="BV42" i="20"/>
  <c r="BU42" i="20"/>
  <c r="BT42" i="20"/>
  <c r="BS42" i="20"/>
  <c r="BR42" i="20"/>
  <c r="BQ42" i="20"/>
  <c r="BP42" i="20"/>
  <c r="BO42" i="20"/>
  <c r="BN42" i="20"/>
  <c r="BM42" i="20"/>
  <c r="BL42" i="20"/>
  <c r="BK42" i="20"/>
  <c r="BZ41" i="20"/>
  <c r="BY41" i="20"/>
  <c r="BX41" i="20"/>
  <c r="BW41" i="20"/>
  <c r="BV41" i="20"/>
  <c r="BU41" i="20"/>
  <c r="BT41" i="20"/>
  <c r="BS41" i="20"/>
  <c r="BR41" i="20"/>
  <c r="BQ41" i="20"/>
  <c r="BP41" i="20"/>
  <c r="BO41" i="20"/>
  <c r="BN41" i="20"/>
  <c r="BM41" i="20"/>
  <c r="BL41" i="20"/>
  <c r="BK41" i="20"/>
  <c r="BZ40" i="20"/>
  <c r="BY40" i="20"/>
  <c r="BX40" i="20"/>
  <c r="BW40" i="20"/>
  <c r="BV40" i="20"/>
  <c r="BU40" i="20"/>
  <c r="BT40" i="20"/>
  <c r="BS40" i="20"/>
  <c r="BR40" i="20"/>
  <c r="BQ40" i="20"/>
  <c r="BP40" i="20"/>
  <c r="BO40" i="20"/>
  <c r="BN40" i="20"/>
  <c r="BM40" i="20"/>
  <c r="BL40" i="20"/>
  <c r="BK40" i="20"/>
  <c r="BZ39" i="20"/>
  <c r="BY39" i="20"/>
  <c r="BX39" i="20"/>
  <c r="BW39" i="20"/>
  <c r="BV39" i="20"/>
  <c r="BU39" i="20"/>
  <c r="BT39" i="20"/>
  <c r="BS39" i="20"/>
  <c r="BR39" i="20"/>
  <c r="BQ39" i="20"/>
  <c r="BP39" i="20"/>
  <c r="BO39" i="20"/>
  <c r="BN39" i="20"/>
  <c r="BM39" i="20"/>
  <c r="BL39" i="20"/>
  <c r="BK39" i="20"/>
  <c r="BZ38" i="20"/>
  <c r="BY38" i="20"/>
  <c r="BX38" i="20"/>
  <c r="BW38" i="20"/>
  <c r="BV38" i="20"/>
  <c r="BU38" i="20"/>
  <c r="BT38" i="20"/>
  <c r="BS38" i="20"/>
  <c r="BR38" i="20"/>
  <c r="BQ38" i="20"/>
  <c r="BP38" i="20"/>
  <c r="BO38" i="20"/>
  <c r="BN38" i="20"/>
  <c r="BM38" i="20"/>
  <c r="BL38" i="20"/>
  <c r="BK38" i="20"/>
  <c r="BZ37" i="20"/>
  <c r="BY37" i="20"/>
  <c r="BX37" i="20"/>
  <c r="BW37" i="20"/>
  <c r="BV37" i="20"/>
  <c r="BU37" i="20"/>
  <c r="BT37" i="20"/>
  <c r="BS37" i="20"/>
  <c r="BR37" i="20"/>
  <c r="BQ37" i="20"/>
  <c r="BP37" i="20"/>
  <c r="BO37" i="20"/>
  <c r="BN37" i="20"/>
  <c r="BM37" i="20"/>
  <c r="BL37" i="20"/>
  <c r="BK37" i="20"/>
  <c r="BZ36" i="20"/>
  <c r="BY36" i="20"/>
  <c r="BX36" i="20"/>
  <c r="BW36" i="20"/>
  <c r="BV36" i="20"/>
  <c r="BU36" i="20"/>
  <c r="BT36" i="20"/>
  <c r="BS36" i="20"/>
  <c r="BR36" i="20"/>
  <c r="BQ36" i="20"/>
  <c r="BP36" i="20"/>
  <c r="BO36" i="20"/>
  <c r="BN36" i="20"/>
  <c r="BM36" i="20"/>
  <c r="BL36" i="20"/>
  <c r="BK36" i="20"/>
  <c r="BZ35" i="20"/>
  <c r="BY35" i="20"/>
  <c r="BX35" i="20"/>
  <c r="BW35" i="20"/>
  <c r="BV35" i="20"/>
  <c r="BU35" i="20"/>
  <c r="BT35" i="20"/>
  <c r="BS35" i="20"/>
  <c r="BR35" i="20"/>
  <c r="BQ35" i="20"/>
  <c r="BP35" i="20"/>
  <c r="BO35" i="20"/>
  <c r="BN35" i="20"/>
  <c r="BM35" i="20"/>
  <c r="BL35" i="20"/>
  <c r="BK35" i="20"/>
  <c r="BZ34" i="20"/>
  <c r="BY34" i="20"/>
  <c r="BX34" i="20"/>
  <c r="BW34" i="20"/>
  <c r="BV34" i="20"/>
  <c r="BU34" i="20"/>
  <c r="BT34" i="20"/>
  <c r="BS34" i="20"/>
  <c r="BR34" i="20"/>
  <c r="BQ34" i="20"/>
  <c r="BP34" i="20"/>
  <c r="BO34" i="20"/>
  <c r="BN34" i="20"/>
  <c r="BM34" i="20"/>
  <c r="BL34" i="20"/>
  <c r="BK34" i="20"/>
  <c r="BZ33" i="20"/>
  <c r="BY33" i="20"/>
  <c r="BX33" i="20"/>
  <c r="BW33" i="20"/>
  <c r="BV33" i="20"/>
  <c r="BU33" i="20"/>
  <c r="BT33" i="20"/>
  <c r="BS33" i="20"/>
  <c r="BR33" i="20"/>
  <c r="BQ33" i="20"/>
  <c r="BP33" i="20"/>
  <c r="BO33" i="20"/>
  <c r="BN33" i="20"/>
  <c r="BM33" i="20"/>
  <c r="BL33" i="20"/>
  <c r="BK33" i="20"/>
  <c r="BZ32" i="20"/>
  <c r="BY32" i="20"/>
  <c r="BX32" i="20"/>
  <c r="BW32" i="20"/>
  <c r="BV32" i="20"/>
  <c r="BU32" i="20"/>
  <c r="BT32" i="20"/>
  <c r="BS32" i="20"/>
  <c r="BR32" i="20"/>
  <c r="BQ32" i="20"/>
  <c r="BP32" i="20"/>
  <c r="BO32" i="20"/>
  <c r="BN32" i="20"/>
  <c r="BM32" i="20"/>
  <c r="BL32" i="20"/>
  <c r="BK32" i="20"/>
  <c r="BZ30" i="20"/>
  <c r="BY30" i="20"/>
  <c r="BX30" i="20"/>
  <c r="BW30" i="20"/>
  <c r="BV30" i="20"/>
  <c r="BU30" i="20"/>
  <c r="BT30" i="20"/>
  <c r="BS30" i="20"/>
  <c r="BR30" i="20"/>
  <c r="BQ30" i="20"/>
  <c r="BP30" i="20"/>
  <c r="BO30" i="20"/>
  <c r="BN30" i="20"/>
  <c r="BM30" i="20"/>
  <c r="BL30" i="20"/>
  <c r="BK30" i="20"/>
  <c r="BZ29" i="20"/>
  <c r="BY29" i="20"/>
  <c r="BX29" i="20"/>
  <c r="BW29" i="20"/>
  <c r="BV29" i="20"/>
  <c r="BU29" i="20"/>
  <c r="BT29" i="20"/>
  <c r="BS29" i="20"/>
  <c r="BR29" i="20"/>
  <c r="BQ29" i="20"/>
  <c r="BP29" i="20"/>
  <c r="BO29" i="20"/>
  <c r="BN29" i="20"/>
  <c r="BM29" i="20"/>
  <c r="BL29" i="20"/>
  <c r="BK29" i="20"/>
  <c r="BZ28" i="20"/>
  <c r="BY28" i="20"/>
  <c r="BX28" i="20"/>
  <c r="BW28" i="20"/>
  <c r="BV28" i="20"/>
  <c r="BU28" i="20"/>
  <c r="BT28" i="20"/>
  <c r="BS28" i="20"/>
  <c r="BR28" i="20"/>
  <c r="BQ28" i="20"/>
  <c r="BP28" i="20"/>
  <c r="BO28" i="20"/>
  <c r="BN28" i="20"/>
  <c r="BM28" i="20"/>
  <c r="BL28" i="20"/>
  <c r="BK28" i="20"/>
  <c r="BZ27" i="20"/>
  <c r="BY27" i="20"/>
  <c r="BX27" i="20"/>
  <c r="BW27" i="20"/>
  <c r="BV27" i="20"/>
  <c r="BU27" i="20"/>
  <c r="BT27" i="20"/>
  <c r="BS27" i="20"/>
  <c r="BR27" i="20"/>
  <c r="BQ27" i="20"/>
  <c r="BP27" i="20"/>
  <c r="BO27" i="20"/>
  <c r="BN27" i="20"/>
  <c r="BM27" i="20"/>
  <c r="BL27" i="20"/>
  <c r="BK27" i="20"/>
  <c r="BZ26" i="20"/>
  <c r="BY26" i="20"/>
  <c r="BX26" i="20"/>
  <c r="BW26" i="20"/>
  <c r="BV26" i="20"/>
  <c r="BU26" i="20"/>
  <c r="BT26" i="20"/>
  <c r="BS26" i="20"/>
  <c r="BR26" i="20"/>
  <c r="BQ26" i="20"/>
  <c r="BP26" i="20"/>
  <c r="BO26" i="20"/>
  <c r="BN26" i="20"/>
  <c r="BM26" i="20"/>
  <c r="BL26" i="20"/>
  <c r="BK26" i="20"/>
  <c r="BZ25" i="20"/>
  <c r="BY25" i="20"/>
  <c r="BX25" i="20"/>
  <c r="BW25" i="20"/>
  <c r="BV25" i="20"/>
  <c r="BU25" i="20"/>
  <c r="BT25" i="20"/>
  <c r="BS25" i="20"/>
  <c r="BR25" i="20"/>
  <c r="BQ25" i="20"/>
  <c r="BP25" i="20"/>
  <c r="BO25" i="20"/>
  <c r="BN25" i="20"/>
  <c r="BM25" i="20"/>
  <c r="BL25" i="20"/>
  <c r="BK25" i="20"/>
  <c r="BZ24" i="20"/>
  <c r="BY24" i="20"/>
  <c r="BX24" i="20"/>
  <c r="BW24" i="20"/>
  <c r="BV24" i="20"/>
  <c r="BU24" i="20"/>
  <c r="BT24" i="20"/>
  <c r="BS24" i="20"/>
  <c r="BR24" i="20"/>
  <c r="BQ24" i="20"/>
  <c r="BP24" i="20"/>
  <c r="BO24" i="20"/>
  <c r="BN24" i="20"/>
  <c r="BM24" i="20"/>
  <c r="BL24" i="20"/>
  <c r="BK24" i="20"/>
  <c r="BZ23" i="20"/>
  <c r="BY23" i="20"/>
  <c r="BX23" i="20"/>
  <c r="BW23" i="20"/>
  <c r="BV23" i="20"/>
  <c r="BU23" i="20"/>
  <c r="BT23" i="20"/>
  <c r="BS23" i="20"/>
  <c r="BR23" i="20"/>
  <c r="BQ23" i="20"/>
  <c r="BP23" i="20"/>
  <c r="BO23" i="20"/>
  <c r="BN23" i="20"/>
  <c r="BM23" i="20"/>
  <c r="BL23" i="20"/>
  <c r="BK23" i="20"/>
  <c r="BZ22" i="20"/>
  <c r="BY22" i="20"/>
  <c r="BX22" i="20"/>
  <c r="BW22" i="20"/>
  <c r="BV22" i="20"/>
  <c r="BU22" i="20"/>
  <c r="BT22" i="20"/>
  <c r="BS22" i="20"/>
  <c r="BR22" i="20"/>
  <c r="BQ22" i="20"/>
  <c r="BP22" i="20"/>
  <c r="BO22" i="20"/>
  <c r="BN22" i="20"/>
  <c r="BM22" i="20"/>
  <c r="BL22" i="20"/>
  <c r="BK22" i="20"/>
  <c r="BZ21" i="20"/>
  <c r="BY21" i="20"/>
  <c r="BX21" i="20"/>
  <c r="BW21" i="20"/>
  <c r="BV21" i="20"/>
  <c r="BU21" i="20"/>
  <c r="BT21" i="20"/>
  <c r="BS21" i="20"/>
  <c r="BR21" i="20"/>
  <c r="BQ21" i="20"/>
  <c r="BP21" i="20"/>
  <c r="BO21" i="20"/>
  <c r="BN21" i="20"/>
  <c r="BM21" i="20"/>
  <c r="BL21" i="20"/>
  <c r="BK21" i="20"/>
  <c r="BZ20" i="20"/>
  <c r="BY20" i="20"/>
  <c r="BX20" i="20"/>
  <c r="BW20" i="20"/>
  <c r="BV20" i="20"/>
  <c r="BU20" i="20"/>
  <c r="BT20" i="20"/>
  <c r="BS20" i="20"/>
  <c r="BR20" i="20"/>
  <c r="BQ20" i="20"/>
  <c r="BP20" i="20"/>
  <c r="BO20" i="20"/>
  <c r="BN20" i="20"/>
  <c r="BM20" i="20"/>
  <c r="BL20" i="20"/>
  <c r="BK20" i="20"/>
  <c r="BZ19" i="20"/>
  <c r="BY19" i="20"/>
  <c r="BX19" i="20"/>
  <c r="BW19" i="20"/>
  <c r="BV19" i="20"/>
  <c r="BU19" i="20"/>
  <c r="BT19" i="20"/>
  <c r="BS19" i="20"/>
  <c r="BR19" i="20"/>
  <c r="BQ19" i="20"/>
  <c r="BP19" i="20"/>
  <c r="BO19" i="20"/>
  <c r="BN19" i="20"/>
  <c r="BM19" i="20"/>
  <c r="BL19" i="20"/>
  <c r="BK19" i="20"/>
  <c r="BZ18" i="20"/>
  <c r="BY18" i="20"/>
  <c r="BX18" i="20"/>
  <c r="BW18" i="20"/>
  <c r="BV18" i="20"/>
  <c r="BU18" i="20"/>
  <c r="BT18" i="20"/>
  <c r="BS18" i="20"/>
  <c r="BR18" i="20"/>
  <c r="BQ18" i="20"/>
  <c r="BP18" i="20"/>
  <c r="BO18" i="20"/>
  <c r="BN18" i="20"/>
  <c r="BM18" i="20"/>
  <c r="BL18" i="20"/>
  <c r="BK18" i="20"/>
  <c r="BZ17" i="20"/>
  <c r="BY17" i="20"/>
  <c r="BX17" i="20"/>
  <c r="BW17" i="20"/>
  <c r="BV17" i="20"/>
  <c r="BU17" i="20"/>
  <c r="BT17" i="20"/>
  <c r="BS17" i="20"/>
  <c r="BR17" i="20"/>
  <c r="BQ17" i="20"/>
  <c r="BP17" i="20"/>
  <c r="BO17" i="20"/>
  <c r="BN17" i="20"/>
  <c r="BM17" i="20"/>
  <c r="BL17" i="20"/>
  <c r="BK17" i="20"/>
  <c r="BZ16" i="20"/>
  <c r="BY16" i="20"/>
  <c r="BX16" i="20"/>
  <c r="BW16" i="20"/>
  <c r="BV16" i="20"/>
  <c r="BU16" i="20"/>
  <c r="BT16" i="20"/>
  <c r="BS16" i="20"/>
  <c r="BR16" i="20"/>
  <c r="BQ16" i="20"/>
  <c r="BP16" i="20"/>
  <c r="BO16" i="20"/>
  <c r="BN16" i="20"/>
  <c r="BM16" i="20"/>
  <c r="BL16" i="20"/>
  <c r="BK16" i="20"/>
  <c r="BZ15" i="20"/>
  <c r="BY15" i="20"/>
  <c r="BX15" i="20"/>
  <c r="BW15" i="20"/>
  <c r="BV15" i="20"/>
  <c r="BU15" i="20"/>
  <c r="BT15" i="20"/>
  <c r="BS15" i="20"/>
  <c r="BR15" i="20"/>
  <c r="BQ15" i="20"/>
  <c r="BP15" i="20"/>
  <c r="BO15" i="20"/>
  <c r="BN15" i="20"/>
  <c r="BM15" i="20"/>
  <c r="BL15" i="20"/>
  <c r="BK15" i="20"/>
  <c r="BZ14" i="20"/>
  <c r="BY14" i="20"/>
  <c r="BX14" i="20"/>
  <c r="BW14" i="20"/>
  <c r="BV14" i="20"/>
  <c r="BU14" i="20"/>
  <c r="BT14" i="20"/>
  <c r="BS14" i="20"/>
  <c r="BR14" i="20"/>
  <c r="BQ14" i="20"/>
  <c r="BP14" i="20"/>
  <c r="BO14" i="20"/>
  <c r="BN14" i="20"/>
  <c r="BM14" i="20"/>
  <c r="BL14" i="20"/>
  <c r="BK14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AI73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AI72" i="20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AI71" i="20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AI69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AI66" i="20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AI65" i="20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AI64" i="20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E67" i="20"/>
  <c r="F67" i="39" s="1"/>
  <c r="I67" i="39" s="1"/>
  <c r="J67" i="39" s="1"/>
  <c r="T67" i="39" s="1"/>
  <c r="F41" i="33" l="1"/>
  <c r="L2296" i="34"/>
  <c r="D21" i="38"/>
  <c r="M21" i="38" s="1"/>
  <c r="X67" i="39"/>
  <c r="W67" i="39"/>
  <c r="Y67" i="39"/>
  <c r="Z31" i="39"/>
  <c r="F67" i="11"/>
  <c r="O64" i="20"/>
  <c r="E64" i="20" s="1"/>
  <c r="O66" i="20"/>
  <c r="E66" i="20" s="1"/>
  <c r="O70" i="20"/>
  <c r="E70" i="20" s="1"/>
  <c r="O65" i="20"/>
  <c r="E65" i="20" s="1"/>
  <c r="O69" i="20"/>
  <c r="E69" i="20" s="1"/>
  <c r="O58" i="20"/>
  <c r="E58" i="20" s="1"/>
  <c r="O16" i="20"/>
  <c r="E16" i="20" s="1"/>
  <c r="O19" i="20"/>
  <c r="E19" i="20" s="1"/>
  <c r="O20" i="20"/>
  <c r="E20" i="20" s="1"/>
  <c r="O22" i="20"/>
  <c r="E22" i="20" s="1"/>
  <c r="O23" i="20"/>
  <c r="E23" i="20" s="1"/>
  <c r="O24" i="20"/>
  <c r="E24" i="20" s="1"/>
  <c r="O25" i="20"/>
  <c r="E25" i="20" s="1"/>
  <c r="O26" i="20"/>
  <c r="E26" i="20" s="1"/>
  <c r="O27" i="20"/>
  <c r="E27" i="20" s="1"/>
  <c r="O28" i="20"/>
  <c r="E28" i="20" s="1"/>
  <c r="O29" i="20"/>
  <c r="E29" i="20" s="1"/>
  <c r="O30" i="20"/>
  <c r="E30" i="20" s="1"/>
  <c r="O32" i="20"/>
  <c r="E32" i="20" s="1"/>
  <c r="O33" i="20"/>
  <c r="E33" i="20" s="1"/>
  <c r="O34" i="20"/>
  <c r="E34" i="20" s="1"/>
  <c r="O35" i="20"/>
  <c r="E35" i="20" s="1"/>
  <c r="O36" i="20"/>
  <c r="E36" i="20" s="1"/>
  <c r="O37" i="20"/>
  <c r="E37" i="20" s="1"/>
  <c r="O38" i="20"/>
  <c r="E38" i="20" s="1"/>
  <c r="O39" i="20"/>
  <c r="E39" i="20" s="1"/>
  <c r="O40" i="20"/>
  <c r="E40" i="20" s="1"/>
  <c r="O41" i="20"/>
  <c r="E41" i="20" s="1"/>
  <c r="O42" i="20"/>
  <c r="E42" i="20" s="1"/>
  <c r="O43" i="20"/>
  <c r="E43" i="20" s="1"/>
  <c r="O44" i="20"/>
  <c r="E44" i="20" s="1"/>
  <c r="O45" i="20"/>
  <c r="E45" i="20" s="1"/>
  <c r="O46" i="20"/>
  <c r="E46" i="20" s="1"/>
  <c r="O47" i="20"/>
  <c r="E47" i="20" s="1"/>
  <c r="O51" i="20"/>
  <c r="E51" i="20" s="1"/>
  <c r="O71" i="20"/>
  <c r="E71" i="20" s="1"/>
  <c r="O72" i="20"/>
  <c r="E72" i="20" s="1"/>
  <c r="O73" i="20"/>
  <c r="E73" i="20" s="1"/>
  <c r="O74" i="20"/>
  <c r="E74" i="20" s="1"/>
  <c r="BF15" i="20"/>
  <c r="H15" i="20" s="1"/>
  <c r="BF39" i="20"/>
  <c r="H39" i="20" s="1"/>
  <c r="BF43" i="20"/>
  <c r="H43" i="20" s="1"/>
  <c r="BF44" i="20"/>
  <c r="H44" i="20" s="1"/>
  <c r="BF45" i="20"/>
  <c r="H45" i="20" s="1"/>
  <c r="BF46" i="20"/>
  <c r="H46" i="20" s="1"/>
  <c r="BF47" i="20"/>
  <c r="H47" i="20" s="1"/>
  <c r="BF65" i="20"/>
  <c r="H65" i="20" s="1"/>
  <c r="BF66" i="20"/>
  <c r="H66" i="20" s="1"/>
  <c r="BF74" i="20"/>
  <c r="H74" i="20" s="1"/>
  <c r="O59" i="20"/>
  <c r="E59" i="20" s="1"/>
  <c r="BF16" i="20"/>
  <c r="H16" i="20" s="1"/>
  <c r="BF17" i="20"/>
  <c r="H17" i="20" s="1"/>
  <c r="BF18" i="20"/>
  <c r="H18" i="20" s="1"/>
  <c r="BF19" i="20"/>
  <c r="H19" i="20" s="1"/>
  <c r="BF20" i="20"/>
  <c r="H20" i="20" s="1"/>
  <c r="BF21" i="20"/>
  <c r="H21" i="20" s="1"/>
  <c r="BF22" i="20"/>
  <c r="H22" i="20" s="1"/>
  <c r="BF24" i="20"/>
  <c r="H24" i="20" s="1"/>
  <c r="BF25" i="20"/>
  <c r="H25" i="20" s="1"/>
  <c r="BF26" i="20"/>
  <c r="H26" i="20" s="1"/>
  <c r="BF27" i="20"/>
  <c r="H27" i="20" s="1"/>
  <c r="BF28" i="20"/>
  <c r="H28" i="20" s="1"/>
  <c r="BF29" i="20"/>
  <c r="H29" i="20" s="1"/>
  <c r="BF32" i="20"/>
  <c r="H32" i="20" s="1"/>
  <c r="BF33" i="20"/>
  <c r="H33" i="20" s="1"/>
  <c r="BF35" i="20"/>
  <c r="H35" i="20" s="1"/>
  <c r="O15" i="20"/>
  <c r="E15" i="20" s="1"/>
  <c r="O18" i="20"/>
  <c r="E18" i="20" s="1"/>
  <c r="O17" i="20"/>
  <c r="E17" i="20" s="1"/>
  <c r="O21" i="20"/>
  <c r="E21" i="20" s="1"/>
  <c r="BF23" i="20"/>
  <c r="H23" i="20" s="1"/>
  <c r="BF30" i="20"/>
  <c r="H30" i="20" s="1"/>
  <c r="BF34" i="20"/>
  <c r="H34" i="20" s="1"/>
  <c r="BF40" i="20"/>
  <c r="H40" i="20" s="1"/>
  <c r="BF41" i="20"/>
  <c r="H41" i="20" s="1"/>
  <c r="BF42" i="20"/>
  <c r="H42" i="20" s="1"/>
  <c r="BF51" i="20"/>
  <c r="H51" i="20" s="1"/>
  <c r="BF36" i="20"/>
  <c r="H36" i="20" s="1"/>
  <c r="BF37" i="20"/>
  <c r="H37" i="20" s="1"/>
  <c r="BF38" i="20"/>
  <c r="H38" i="20" s="1"/>
  <c r="BF14" i="20"/>
  <c r="M21" i="12"/>
  <c r="F42" i="33" l="1"/>
  <c r="L2358" i="34"/>
  <c r="L22" i="41"/>
  <c r="J22" i="41"/>
  <c r="H22" i="41"/>
  <c r="F22" i="41"/>
  <c r="N22" i="41"/>
  <c r="C21" i="38"/>
  <c r="L21" i="38" s="1"/>
  <c r="D57" i="38"/>
  <c r="M57" i="38" s="1"/>
  <c r="Z67" i="39"/>
  <c r="F17" i="39"/>
  <c r="I17" i="39" s="1"/>
  <c r="J17" i="39" s="1"/>
  <c r="T17" i="39" s="1"/>
  <c r="F72" i="39"/>
  <c r="I72" i="39" s="1"/>
  <c r="F43" i="39"/>
  <c r="I43" i="39" s="1"/>
  <c r="AQ42" i="39"/>
  <c r="U42" i="39" s="1"/>
  <c r="V42" i="39" s="1"/>
  <c r="F18" i="39"/>
  <c r="I18" i="39" s="1"/>
  <c r="J18" i="39" s="1"/>
  <c r="T18" i="39" s="1"/>
  <c r="AQ26" i="39"/>
  <c r="U26" i="39" s="1"/>
  <c r="V26" i="39" s="1"/>
  <c r="AQ17" i="39"/>
  <c r="U17" i="39" s="1"/>
  <c r="V17" i="39" s="1"/>
  <c r="AQ45" i="39"/>
  <c r="U45" i="39" s="1"/>
  <c r="V45" i="39" s="1"/>
  <c r="F71" i="39"/>
  <c r="I71" i="39" s="1"/>
  <c r="F42" i="39"/>
  <c r="I42" i="39" s="1"/>
  <c r="J42" i="39" s="1"/>
  <c r="T42" i="39" s="1"/>
  <c r="F34" i="39"/>
  <c r="I34" i="39" s="1"/>
  <c r="F25" i="39"/>
  <c r="I25" i="39" s="1"/>
  <c r="F69" i="39"/>
  <c r="I69" i="39" s="1"/>
  <c r="AQ41" i="39"/>
  <c r="F15" i="39"/>
  <c r="I15" i="39" s="1"/>
  <c r="J15" i="39" s="1"/>
  <c r="T15" i="39" s="1"/>
  <c r="AQ25" i="39"/>
  <c r="AQ16" i="39"/>
  <c r="U16" i="39" s="1"/>
  <c r="V16" i="39" s="1"/>
  <c r="AQ44" i="39"/>
  <c r="U44" i="39" s="1"/>
  <c r="V44" i="39" s="1"/>
  <c r="F41" i="39"/>
  <c r="I41" i="39" s="1"/>
  <c r="F33" i="39"/>
  <c r="I33" i="39" s="1"/>
  <c r="F24" i="39"/>
  <c r="I24" i="39" s="1"/>
  <c r="J24" i="39" s="1"/>
  <c r="T24" i="39" s="1"/>
  <c r="F65" i="39"/>
  <c r="I65" i="39" s="1"/>
  <c r="J65" i="39" s="1"/>
  <c r="T65" i="39" s="1"/>
  <c r="AQ27" i="39"/>
  <c r="U27" i="39" s="1"/>
  <c r="V27" i="39" s="1"/>
  <c r="F58" i="39"/>
  <c r="I58" i="39" s="1"/>
  <c r="AQ35" i="39"/>
  <c r="U35" i="39" s="1"/>
  <c r="V35" i="39" s="1"/>
  <c r="AQ43" i="39"/>
  <c r="F32" i="39"/>
  <c r="I32" i="39" s="1"/>
  <c r="F70" i="39"/>
  <c r="I70" i="39" s="1"/>
  <c r="AQ34" i="39"/>
  <c r="AQ74" i="39"/>
  <c r="F39" i="39"/>
  <c r="I39" i="39" s="1"/>
  <c r="J39" i="39" s="1"/>
  <c r="T39" i="39" s="1"/>
  <c r="F22" i="39"/>
  <c r="I22" i="39" s="1"/>
  <c r="J22" i="39" s="1"/>
  <c r="T22" i="39" s="1"/>
  <c r="F66" i="39"/>
  <c r="I66" i="39" s="1"/>
  <c r="J66" i="39" s="1"/>
  <c r="T66" i="39" s="1"/>
  <c r="AQ38" i="39"/>
  <c r="U38" i="39" s="1"/>
  <c r="V38" i="39" s="1"/>
  <c r="AQ30" i="39"/>
  <c r="U30" i="39" s="1"/>
  <c r="V30" i="39" s="1"/>
  <c r="AQ32" i="39"/>
  <c r="AQ21" i="39"/>
  <c r="U21" i="39" s="1"/>
  <c r="V21" i="39" s="1"/>
  <c r="AQ66" i="39"/>
  <c r="U66" i="39" s="1"/>
  <c r="V66" i="39" s="1"/>
  <c r="AQ15" i="39"/>
  <c r="U15" i="39" s="1"/>
  <c r="V15" i="39" s="1"/>
  <c r="F46" i="39"/>
  <c r="I46" i="39" s="1"/>
  <c r="J46" i="39" s="1"/>
  <c r="T46" i="39" s="1"/>
  <c r="F38" i="39"/>
  <c r="I38" i="39" s="1"/>
  <c r="J38" i="39" s="1"/>
  <c r="T38" i="39" s="1"/>
  <c r="F29" i="39"/>
  <c r="I29" i="39" s="1"/>
  <c r="F20" i="39"/>
  <c r="I20" i="39" s="1"/>
  <c r="F64" i="39"/>
  <c r="I64" i="39" s="1"/>
  <c r="J64" i="39" s="1"/>
  <c r="T64" i="39" s="1"/>
  <c r="AQ18" i="39"/>
  <c r="U18" i="39" s="1"/>
  <c r="V18" i="39" s="1"/>
  <c r="F35" i="39"/>
  <c r="I35" i="39" s="1"/>
  <c r="J35" i="39" s="1"/>
  <c r="T35" i="39" s="1"/>
  <c r="AQ24" i="39"/>
  <c r="U24" i="39" s="1"/>
  <c r="V24" i="39" s="1"/>
  <c r="F40" i="39"/>
  <c r="I40" i="39" s="1"/>
  <c r="AQ33" i="39"/>
  <c r="F47" i="39"/>
  <c r="I47" i="39" s="1"/>
  <c r="AQ37" i="39"/>
  <c r="AQ20" i="39"/>
  <c r="F74" i="39"/>
  <c r="I74" i="39" s="1"/>
  <c r="F37" i="39"/>
  <c r="I37" i="39" s="1"/>
  <c r="F19" i="39"/>
  <c r="I19" i="39" s="1"/>
  <c r="AQ51" i="39"/>
  <c r="U51" i="39" s="1"/>
  <c r="V51" i="39" s="1"/>
  <c r="AQ46" i="39"/>
  <c r="F26" i="39"/>
  <c r="I26" i="39" s="1"/>
  <c r="J26" i="39" s="1"/>
  <c r="T26" i="39" s="1"/>
  <c r="AQ40" i="39"/>
  <c r="F59" i="39"/>
  <c r="I59" i="39" s="1"/>
  <c r="J59" i="39" s="1"/>
  <c r="T59" i="39" s="1"/>
  <c r="F51" i="39"/>
  <c r="I51" i="39" s="1"/>
  <c r="J51" i="39" s="1"/>
  <c r="T51" i="39" s="1"/>
  <c r="F23" i="39"/>
  <c r="I23" i="39" s="1"/>
  <c r="AQ22" i="39"/>
  <c r="U22" i="39" s="1"/>
  <c r="V22" i="39" s="1"/>
  <c r="AQ39" i="39"/>
  <c r="U39" i="39" s="1"/>
  <c r="V39" i="39" s="1"/>
  <c r="F30" i="39"/>
  <c r="I30" i="39" s="1"/>
  <c r="J30" i="39" s="1"/>
  <c r="T30" i="39" s="1"/>
  <c r="AQ23" i="39"/>
  <c r="AQ29" i="39"/>
  <c r="AQ65" i="39"/>
  <c r="U65" i="39" s="1"/>
  <c r="V65" i="39" s="1"/>
  <c r="F45" i="39"/>
  <c r="I45" i="39" s="1"/>
  <c r="J45" i="39" s="1"/>
  <c r="T45" i="39" s="1"/>
  <c r="F28" i="39"/>
  <c r="I28" i="39" s="1"/>
  <c r="AQ36" i="39"/>
  <c r="F21" i="39"/>
  <c r="I21" i="39" s="1"/>
  <c r="J21" i="39" s="1"/>
  <c r="T21" i="39" s="1"/>
  <c r="AQ28" i="39"/>
  <c r="AQ19" i="39"/>
  <c r="AQ47" i="39"/>
  <c r="F73" i="39"/>
  <c r="I73" i="39" s="1"/>
  <c r="F44" i="39"/>
  <c r="I44" i="39" s="1"/>
  <c r="J44" i="39" s="1"/>
  <c r="T44" i="39" s="1"/>
  <c r="F36" i="39"/>
  <c r="I36" i="39" s="1"/>
  <c r="F27" i="39"/>
  <c r="I27" i="39" s="1"/>
  <c r="J27" i="39" s="1"/>
  <c r="T27" i="39" s="1"/>
  <c r="F16" i="39"/>
  <c r="I16" i="39" s="1"/>
  <c r="J16" i="39" s="1"/>
  <c r="T16" i="39" s="1"/>
  <c r="AA76" i="36"/>
  <c r="F43" i="33" l="1"/>
  <c r="L2420" i="34"/>
  <c r="C57" i="38"/>
  <c r="L57" i="38" s="1"/>
  <c r="X21" i="39"/>
  <c r="Y21" i="39"/>
  <c r="W21" i="39"/>
  <c r="W22" i="39"/>
  <c r="Y22" i="39"/>
  <c r="X22" i="39"/>
  <c r="W27" i="39"/>
  <c r="X27" i="39"/>
  <c r="Y27" i="39"/>
  <c r="Y24" i="39"/>
  <c r="W39" i="39"/>
  <c r="Y39" i="39"/>
  <c r="X39" i="39"/>
  <c r="W15" i="39"/>
  <c r="Y15" i="39"/>
  <c r="X15" i="39"/>
  <c r="X64" i="39"/>
  <c r="W64" i="39"/>
  <c r="Y64" i="39"/>
  <c r="X26" i="39"/>
  <c r="Y26" i="39"/>
  <c r="W26" i="39"/>
  <c r="X35" i="39"/>
  <c r="Y35" i="39"/>
  <c r="W35" i="39"/>
  <c r="X65" i="39"/>
  <c r="Y65" i="39"/>
  <c r="W65" i="39"/>
  <c r="X42" i="39"/>
  <c r="Y42" i="39"/>
  <c r="W42" i="39"/>
  <c r="W16" i="39"/>
  <c r="Y16" i="39"/>
  <c r="X16" i="39"/>
  <c r="Y59" i="39"/>
  <c r="X59" i="39"/>
  <c r="W59" i="39"/>
  <c r="X44" i="39"/>
  <c r="W44" i="39"/>
  <c r="Y44" i="39"/>
  <c r="W45" i="39"/>
  <c r="X45" i="39"/>
  <c r="Y45" i="39"/>
  <c r="X38" i="39"/>
  <c r="W38" i="39"/>
  <c r="Y38" i="39"/>
  <c r="X24" i="39"/>
  <c r="W24" i="39"/>
  <c r="Y18" i="39"/>
  <c r="X18" i="39"/>
  <c r="W18" i="39"/>
  <c r="X17" i="39"/>
  <c r="W17" i="39"/>
  <c r="Y17" i="39"/>
  <c r="X30" i="39"/>
  <c r="Y30" i="39"/>
  <c r="W30" i="39"/>
  <c r="W51" i="39"/>
  <c r="Y51" i="39"/>
  <c r="X51" i="39"/>
  <c r="W66" i="39"/>
  <c r="X66" i="39"/>
  <c r="Y66" i="39"/>
  <c r="AA77" i="36"/>
  <c r="AQ74" i="11"/>
  <c r="AP74" i="11"/>
  <c r="AQ66" i="11"/>
  <c r="AP66" i="11"/>
  <c r="AO66" i="11"/>
  <c r="AQ65" i="11"/>
  <c r="AP65" i="11"/>
  <c r="AO65" i="11"/>
  <c r="AQ51" i="11"/>
  <c r="AP51" i="11"/>
  <c r="AO51" i="11"/>
  <c r="AQ47" i="11"/>
  <c r="AP47" i="11"/>
  <c r="AQ46" i="11"/>
  <c r="AP46" i="11"/>
  <c r="AQ45" i="11"/>
  <c r="AP45" i="11"/>
  <c r="AO45" i="11"/>
  <c r="AQ44" i="11"/>
  <c r="AP44" i="11"/>
  <c r="AO44" i="11"/>
  <c r="AQ43" i="11"/>
  <c r="AP43" i="11"/>
  <c r="AQ42" i="11"/>
  <c r="AP42" i="11"/>
  <c r="AO42" i="11"/>
  <c r="AQ41" i="11"/>
  <c r="AP41" i="11"/>
  <c r="AQ40" i="11"/>
  <c r="AP40" i="11"/>
  <c r="AQ39" i="11"/>
  <c r="AP39" i="11"/>
  <c r="AO39" i="11"/>
  <c r="AQ38" i="11"/>
  <c r="AP38" i="11"/>
  <c r="AO38" i="11"/>
  <c r="AQ37" i="11"/>
  <c r="AP37" i="11"/>
  <c r="AQ36" i="11"/>
  <c r="AP36" i="11"/>
  <c r="AQ35" i="11"/>
  <c r="AP35" i="11"/>
  <c r="AO35" i="11"/>
  <c r="AQ34" i="11"/>
  <c r="AP34" i="11"/>
  <c r="AQ33" i="11"/>
  <c r="AP33" i="11"/>
  <c r="AQ32" i="11"/>
  <c r="AP32" i="11"/>
  <c r="AQ30" i="11"/>
  <c r="AP30" i="11"/>
  <c r="AO30" i="11"/>
  <c r="AQ29" i="11"/>
  <c r="AP29" i="11"/>
  <c r="AQ28" i="11"/>
  <c r="AP28" i="11"/>
  <c r="AQ27" i="11"/>
  <c r="AP27" i="11"/>
  <c r="AO27" i="11"/>
  <c r="AQ26" i="11"/>
  <c r="AP26" i="11"/>
  <c r="AO26" i="11"/>
  <c r="AQ25" i="11"/>
  <c r="AP25" i="11"/>
  <c r="AQ24" i="11"/>
  <c r="AP24" i="11"/>
  <c r="AO24" i="11"/>
  <c r="AQ23" i="11"/>
  <c r="AP23" i="11"/>
  <c r="AQ22" i="11"/>
  <c r="AP22" i="11"/>
  <c r="AO22" i="11"/>
  <c r="AQ21" i="11"/>
  <c r="AP21" i="11"/>
  <c r="AO21" i="11"/>
  <c r="AQ20" i="11"/>
  <c r="AP20" i="11"/>
  <c r="AQ19" i="11"/>
  <c r="AP19" i="11"/>
  <c r="AQ18" i="11"/>
  <c r="AP18" i="11"/>
  <c r="AO18" i="11"/>
  <c r="AQ17" i="11"/>
  <c r="AP17" i="11"/>
  <c r="AO17" i="11"/>
  <c r="AQ16" i="11"/>
  <c r="AP16" i="11"/>
  <c r="AO16" i="11"/>
  <c r="AQ15" i="11"/>
  <c r="AP15" i="11"/>
  <c r="AO15" i="11"/>
  <c r="AO14" i="11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V14" i="20"/>
  <c r="U14" i="20"/>
  <c r="T14" i="20"/>
  <c r="W14" i="20"/>
  <c r="C3" i="17"/>
  <c r="H3" i="17"/>
  <c r="C3" i="19"/>
  <c r="C4" i="4"/>
  <c r="M74" i="11"/>
  <c r="M73" i="11"/>
  <c r="M72" i="11"/>
  <c r="M71" i="11"/>
  <c r="M70" i="11"/>
  <c r="M66" i="11"/>
  <c r="M6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6" i="11"/>
  <c r="E66" i="11"/>
  <c r="D66" i="11"/>
  <c r="F65" i="11"/>
  <c r="E65" i="11"/>
  <c r="D65" i="11"/>
  <c r="F64" i="11"/>
  <c r="E64" i="11"/>
  <c r="D64" i="11"/>
  <c r="F58" i="11"/>
  <c r="E58" i="11"/>
  <c r="F51" i="11"/>
  <c r="E51" i="11"/>
  <c r="D51" i="11"/>
  <c r="F47" i="11"/>
  <c r="E47" i="11"/>
  <c r="F46" i="11"/>
  <c r="E46" i="11"/>
  <c r="D46" i="11"/>
  <c r="F45" i="11"/>
  <c r="E45" i="11"/>
  <c r="D45" i="11"/>
  <c r="F44" i="11"/>
  <c r="E44" i="11"/>
  <c r="D44" i="11"/>
  <c r="F43" i="11"/>
  <c r="E43" i="11"/>
  <c r="F59" i="11"/>
  <c r="E59" i="11"/>
  <c r="D59" i="11"/>
  <c r="F42" i="11"/>
  <c r="E42" i="11"/>
  <c r="D42" i="11"/>
  <c r="F41" i="11"/>
  <c r="E41" i="11"/>
  <c r="F40" i="11"/>
  <c r="E40" i="11"/>
  <c r="F39" i="11"/>
  <c r="E39" i="11"/>
  <c r="D39" i="11"/>
  <c r="F38" i="11"/>
  <c r="E38" i="11"/>
  <c r="D38" i="11"/>
  <c r="F37" i="11"/>
  <c r="E37" i="11"/>
  <c r="F36" i="11"/>
  <c r="E36" i="11"/>
  <c r="F35" i="11"/>
  <c r="E35" i="11"/>
  <c r="D35" i="11"/>
  <c r="F34" i="11"/>
  <c r="E34" i="11"/>
  <c r="F33" i="11"/>
  <c r="E33" i="11"/>
  <c r="F32" i="11"/>
  <c r="E32" i="11"/>
  <c r="F30" i="11"/>
  <c r="E30" i="11"/>
  <c r="D30" i="11"/>
  <c r="F29" i="11"/>
  <c r="E29" i="11"/>
  <c r="F28" i="11"/>
  <c r="E28" i="11"/>
  <c r="F27" i="11"/>
  <c r="E27" i="11"/>
  <c r="D27" i="11"/>
  <c r="F26" i="11"/>
  <c r="E26" i="11"/>
  <c r="D26" i="11"/>
  <c r="F25" i="11"/>
  <c r="E25" i="11"/>
  <c r="F24" i="11"/>
  <c r="E24" i="11"/>
  <c r="D24" i="11"/>
  <c r="F23" i="11"/>
  <c r="E23" i="11"/>
  <c r="F22" i="11"/>
  <c r="E22" i="11"/>
  <c r="D22" i="11"/>
  <c r="F21" i="11"/>
  <c r="E21" i="11"/>
  <c r="D21" i="11"/>
  <c r="F20" i="11"/>
  <c r="E20" i="11"/>
  <c r="F19" i="11"/>
  <c r="E19" i="11"/>
  <c r="F18" i="11"/>
  <c r="E18" i="11"/>
  <c r="D18" i="11"/>
  <c r="F17" i="11"/>
  <c r="E17" i="11"/>
  <c r="D17" i="11"/>
  <c r="F16" i="11"/>
  <c r="E16" i="11"/>
  <c r="D16" i="11"/>
  <c r="F15" i="11"/>
  <c r="E15" i="11"/>
  <c r="D15" i="11"/>
  <c r="E14" i="11"/>
  <c r="D14" i="11"/>
  <c r="M69" i="11"/>
  <c r="M64" i="11"/>
  <c r="M58" i="11"/>
  <c r="O48" i="11"/>
  <c r="M40" i="11"/>
  <c r="M39" i="11"/>
  <c r="M38" i="11"/>
  <c r="M37" i="11"/>
  <c r="M36" i="11"/>
  <c r="M35" i="11"/>
  <c r="M34" i="11"/>
  <c r="M33" i="11"/>
  <c r="M32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47" i="11"/>
  <c r="N47" i="11" s="1"/>
  <c r="B4" i="4"/>
  <c r="D3" i="19"/>
  <c r="C4" i="37" s="1"/>
  <c r="D49" i="19"/>
  <c r="C49" i="19"/>
  <c r="D48" i="19"/>
  <c r="C48" i="19"/>
  <c r="D47" i="19"/>
  <c r="C47" i="19"/>
  <c r="E43" i="19"/>
  <c r="D43" i="19"/>
  <c r="C43" i="19"/>
  <c r="B41" i="19"/>
  <c r="E40" i="19"/>
  <c r="B40" i="19"/>
  <c r="E39" i="19"/>
  <c r="B39" i="19"/>
  <c r="D36" i="19"/>
  <c r="C36" i="19"/>
  <c r="B36" i="19"/>
  <c r="E35" i="19"/>
  <c r="D35" i="19"/>
  <c r="C35" i="19"/>
  <c r="B35" i="19"/>
  <c r="E34" i="19"/>
  <c r="D34" i="19"/>
  <c r="C34" i="19"/>
  <c r="B34" i="19"/>
  <c r="E33" i="19"/>
  <c r="D33" i="19"/>
  <c r="C33" i="19"/>
  <c r="B33" i="19"/>
  <c r="E32" i="19"/>
  <c r="C32" i="19"/>
  <c r="B32" i="19"/>
  <c r="E31" i="19"/>
  <c r="D31" i="19"/>
  <c r="C31" i="19"/>
  <c r="B31" i="19"/>
  <c r="E30" i="19"/>
  <c r="D30" i="19"/>
  <c r="C30" i="19"/>
  <c r="B30" i="19"/>
  <c r="C29" i="19"/>
  <c r="D28" i="19"/>
  <c r="C28" i="19"/>
  <c r="B28" i="19"/>
  <c r="D27" i="19"/>
  <c r="C27" i="19"/>
  <c r="B27" i="19"/>
  <c r="E26" i="19"/>
  <c r="C26" i="19"/>
  <c r="B26" i="19"/>
  <c r="D25" i="19"/>
  <c r="C25" i="19"/>
  <c r="B25" i="19"/>
  <c r="E24" i="19"/>
  <c r="C24" i="19"/>
  <c r="B24" i="19"/>
  <c r="E22" i="19"/>
  <c r="D22" i="19"/>
  <c r="C22" i="19"/>
  <c r="B22" i="19"/>
  <c r="E21" i="19"/>
  <c r="D21" i="19"/>
  <c r="C21" i="19"/>
  <c r="B21" i="19"/>
  <c r="E20" i="19"/>
  <c r="D20" i="19"/>
  <c r="C20" i="19"/>
  <c r="B20" i="19"/>
  <c r="E19" i="19"/>
  <c r="D19" i="19"/>
  <c r="C19" i="19"/>
  <c r="B19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6" i="19"/>
  <c r="B6" i="19"/>
  <c r="E5" i="19"/>
  <c r="D5" i="19"/>
  <c r="C5" i="19"/>
  <c r="E3" i="19"/>
  <c r="C5" i="37" s="1"/>
  <c r="B3" i="19"/>
  <c r="E2" i="19"/>
  <c r="C2" i="19"/>
  <c r="B2" i="19"/>
  <c r="F2" i="19"/>
  <c r="A56" i="19"/>
  <c r="A55" i="19"/>
  <c r="D41" i="19"/>
  <c r="D39" i="19"/>
  <c r="C39" i="19"/>
  <c r="H18" i="13"/>
  <c r="G18" i="13"/>
  <c r="A18" i="13"/>
  <c r="S27" i="11"/>
  <c r="R27" i="11"/>
  <c r="AG27" i="11" s="1"/>
  <c r="Q27" i="11"/>
  <c r="AD27" i="11" s="1"/>
  <c r="P27" i="11"/>
  <c r="L27" i="11"/>
  <c r="K27" i="11"/>
  <c r="C27" i="11"/>
  <c r="A17" i="12"/>
  <c r="A21" i="19"/>
  <c r="C38" i="10"/>
  <c r="A29" i="19"/>
  <c r="D30" i="4"/>
  <c r="F34" i="10"/>
  <c r="A12" i="10"/>
  <c r="B5" i="10" s="1"/>
  <c r="I7" i="11"/>
  <c r="E34" i="10"/>
  <c r="C14" i="10"/>
  <c r="B8" i="10"/>
  <c r="K8" i="10" s="1"/>
  <c r="B7" i="10"/>
  <c r="K7" i="10" s="1"/>
  <c r="B12" i="10"/>
  <c r="B6" i="10" s="1"/>
  <c r="K6" i="10" s="1"/>
  <c r="F44" i="33" l="1"/>
  <c r="L2482" i="34"/>
  <c r="L37" i="12"/>
  <c r="K26" i="10"/>
  <c r="K5" i="10"/>
  <c r="N5" i="9" s="1"/>
  <c r="D55" i="38"/>
  <c r="M55" i="38" s="1"/>
  <c r="D5" i="38"/>
  <c r="M5" i="38" s="1"/>
  <c r="D56" i="38"/>
  <c r="M56" i="38" s="1"/>
  <c r="D54" i="38"/>
  <c r="M54" i="38" s="1"/>
  <c r="D14" i="38"/>
  <c r="M14" i="38" s="1"/>
  <c r="D8" i="38"/>
  <c r="M8" i="38" s="1"/>
  <c r="D32" i="38"/>
  <c r="M32" i="38" s="1"/>
  <c r="D28" i="38"/>
  <c r="M28" i="38" s="1"/>
  <c r="D16" i="38"/>
  <c r="M16" i="38" s="1"/>
  <c r="D11" i="38"/>
  <c r="M11" i="38" s="1"/>
  <c r="D35" i="38"/>
  <c r="M35" i="38" s="1"/>
  <c r="D17" i="38"/>
  <c r="M17" i="38" s="1"/>
  <c r="D12" i="38"/>
  <c r="M12" i="38" s="1"/>
  <c r="D41" i="38"/>
  <c r="M41" i="38" s="1"/>
  <c r="D7" i="38"/>
  <c r="M7" i="38" s="1"/>
  <c r="D25" i="38"/>
  <c r="M25" i="38" s="1"/>
  <c r="D29" i="38"/>
  <c r="M29" i="38" s="1"/>
  <c r="D6" i="38"/>
  <c r="M6" i="38" s="1"/>
  <c r="D20" i="38"/>
  <c r="M20" i="38" s="1"/>
  <c r="D34" i="38"/>
  <c r="M34" i="38" s="1"/>
  <c r="D49" i="38"/>
  <c r="M49" i="38" s="1"/>
  <c r="Z21" i="39"/>
  <c r="Z35" i="39"/>
  <c r="F21" i="19"/>
  <c r="Z65" i="39"/>
  <c r="Z64" i="39"/>
  <c r="Z38" i="39"/>
  <c r="Z26" i="39"/>
  <c r="Z39" i="39"/>
  <c r="Z51" i="39"/>
  <c r="Z18" i="39"/>
  <c r="Z15" i="39"/>
  <c r="Z27" i="39"/>
  <c r="Z17" i="39"/>
  <c r="Z16" i="39"/>
  <c r="Z66" i="39"/>
  <c r="Z59" i="39"/>
  <c r="Z45" i="39"/>
  <c r="Z30" i="39"/>
  <c r="Z44" i="39"/>
  <c r="Z22" i="39"/>
  <c r="Z24" i="39"/>
  <c r="Z42" i="39"/>
  <c r="M38" i="12"/>
  <c r="N6" i="9"/>
  <c r="AA78" i="36"/>
  <c r="B4" i="19"/>
  <c r="N4" i="9"/>
  <c r="D29" i="19"/>
  <c r="O14" i="20"/>
  <c r="E14" i="20" s="1"/>
  <c r="Q3" i="27"/>
  <c r="S3" i="27" s="1"/>
  <c r="F9" i="20"/>
  <c r="A9" i="20"/>
  <c r="I8" i="11"/>
  <c r="H14" i="20"/>
  <c r="N27" i="11"/>
  <c r="C40" i="19"/>
  <c r="C41" i="19"/>
  <c r="N8" i="9"/>
  <c r="D6" i="9"/>
  <c r="A14" i="10" l="1"/>
  <c r="D14" i="10" s="1"/>
  <c r="A57" i="10"/>
  <c r="D57" i="10" s="1"/>
  <c r="F45" i="33"/>
  <c r="L2544" i="34"/>
  <c r="L39" i="41"/>
  <c r="N39" i="41"/>
  <c r="J39" i="41"/>
  <c r="F39" i="41"/>
  <c r="H39" i="41"/>
  <c r="D47" i="39"/>
  <c r="D47" i="11"/>
  <c r="C20" i="38"/>
  <c r="L20" i="38" s="1"/>
  <c r="C28" i="38"/>
  <c r="L28" i="38" s="1"/>
  <c r="C6" i="38"/>
  <c r="L6" i="38" s="1"/>
  <c r="C32" i="38"/>
  <c r="L32" i="38" s="1"/>
  <c r="C54" i="38"/>
  <c r="L54" i="38" s="1"/>
  <c r="C12" i="38"/>
  <c r="L12" i="38" s="1"/>
  <c r="C17" i="38"/>
  <c r="L17" i="38" s="1"/>
  <c r="C41" i="38"/>
  <c r="L41" i="38" s="1"/>
  <c r="C11" i="38"/>
  <c r="L11" i="38" s="1"/>
  <c r="C25" i="38"/>
  <c r="L25" i="38" s="1"/>
  <c r="C14" i="38"/>
  <c r="L14" i="38" s="1"/>
  <c r="C7" i="38"/>
  <c r="L7" i="38" s="1"/>
  <c r="C49" i="38"/>
  <c r="L49" i="38" s="1"/>
  <c r="C5" i="38"/>
  <c r="L5" i="38" s="1"/>
  <c r="C29" i="38"/>
  <c r="L29" i="38" s="1"/>
  <c r="C55" i="38"/>
  <c r="L55" i="38" s="1"/>
  <c r="C35" i="38"/>
  <c r="L35" i="38" s="1"/>
  <c r="C8" i="38"/>
  <c r="L8" i="38" s="1"/>
  <c r="C34" i="38"/>
  <c r="L34" i="38" s="1"/>
  <c r="C56" i="38"/>
  <c r="L56" i="38" s="1"/>
  <c r="C16" i="38"/>
  <c r="L16" i="38" s="1"/>
  <c r="K3" i="27"/>
  <c r="G4" i="27"/>
  <c r="K4" i="27"/>
  <c r="G6" i="27"/>
  <c r="AQ14" i="39"/>
  <c r="U14" i="39" s="1"/>
  <c r="V14" i="39" s="1"/>
  <c r="F14" i="39"/>
  <c r="I14" i="39" s="1"/>
  <c r="J14" i="39" s="1"/>
  <c r="T14" i="39" s="1"/>
  <c r="AQ14" i="11"/>
  <c r="F14" i="11"/>
  <c r="Q2" i="27"/>
  <c r="S2" i="27" s="1"/>
  <c r="E4" i="10"/>
  <c r="F4" i="10" s="1"/>
  <c r="H4" i="10" s="1"/>
  <c r="E50" i="10"/>
  <c r="F50" i="10" s="1"/>
  <c r="H50" i="10" s="1"/>
  <c r="E49" i="10"/>
  <c r="F49" i="10" s="1"/>
  <c r="H49" i="10" s="1"/>
  <c r="E47" i="10"/>
  <c r="F47" i="10" s="1"/>
  <c r="H47" i="10" s="1"/>
  <c r="E60" i="10"/>
  <c r="E51" i="10"/>
  <c r="F51" i="10" s="1"/>
  <c r="H51" i="10" s="1"/>
  <c r="E48" i="10"/>
  <c r="F48" i="10" s="1"/>
  <c r="H48" i="10" s="1"/>
  <c r="E61" i="10"/>
  <c r="E52" i="10"/>
  <c r="F52" i="10" s="1"/>
  <c r="H52" i="10" s="1"/>
  <c r="N9" i="9"/>
  <c r="AA79" i="36"/>
  <c r="N7" i="9"/>
  <c r="E76" i="12"/>
  <c r="E41" i="9" s="1"/>
  <c r="E61" i="9" s="1"/>
  <c r="AR81" i="11"/>
  <c r="AS81" i="11" s="1"/>
  <c r="U81" i="11" s="1"/>
  <c r="G81" i="11"/>
  <c r="H81" i="11" s="1"/>
  <c r="I81" i="11" s="1"/>
  <c r="AR80" i="11"/>
  <c r="AS80" i="11" s="1"/>
  <c r="U80" i="11" s="1"/>
  <c r="G79" i="11"/>
  <c r="H79" i="11" s="1"/>
  <c r="I79" i="11" s="1"/>
  <c r="G80" i="11"/>
  <c r="H80" i="11" s="1"/>
  <c r="I80" i="11" s="1"/>
  <c r="G60" i="11"/>
  <c r="H60" i="11" s="1"/>
  <c r="I60" i="11" s="1"/>
  <c r="AR52" i="11"/>
  <c r="AS52" i="11" s="1"/>
  <c r="U52" i="11" s="1"/>
  <c r="G54" i="11"/>
  <c r="H54" i="11" s="1"/>
  <c r="I54" i="11" s="1"/>
  <c r="G53" i="11"/>
  <c r="H53" i="11" s="1"/>
  <c r="I53" i="11" s="1"/>
  <c r="AR54" i="11"/>
  <c r="AS54" i="11" s="1"/>
  <c r="U54" i="11" s="1"/>
  <c r="AR53" i="11"/>
  <c r="AS53" i="11" s="1"/>
  <c r="U53" i="11" s="1"/>
  <c r="G52" i="11"/>
  <c r="H52" i="11" s="1"/>
  <c r="I52" i="11" s="1"/>
  <c r="G68" i="11"/>
  <c r="H68" i="11" s="1"/>
  <c r="I68" i="11" s="1"/>
  <c r="G67" i="11"/>
  <c r="H67" i="11" s="1"/>
  <c r="AR68" i="11"/>
  <c r="AS68" i="11" s="1"/>
  <c r="U68" i="11" s="1"/>
  <c r="O27" i="11"/>
  <c r="L17" i="12"/>
  <c r="E17" i="10"/>
  <c r="E18" i="10"/>
  <c r="G50" i="11"/>
  <c r="H50" i="11" s="1"/>
  <c r="I50" i="11" s="1"/>
  <c r="AR49" i="11"/>
  <c r="AS49" i="11" s="1"/>
  <c r="U49" i="11" s="1"/>
  <c r="AR50" i="11"/>
  <c r="AS50" i="11" s="1"/>
  <c r="U50" i="11" s="1"/>
  <c r="G49" i="11"/>
  <c r="H49" i="11" s="1"/>
  <c r="I49" i="11" s="1"/>
  <c r="G78" i="11"/>
  <c r="H78" i="11" s="1"/>
  <c r="I78" i="11" s="1"/>
  <c r="AR77" i="11"/>
  <c r="AS77" i="11" s="1"/>
  <c r="U77" i="11" s="1"/>
  <c r="AR76" i="11"/>
  <c r="AS76" i="11" s="1"/>
  <c r="U76" i="11" s="1"/>
  <c r="G75" i="11"/>
  <c r="H75" i="11" s="1"/>
  <c r="I75" i="11" s="1"/>
  <c r="AR78" i="11"/>
  <c r="AS78" i="11" s="1"/>
  <c r="U78" i="11" s="1"/>
  <c r="G77" i="11"/>
  <c r="H77" i="11" s="1"/>
  <c r="I77" i="11" s="1"/>
  <c r="G76" i="11"/>
  <c r="H76" i="11" s="1"/>
  <c r="I76" i="11" s="1"/>
  <c r="G31" i="11"/>
  <c r="H31" i="11" s="1"/>
  <c r="I31" i="11" s="1"/>
  <c r="G48" i="11"/>
  <c r="H48" i="11" s="1"/>
  <c r="I48" i="11" s="1"/>
  <c r="AR48" i="11"/>
  <c r="AS48" i="11" s="1"/>
  <c r="U48" i="11" s="1"/>
  <c r="AR31" i="11"/>
  <c r="AS31" i="11" s="1"/>
  <c r="U31" i="11" s="1"/>
  <c r="C85" i="6"/>
  <c r="H58" i="13"/>
  <c r="G58" i="13"/>
  <c r="A58" i="13"/>
  <c r="A57" i="12"/>
  <c r="F5" i="19"/>
  <c r="A52" i="19"/>
  <c r="A51" i="19"/>
  <c r="A50" i="19"/>
  <c r="A48" i="19"/>
  <c r="A47" i="19"/>
  <c r="A46" i="19"/>
  <c r="A45" i="19"/>
  <c r="A44" i="19"/>
  <c r="A43" i="19"/>
  <c r="A36" i="19"/>
  <c r="A35" i="19"/>
  <c r="A33" i="19"/>
  <c r="A32" i="19"/>
  <c r="A30" i="19"/>
  <c r="A28" i="19"/>
  <c r="A27" i="19"/>
  <c r="A26" i="19"/>
  <c r="A25" i="19"/>
  <c r="A24" i="19"/>
  <c r="A23" i="19"/>
  <c r="A22" i="19"/>
  <c r="A20" i="19"/>
  <c r="A19" i="19"/>
  <c r="A18" i="19"/>
  <c r="A14" i="19"/>
  <c r="A13" i="19"/>
  <c r="A5" i="19"/>
  <c r="A3" i="19"/>
  <c r="A2" i="19"/>
  <c r="AL11" i="11"/>
  <c r="H20" i="13"/>
  <c r="G20" i="13"/>
  <c r="A20" i="13"/>
  <c r="A19" i="12"/>
  <c r="S29" i="11"/>
  <c r="R29" i="11"/>
  <c r="AG29" i="11" s="1"/>
  <c r="Q29" i="11"/>
  <c r="AD29" i="11" s="1"/>
  <c r="P29" i="11"/>
  <c r="K29" i="11"/>
  <c r="N29" i="11" s="1"/>
  <c r="C29" i="11"/>
  <c r="F46" i="33" l="1"/>
  <c r="L2606" i="34"/>
  <c r="J47" i="39"/>
  <c r="T47" i="39" s="1"/>
  <c r="K6" i="27"/>
  <c r="X14" i="39"/>
  <c r="Y14" i="39"/>
  <c r="W14" i="39"/>
  <c r="V31" i="11"/>
  <c r="V76" i="11"/>
  <c r="V54" i="11"/>
  <c r="V48" i="11"/>
  <c r="V77" i="11"/>
  <c r="V81" i="11"/>
  <c r="V52" i="11"/>
  <c r="V50" i="11"/>
  <c r="V78" i="11"/>
  <c r="V68" i="11"/>
  <c r="V49" i="11"/>
  <c r="V53" i="11"/>
  <c r="V80" i="11"/>
  <c r="J68" i="11"/>
  <c r="J52" i="11"/>
  <c r="J75" i="11"/>
  <c r="J81" i="11"/>
  <c r="J50" i="11"/>
  <c r="J79" i="11"/>
  <c r="J53" i="11"/>
  <c r="J77" i="11"/>
  <c r="J80" i="11"/>
  <c r="J48" i="11"/>
  <c r="J78" i="11"/>
  <c r="J54" i="11"/>
  <c r="J31" i="11"/>
  <c r="J49" i="11"/>
  <c r="J76" i="11"/>
  <c r="J60" i="11"/>
  <c r="K4" i="9"/>
  <c r="H53" i="10"/>
  <c r="E32" i="35" s="1"/>
  <c r="N10" i="9"/>
  <c r="AA80" i="36"/>
  <c r="L26" i="10"/>
  <c r="K10" i="10"/>
  <c r="G29" i="10" s="1"/>
  <c r="G33" i="10" s="1"/>
  <c r="B10" i="29"/>
  <c r="E51" i="9"/>
  <c r="B20" i="29" s="1"/>
  <c r="B30" i="29"/>
  <c r="I67" i="11"/>
  <c r="M17" i="12"/>
  <c r="O29" i="11"/>
  <c r="L19" i="12"/>
  <c r="F47" i="33" l="1"/>
  <c r="L2668" i="34"/>
  <c r="Q2672" i="34" s="1"/>
  <c r="N18" i="41"/>
  <c r="J18" i="41"/>
  <c r="H18" i="41"/>
  <c r="L18" i="41"/>
  <c r="F18" i="41"/>
  <c r="D29" i="39"/>
  <c r="D29" i="11"/>
  <c r="D4" i="38"/>
  <c r="M4" i="38" s="1"/>
  <c r="Z14" i="39"/>
  <c r="C4" i="38" s="1"/>
  <c r="L4" i="38" s="1"/>
  <c r="T77" i="11"/>
  <c r="T49" i="11"/>
  <c r="T50" i="11"/>
  <c r="T80" i="11"/>
  <c r="T68" i="11"/>
  <c r="T76" i="11"/>
  <c r="T54" i="11"/>
  <c r="T81" i="11"/>
  <c r="T60" i="11"/>
  <c r="T53" i="11"/>
  <c r="T78" i="11"/>
  <c r="T75" i="11"/>
  <c r="T79" i="11"/>
  <c r="T31" i="11"/>
  <c r="T48" i="11"/>
  <c r="T52" i="11"/>
  <c r="J67" i="11"/>
  <c r="M19" i="12"/>
  <c r="AA81" i="36"/>
  <c r="F29" i="10"/>
  <c r="F33" i="10" s="1"/>
  <c r="C29" i="10"/>
  <c r="C33" i="10" s="1"/>
  <c r="E29" i="10"/>
  <c r="E33" i="10" s="1"/>
  <c r="D29" i="10"/>
  <c r="D33" i="10" s="1"/>
  <c r="B29" i="10"/>
  <c r="B33" i="10" s="1"/>
  <c r="M57" i="12"/>
  <c r="L57" i="12"/>
  <c r="Q2690" i="34" l="1"/>
  <c r="Q2673" i="34"/>
  <c r="H6" i="34"/>
  <c r="F48" i="33"/>
  <c r="L2730" i="34"/>
  <c r="AG45" i="36"/>
  <c r="J45" i="20" s="1"/>
  <c r="AI45" i="36"/>
  <c r="L45" i="20" s="1"/>
  <c r="AI32" i="36"/>
  <c r="L32" i="20" s="1"/>
  <c r="AI77" i="36"/>
  <c r="L77" i="20" s="1"/>
  <c r="AH64" i="36"/>
  <c r="K64" i="20" s="1"/>
  <c r="AG75" i="36"/>
  <c r="J75" i="20" s="1"/>
  <c r="AG32" i="36"/>
  <c r="J32" i="20" s="1"/>
  <c r="AH75" i="36"/>
  <c r="K75" i="20" s="1"/>
  <c r="AH15" i="36"/>
  <c r="K15" i="20" s="1"/>
  <c r="AG31" i="36"/>
  <c r="J31" i="20" s="1"/>
  <c r="AH47" i="36"/>
  <c r="K47" i="20" s="1"/>
  <c r="AG50" i="36"/>
  <c r="J50" i="20" s="1"/>
  <c r="AG80" i="36"/>
  <c r="J80" i="20" s="1"/>
  <c r="AI60" i="36"/>
  <c r="L60" i="20" s="1"/>
  <c r="AG46" i="36"/>
  <c r="J46" i="20" s="1"/>
  <c r="AH22" i="36"/>
  <c r="K22" i="20" s="1"/>
  <c r="AI35" i="36"/>
  <c r="L35" i="20" s="1"/>
  <c r="AG48" i="36"/>
  <c r="J48" i="20" s="1"/>
  <c r="AI50" i="36"/>
  <c r="L50" i="20" s="1"/>
  <c r="AH73" i="36"/>
  <c r="K73" i="20" s="1"/>
  <c r="AI22" i="36"/>
  <c r="L22" i="20" s="1"/>
  <c r="AI65" i="36"/>
  <c r="L65" i="20" s="1"/>
  <c r="AI81" i="36"/>
  <c r="L81" i="20" s="1"/>
  <c r="AI79" i="36"/>
  <c r="L79" i="20" s="1"/>
  <c r="AH43" i="36"/>
  <c r="K43" i="20" s="1"/>
  <c r="AH20" i="36"/>
  <c r="K20" i="20" s="1"/>
  <c r="AH23" i="36"/>
  <c r="K23" i="20" s="1"/>
  <c r="AI31" i="36"/>
  <c r="L31" i="20" s="1"/>
  <c r="AH18" i="36"/>
  <c r="K18" i="20" s="1"/>
  <c r="AI21" i="36"/>
  <c r="L21" i="20" s="1"/>
  <c r="AG36" i="36"/>
  <c r="J36" i="20" s="1"/>
  <c r="AI41" i="36"/>
  <c r="L41" i="20" s="1"/>
  <c r="AH33" i="36"/>
  <c r="K33" i="20" s="1"/>
  <c r="AG34" i="36"/>
  <c r="J34" i="20" s="1"/>
  <c r="AH42" i="36"/>
  <c r="K42" i="20" s="1"/>
  <c r="AG64" i="36"/>
  <c r="J64" i="20" s="1"/>
  <c r="AI33" i="36"/>
  <c r="L33" i="20" s="1"/>
  <c r="AG73" i="36"/>
  <c r="J73" i="20" s="1"/>
  <c r="AH76" i="36"/>
  <c r="K76" i="20" s="1"/>
  <c r="AH77" i="36"/>
  <c r="K77" i="20" s="1"/>
  <c r="AG39" i="36"/>
  <c r="J39" i="20" s="1"/>
  <c r="AI18" i="36"/>
  <c r="L18" i="20" s="1"/>
  <c r="AH28" i="36"/>
  <c r="K28" i="20" s="1"/>
  <c r="AG81" i="36"/>
  <c r="J81" i="20" s="1"/>
  <c r="AG66" i="36"/>
  <c r="J66" i="20" s="1"/>
  <c r="AI30" i="36"/>
  <c r="L30" i="20" s="1"/>
  <c r="AH27" i="36"/>
  <c r="K27" i="20" s="1"/>
  <c r="AG38" i="36"/>
  <c r="J38" i="20" s="1"/>
  <c r="AI26" i="36"/>
  <c r="L26" i="20" s="1"/>
  <c r="AG70" i="36"/>
  <c r="J70" i="20" s="1"/>
  <c r="AG53" i="36"/>
  <c r="J53" i="20" s="1"/>
  <c r="AG15" i="36"/>
  <c r="J15" i="20" s="1"/>
  <c r="AH81" i="36"/>
  <c r="K81" i="20" s="1"/>
  <c r="AG23" i="36"/>
  <c r="J23" i="20" s="1"/>
  <c r="AG18" i="36"/>
  <c r="J18" i="20" s="1"/>
  <c r="AG77" i="36"/>
  <c r="J77" i="20" s="1"/>
  <c r="AH37" i="36"/>
  <c r="K37" i="20" s="1"/>
  <c r="AG68" i="36"/>
  <c r="J68" i="20" s="1"/>
  <c r="AG22" i="36"/>
  <c r="J22" i="20" s="1"/>
  <c r="AI16" i="36"/>
  <c r="L16" i="20" s="1"/>
  <c r="AI69" i="36"/>
  <c r="L69" i="20" s="1"/>
  <c r="AH29" i="36"/>
  <c r="K29" i="20" s="1"/>
  <c r="AI58" i="36"/>
  <c r="L58" i="20" s="1"/>
  <c r="AI15" i="36"/>
  <c r="L15" i="20" s="1"/>
  <c r="AG21" i="36"/>
  <c r="J21" i="20" s="1"/>
  <c r="AH65" i="36"/>
  <c r="K65" i="20" s="1"/>
  <c r="AH41" i="36"/>
  <c r="K41" i="20" s="1"/>
  <c r="AG59" i="36"/>
  <c r="J59" i="20" s="1"/>
  <c r="AG19" i="36"/>
  <c r="J19" i="20" s="1"/>
  <c r="AH66" i="36"/>
  <c r="K66" i="20" s="1"/>
  <c r="AG52" i="36"/>
  <c r="J52" i="20" s="1"/>
  <c r="AG69" i="36"/>
  <c r="J69" i="20" s="1"/>
  <c r="AI76" i="36"/>
  <c r="L76" i="20" s="1"/>
  <c r="AI44" i="36"/>
  <c r="L44" i="20" s="1"/>
  <c r="AG17" i="36"/>
  <c r="J17" i="20" s="1"/>
  <c r="AH67" i="36"/>
  <c r="K67" i="20" s="1"/>
  <c r="AI39" i="36"/>
  <c r="L39" i="20" s="1"/>
  <c r="AG47" i="36"/>
  <c r="J47" i="20" s="1"/>
  <c r="AH19" i="36"/>
  <c r="K19" i="20" s="1"/>
  <c r="AH16" i="36"/>
  <c r="K16" i="20" s="1"/>
  <c r="AI53" i="36"/>
  <c r="L53" i="20" s="1"/>
  <c r="AH80" i="36"/>
  <c r="K80" i="20" s="1"/>
  <c r="AG79" i="36"/>
  <c r="J79" i="20" s="1"/>
  <c r="AH71" i="36"/>
  <c r="K71" i="20" s="1"/>
  <c r="AI36" i="36"/>
  <c r="L36" i="20" s="1"/>
  <c r="AH79" i="36"/>
  <c r="K79" i="20" s="1"/>
  <c r="AH45" i="36"/>
  <c r="K45" i="20" s="1"/>
  <c r="AG26" i="36"/>
  <c r="J26" i="20" s="1"/>
  <c r="AH72" i="36"/>
  <c r="K72" i="20" s="1"/>
  <c r="AG37" i="36"/>
  <c r="J37" i="20" s="1"/>
  <c r="AI20" i="36"/>
  <c r="L20" i="20" s="1"/>
  <c r="AH21" i="36"/>
  <c r="K21" i="20" s="1"/>
  <c r="AI73" i="36"/>
  <c r="L73" i="20" s="1"/>
  <c r="AI27" i="36"/>
  <c r="L27" i="20" s="1"/>
  <c r="AG41" i="36"/>
  <c r="J41" i="20" s="1"/>
  <c r="AI64" i="36"/>
  <c r="L64" i="20" s="1"/>
  <c r="AH24" i="36"/>
  <c r="K24" i="20" s="1"/>
  <c r="AH30" i="36"/>
  <c r="K30" i="20" s="1"/>
  <c r="AI49" i="36"/>
  <c r="L49" i="20" s="1"/>
  <c r="AI71" i="36"/>
  <c r="L71" i="20" s="1"/>
  <c r="AH31" i="36"/>
  <c r="K31" i="20" s="1"/>
  <c r="AG54" i="36"/>
  <c r="J54" i="20" s="1"/>
  <c r="AI48" i="36"/>
  <c r="L48" i="20" s="1"/>
  <c r="AI54" i="36"/>
  <c r="L54" i="20" s="1"/>
  <c r="AI67" i="36"/>
  <c r="L67" i="20" s="1"/>
  <c r="AH51" i="36"/>
  <c r="K51" i="20" s="1"/>
  <c r="AH26" i="36"/>
  <c r="K26" i="20" s="1"/>
  <c r="AH38" i="36"/>
  <c r="K38" i="20" s="1"/>
  <c r="AI59" i="36"/>
  <c r="L59" i="20" s="1"/>
  <c r="AI17" i="36"/>
  <c r="L17" i="20" s="1"/>
  <c r="AH40" i="36"/>
  <c r="K40" i="20" s="1"/>
  <c r="AH58" i="36"/>
  <c r="K58" i="20" s="1"/>
  <c r="AG43" i="36"/>
  <c r="J43" i="20" s="1"/>
  <c r="AH36" i="36"/>
  <c r="K36" i="20" s="1"/>
  <c r="AI74" i="36"/>
  <c r="L74" i="20" s="1"/>
  <c r="AI52" i="36"/>
  <c r="L52" i="20" s="1"/>
  <c r="AH32" i="36"/>
  <c r="K32" i="20" s="1"/>
  <c r="AI38" i="36"/>
  <c r="L38" i="20" s="1"/>
  <c r="AH60" i="36"/>
  <c r="K60" i="20" s="1"/>
  <c r="AH50" i="36"/>
  <c r="K50" i="20" s="1"/>
  <c r="AG51" i="36"/>
  <c r="J51" i="20" s="1"/>
  <c r="AH59" i="36"/>
  <c r="K59" i="20" s="1"/>
  <c r="AI75" i="36"/>
  <c r="L75" i="20" s="1"/>
  <c r="AG74" i="36"/>
  <c r="J74" i="20" s="1"/>
  <c r="AH14" i="36"/>
  <c r="K14" i="20" s="1"/>
  <c r="AI78" i="36"/>
  <c r="L78" i="20" s="1"/>
  <c r="AH53" i="36"/>
  <c r="K53" i="20" s="1"/>
  <c r="AG60" i="36"/>
  <c r="J60" i="20" s="1"/>
  <c r="AI72" i="36"/>
  <c r="L72" i="20" s="1"/>
  <c r="AH25" i="36"/>
  <c r="K25" i="20" s="1"/>
  <c r="AH39" i="36"/>
  <c r="K39" i="20" s="1"/>
  <c r="AH49" i="36"/>
  <c r="K49" i="20" s="1"/>
  <c r="AI14" i="36"/>
  <c r="L14" i="20" s="1"/>
  <c r="AH34" i="36"/>
  <c r="K34" i="20" s="1"/>
  <c r="AI40" i="36"/>
  <c r="L40" i="20" s="1"/>
  <c r="AG20" i="36"/>
  <c r="J20" i="20" s="1"/>
  <c r="AI42" i="36"/>
  <c r="L42" i="20" s="1"/>
  <c r="AG58" i="36"/>
  <c r="J58" i="20" s="1"/>
  <c r="AH48" i="36"/>
  <c r="K48" i="20" s="1"/>
  <c r="AH52" i="36"/>
  <c r="K52" i="20" s="1"/>
  <c r="AG67" i="36"/>
  <c r="J67" i="20" s="1"/>
  <c r="AH69" i="36"/>
  <c r="K69" i="20" s="1"/>
  <c r="AI29" i="36"/>
  <c r="L29" i="20" s="1"/>
  <c r="AG44" i="36"/>
  <c r="J44" i="20" s="1"/>
  <c r="AH54" i="36"/>
  <c r="K54" i="20" s="1"/>
  <c r="AI23" i="36"/>
  <c r="L23" i="20" s="1"/>
  <c r="AI51" i="36"/>
  <c r="L51" i="20" s="1"/>
  <c r="AH70" i="36"/>
  <c r="K70" i="20" s="1"/>
  <c r="AG29" i="36"/>
  <c r="J29" i="20" s="1"/>
  <c r="AH74" i="36"/>
  <c r="K74" i="20" s="1"/>
  <c r="AI43" i="36"/>
  <c r="L43" i="20" s="1"/>
  <c r="AI34" i="36"/>
  <c r="L34" i="20" s="1"/>
  <c r="AI70" i="36"/>
  <c r="L70" i="20" s="1"/>
  <c r="AG35" i="36"/>
  <c r="J35" i="20" s="1"/>
  <c r="AG30" i="36"/>
  <c r="J30" i="20" s="1"/>
  <c r="AG25" i="36"/>
  <c r="J25" i="20" s="1"/>
  <c r="AI24" i="36"/>
  <c r="L24" i="20" s="1"/>
  <c r="AG72" i="36"/>
  <c r="J72" i="20" s="1"/>
  <c r="AG24" i="36"/>
  <c r="J24" i="20" s="1"/>
  <c r="AI25" i="36"/>
  <c r="L25" i="20" s="1"/>
  <c r="AH46" i="36"/>
  <c r="K46" i="20" s="1"/>
  <c r="AI68" i="36"/>
  <c r="L68" i="20" s="1"/>
  <c r="AG71" i="36"/>
  <c r="J71" i="20" s="1"/>
  <c r="AH44" i="36"/>
  <c r="K44" i="20" s="1"/>
  <c r="AG40" i="36"/>
  <c r="J40" i="20" s="1"/>
  <c r="AG27" i="36"/>
  <c r="J27" i="20" s="1"/>
  <c r="AG49" i="36"/>
  <c r="J49" i="20" s="1"/>
  <c r="AG65" i="36"/>
  <c r="J65" i="20" s="1"/>
  <c r="AI19" i="36"/>
  <c r="L19" i="20" s="1"/>
  <c r="AG33" i="36"/>
  <c r="J33" i="20" s="1"/>
  <c r="AI66" i="36"/>
  <c r="L66" i="20" s="1"/>
  <c r="AG42" i="36"/>
  <c r="J42" i="20" s="1"/>
  <c r="AI80" i="36"/>
  <c r="L80" i="20" s="1"/>
  <c r="AI47" i="36"/>
  <c r="L47" i="20" s="1"/>
  <c r="AI37" i="36"/>
  <c r="L37" i="20" s="1"/>
  <c r="AG78" i="36"/>
  <c r="J78" i="20" s="1"/>
  <c r="AG16" i="36"/>
  <c r="J16" i="20" s="1"/>
  <c r="AG28" i="36"/>
  <c r="J28" i="20" s="1"/>
  <c r="AH35" i="36"/>
  <c r="K35" i="20" s="1"/>
  <c r="AI46" i="36"/>
  <c r="L46" i="20" s="1"/>
  <c r="AH68" i="36"/>
  <c r="K68" i="20" s="1"/>
  <c r="AH17" i="36"/>
  <c r="K17" i="20" s="1"/>
  <c r="AI28" i="36"/>
  <c r="L28" i="20" s="1"/>
  <c r="AG76" i="36"/>
  <c r="J76" i="20" s="1"/>
  <c r="AH78" i="36"/>
  <c r="K78" i="20" s="1"/>
  <c r="AG14" i="36"/>
  <c r="J14" i="20" s="1"/>
  <c r="L20" i="41"/>
  <c r="H20" i="41"/>
  <c r="J20" i="41"/>
  <c r="F20" i="41"/>
  <c r="N20" i="41"/>
  <c r="F58" i="41"/>
  <c r="H59" i="41"/>
  <c r="L59" i="41"/>
  <c r="N59" i="41"/>
  <c r="J59" i="41"/>
  <c r="F59" i="41"/>
  <c r="J29" i="39"/>
  <c r="T29" i="39" s="1"/>
  <c r="X80" i="11"/>
  <c r="W77" i="11"/>
  <c r="X77" i="11"/>
  <c r="W80" i="11"/>
  <c r="Y77" i="11"/>
  <c r="W60" i="11"/>
  <c r="X60" i="11"/>
  <c r="Y80" i="11"/>
  <c r="W75" i="11"/>
  <c r="W54" i="11"/>
  <c r="X54" i="11"/>
  <c r="W50" i="11"/>
  <c r="W49" i="11"/>
  <c r="W78" i="11"/>
  <c r="Y50" i="11"/>
  <c r="Y78" i="11"/>
  <c r="X50" i="11"/>
  <c r="Y60" i="11"/>
  <c r="X78" i="11"/>
  <c r="X68" i="11"/>
  <c r="Y76" i="11"/>
  <c r="X75" i="11"/>
  <c r="X31" i="11"/>
  <c r="X79" i="11"/>
  <c r="Y79" i="11"/>
  <c r="W81" i="11"/>
  <c r="Y81" i="11"/>
  <c r="W31" i="11"/>
  <c r="X49" i="11"/>
  <c r="W52" i="11"/>
  <c r="Y31" i="11"/>
  <c r="X76" i="11"/>
  <c r="Y52" i="11"/>
  <c r="W79" i="11"/>
  <c r="X53" i="11"/>
  <c r="Y68" i="11"/>
  <c r="W48" i="11"/>
  <c r="X81" i="11"/>
  <c r="Y49" i="11"/>
  <c r="Y75" i="11"/>
  <c r="W76" i="11"/>
  <c r="W68" i="11"/>
  <c r="Y53" i="11"/>
  <c r="X48" i="11"/>
  <c r="T67" i="11"/>
  <c r="X52" i="11"/>
  <c r="Y54" i="11"/>
  <c r="W53" i="11"/>
  <c r="Y48" i="11"/>
  <c r="M53" i="36"/>
  <c r="M71" i="36"/>
  <c r="M21" i="36"/>
  <c r="M26" i="36"/>
  <c r="M33" i="36"/>
  <c r="M64" i="36"/>
  <c r="M44" i="36"/>
  <c r="M32" i="36"/>
  <c r="M65" i="36"/>
  <c r="M40" i="36"/>
  <c r="M58" i="36"/>
  <c r="M38" i="36"/>
  <c r="M67" i="36"/>
  <c r="M42" i="36"/>
  <c r="M37" i="36"/>
  <c r="M43" i="36"/>
  <c r="M20" i="36"/>
  <c r="M30" i="36"/>
  <c r="M68" i="36"/>
  <c r="M19" i="36"/>
  <c r="M80" i="36"/>
  <c r="M51" i="36"/>
  <c r="M74" i="36"/>
  <c r="M52" i="36"/>
  <c r="M79" i="36"/>
  <c r="M59" i="36"/>
  <c r="M41" i="36"/>
  <c r="M54" i="36"/>
  <c r="M49" i="36"/>
  <c r="M60" i="36"/>
  <c r="M45" i="36"/>
  <c r="M25" i="36"/>
  <c r="M23" i="36"/>
  <c r="M78" i="36"/>
  <c r="M70" i="36"/>
  <c r="M22" i="36"/>
  <c r="M34" i="36"/>
  <c r="M46" i="36"/>
  <c r="M75" i="36"/>
  <c r="M24" i="36"/>
  <c r="M77" i="36"/>
  <c r="M27" i="36"/>
  <c r="M14" i="36"/>
  <c r="M66" i="36"/>
  <c r="M18" i="36"/>
  <c r="M81" i="36"/>
  <c r="M35" i="36"/>
  <c r="M28" i="36"/>
  <c r="M17" i="36"/>
  <c r="M15" i="36"/>
  <c r="M16" i="36"/>
  <c r="M72" i="36"/>
  <c r="M76" i="36"/>
  <c r="M39" i="36"/>
  <c r="M50" i="36"/>
  <c r="M48" i="36"/>
  <c r="M29" i="36"/>
  <c r="M36" i="36"/>
  <c r="M47" i="36"/>
  <c r="M73" i="36"/>
  <c r="M69" i="36"/>
  <c r="M31" i="36"/>
  <c r="A49" i="19"/>
  <c r="A38" i="19"/>
  <c r="A34" i="19"/>
  <c r="A6" i="19"/>
  <c r="Q2674" i="34" l="1"/>
  <c r="H7" i="34"/>
  <c r="Q2691" i="34"/>
  <c r="H24" i="34"/>
  <c r="F49" i="33"/>
  <c r="L2792" i="34"/>
  <c r="AA65" i="39"/>
  <c r="AA65" i="11"/>
  <c r="AA60" i="39"/>
  <c r="AA60" i="11"/>
  <c r="AK54" i="39"/>
  <c r="AL54" i="39" s="1"/>
  <c r="AM54" i="39" s="1"/>
  <c r="G44" i="38" s="1"/>
  <c r="P44" i="38" s="1"/>
  <c r="AK54" i="11"/>
  <c r="AL54" i="11" s="1"/>
  <c r="AM54" i="11" s="1"/>
  <c r="E44" i="12" s="1"/>
  <c r="J44" i="12" s="1"/>
  <c r="E45" i="13" s="1"/>
  <c r="AB16" i="39"/>
  <c r="AB16" i="11"/>
  <c r="AB77" i="39"/>
  <c r="AB77" i="11"/>
  <c r="AB22" i="39"/>
  <c r="AB22" i="11"/>
  <c r="AK28" i="39"/>
  <c r="AL28" i="39" s="1"/>
  <c r="AM28" i="39" s="1"/>
  <c r="G18" i="38" s="1"/>
  <c r="P18" i="38" s="1"/>
  <c r="AK28" i="11"/>
  <c r="AK37" i="39"/>
  <c r="AL37" i="39" s="1"/>
  <c r="AM37" i="39" s="1"/>
  <c r="G27" i="38" s="1"/>
  <c r="P27" i="38" s="1"/>
  <c r="AK37" i="11"/>
  <c r="AA49" i="39"/>
  <c r="AA49" i="11"/>
  <c r="AA24" i="39"/>
  <c r="AA24" i="11"/>
  <c r="AK43" i="39"/>
  <c r="AL43" i="39" s="1"/>
  <c r="AM43" i="39" s="1"/>
  <c r="G33" i="38" s="1"/>
  <c r="P33" i="38" s="1"/>
  <c r="AK43" i="11"/>
  <c r="AK29" i="39"/>
  <c r="AL29" i="39" s="1"/>
  <c r="AM29" i="39" s="1"/>
  <c r="G19" i="38" s="1"/>
  <c r="P19" i="38" s="1"/>
  <c r="AK29" i="11"/>
  <c r="AL29" i="11" s="1"/>
  <c r="AM29" i="11" s="1"/>
  <c r="E19" i="12" s="1"/>
  <c r="J19" i="12" s="1"/>
  <c r="E20" i="13" s="1"/>
  <c r="AK40" i="39"/>
  <c r="AL40" i="39" s="1"/>
  <c r="AM40" i="39" s="1"/>
  <c r="G30" i="38" s="1"/>
  <c r="P30" i="38" s="1"/>
  <c r="AK40" i="11"/>
  <c r="AB53" i="39"/>
  <c r="AB53" i="11"/>
  <c r="AB60" i="39"/>
  <c r="AB60" i="11"/>
  <c r="AB40" i="39"/>
  <c r="AB40" i="11"/>
  <c r="AK48" i="39"/>
  <c r="AL48" i="39" s="1"/>
  <c r="AM48" i="39" s="1"/>
  <c r="G38" i="38" s="1"/>
  <c r="P38" i="38" s="1"/>
  <c r="AK48" i="11"/>
  <c r="AL48" i="11" s="1"/>
  <c r="AM48" i="11" s="1"/>
  <c r="E38" i="12" s="1"/>
  <c r="J38" i="12" s="1"/>
  <c r="E39" i="13" s="1"/>
  <c r="AA41" i="39"/>
  <c r="AA41" i="11"/>
  <c r="AB45" i="39"/>
  <c r="AB45" i="11"/>
  <c r="AB19" i="39"/>
  <c r="AB19" i="11"/>
  <c r="AA52" i="39"/>
  <c r="AA52" i="11"/>
  <c r="AK58" i="39"/>
  <c r="AL58" i="39" s="1"/>
  <c r="AK58" i="11"/>
  <c r="AA18" i="39"/>
  <c r="AA18" i="11"/>
  <c r="AB27" i="39"/>
  <c r="AB27" i="11"/>
  <c r="AB76" i="39"/>
  <c r="AB76" i="11"/>
  <c r="AA36" i="39"/>
  <c r="AA36" i="11"/>
  <c r="AK81" i="39"/>
  <c r="AL81" i="39" s="1"/>
  <c r="AM81" i="39" s="1"/>
  <c r="G71" i="38" s="1"/>
  <c r="P71" i="38" s="1"/>
  <c r="AK81" i="11"/>
  <c r="AL81" i="11" s="1"/>
  <c r="AM81" i="11" s="1"/>
  <c r="E71" i="12" s="1"/>
  <c r="J71" i="12" s="1"/>
  <c r="E72" i="13" s="1"/>
  <c r="AA46" i="39"/>
  <c r="AA46" i="11"/>
  <c r="AA32" i="39"/>
  <c r="AA32" i="11"/>
  <c r="AB17" i="39"/>
  <c r="AB17" i="11"/>
  <c r="AK47" i="39"/>
  <c r="AL47" i="39" s="1"/>
  <c r="AM47" i="39" s="1"/>
  <c r="G37" i="38" s="1"/>
  <c r="P37" i="38" s="1"/>
  <c r="AK47" i="11"/>
  <c r="AA27" i="39"/>
  <c r="AA27" i="11"/>
  <c r="AA72" i="39"/>
  <c r="AA72" i="11"/>
  <c r="AB74" i="39"/>
  <c r="AB74" i="11"/>
  <c r="AB69" i="39"/>
  <c r="AB69" i="11"/>
  <c r="AB34" i="39"/>
  <c r="AB34" i="11"/>
  <c r="AK78" i="39"/>
  <c r="AL78" i="39" s="1"/>
  <c r="AM78" i="39" s="1"/>
  <c r="G68" i="38" s="1"/>
  <c r="P68" i="38" s="1"/>
  <c r="AK78" i="11"/>
  <c r="AL78" i="11" s="1"/>
  <c r="AM78" i="11" s="1"/>
  <c r="E68" i="12" s="1"/>
  <c r="J68" i="12" s="1"/>
  <c r="E69" i="13" s="1"/>
  <c r="AK38" i="39"/>
  <c r="AL38" i="39" s="1"/>
  <c r="AM38" i="39" s="1"/>
  <c r="G28" i="38" s="1"/>
  <c r="P28" i="38" s="1"/>
  <c r="AK38" i="11"/>
  <c r="AK17" i="39"/>
  <c r="AL17" i="39" s="1"/>
  <c r="AM17" i="39" s="1"/>
  <c r="G7" i="38" s="1"/>
  <c r="P7" i="38" s="1"/>
  <c r="AK17" i="11"/>
  <c r="AA54" i="39"/>
  <c r="AA54" i="11"/>
  <c r="AK27" i="39"/>
  <c r="AL27" i="39" s="1"/>
  <c r="AM27" i="39" s="1"/>
  <c r="G17" i="38" s="1"/>
  <c r="P17" i="38" s="1"/>
  <c r="AK27" i="11"/>
  <c r="AL27" i="11" s="1"/>
  <c r="AM27" i="11" s="1"/>
  <c r="E17" i="12" s="1"/>
  <c r="J17" i="12" s="1"/>
  <c r="E18" i="13" s="1"/>
  <c r="AB79" i="39"/>
  <c r="AB79" i="11"/>
  <c r="AA47" i="39"/>
  <c r="AA47" i="11"/>
  <c r="AB66" i="39"/>
  <c r="AB66" i="11"/>
  <c r="AB29" i="39"/>
  <c r="AB29" i="11"/>
  <c r="AA23" i="39"/>
  <c r="AA23" i="11"/>
  <c r="AK30" i="39"/>
  <c r="AL30" i="39" s="1"/>
  <c r="AM30" i="39" s="1"/>
  <c r="G20" i="38" s="1"/>
  <c r="P20" i="38" s="1"/>
  <c r="AK30" i="11"/>
  <c r="AA73" i="39"/>
  <c r="AA73" i="11"/>
  <c r="AK21" i="39"/>
  <c r="AL21" i="39" s="1"/>
  <c r="AM21" i="39" s="1"/>
  <c r="G11" i="38" s="1"/>
  <c r="P11" i="38" s="1"/>
  <c r="AK21" i="11"/>
  <c r="AK65" i="39"/>
  <c r="AL65" i="39" s="1"/>
  <c r="AM65" i="39" s="1"/>
  <c r="G55" i="38" s="1"/>
  <c r="P55" i="38" s="1"/>
  <c r="AK65" i="11"/>
  <c r="AK60" i="39"/>
  <c r="AL60" i="39" s="1"/>
  <c r="AM60" i="39" s="1"/>
  <c r="G50" i="38" s="1"/>
  <c r="P50" i="38" s="1"/>
  <c r="AK60" i="11"/>
  <c r="AL60" i="11" s="1"/>
  <c r="AM60" i="11" s="1"/>
  <c r="E50" i="12" s="1"/>
  <c r="J50" i="12" s="1"/>
  <c r="E51" i="13" s="1"/>
  <c r="AA75" i="39"/>
  <c r="AA75" i="11"/>
  <c r="AK25" i="39"/>
  <c r="AL25" i="39" s="1"/>
  <c r="AM25" i="39" s="1"/>
  <c r="G15" i="38" s="1"/>
  <c r="P15" i="38" s="1"/>
  <c r="AK25" i="11"/>
  <c r="AA20" i="39"/>
  <c r="AA20" i="11"/>
  <c r="AK64" i="39"/>
  <c r="AL64" i="39" s="1"/>
  <c r="AM64" i="39" s="1"/>
  <c r="G54" i="38" s="1"/>
  <c r="P54" i="38" s="1"/>
  <c r="AK64" i="11"/>
  <c r="AA77" i="39"/>
  <c r="AA77" i="11"/>
  <c r="AK41" i="39"/>
  <c r="AL41" i="39" s="1"/>
  <c r="AM41" i="39" s="1"/>
  <c r="G31" i="38" s="1"/>
  <c r="P31" i="38" s="1"/>
  <c r="AK41" i="11"/>
  <c r="AA40" i="39"/>
  <c r="AA40" i="11"/>
  <c r="AA29" i="39"/>
  <c r="AA29" i="11"/>
  <c r="AB14" i="39"/>
  <c r="AB14" i="11"/>
  <c r="AK69" i="39"/>
  <c r="AK69" i="11"/>
  <c r="AK33" i="39"/>
  <c r="AL33" i="39" s="1"/>
  <c r="AM33" i="39" s="1"/>
  <c r="G23" i="38" s="1"/>
  <c r="P23" i="38" s="1"/>
  <c r="AK33" i="11"/>
  <c r="AB18" i="39"/>
  <c r="AB18" i="11"/>
  <c r="AK22" i="39"/>
  <c r="AL22" i="39" s="1"/>
  <c r="AM22" i="39" s="1"/>
  <c r="G12" i="38" s="1"/>
  <c r="P12" i="38" s="1"/>
  <c r="AK22" i="11"/>
  <c r="AB70" i="39"/>
  <c r="AB70" i="11"/>
  <c r="AB49" i="39"/>
  <c r="AB49" i="11"/>
  <c r="AB67" i="39"/>
  <c r="AB67" i="11"/>
  <c r="AK16" i="39"/>
  <c r="AL16" i="39" s="1"/>
  <c r="AM16" i="39" s="1"/>
  <c r="G6" i="38" s="1"/>
  <c r="P6" i="38" s="1"/>
  <c r="AK16" i="11"/>
  <c r="AA64" i="39"/>
  <c r="AA64" i="11"/>
  <c r="AK31" i="39"/>
  <c r="AL31" i="39" s="1"/>
  <c r="AM31" i="39" s="1"/>
  <c r="G21" i="38" s="1"/>
  <c r="P21" i="38" s="1"/>
  <c r="AK31" i="11"/>
  <c r="AL31" i="11" s="1"/>
  <c r="AM31" i="11" s="1"/>
  <c r="E21" i="12" s="1"/>
  <c r="J21" i="12" s="1"/>
  <c r="E22" i="13" s="1"/>
  <c r="AK77" i="39"/>
  <c r="AL77" i="39" s="1"/>
  <c r="AM77" i="39" s="1"/>
  <c r="G67" i="38" s="1"/>
  <c r="P67" i="38" s="1"/>
  <c r="AK77" i="11"/>
  <c r="AL77" i="11" s="1"/>
  <c r="AM77" i="11" s="1"/>
  <c r="E67" i="12" s="1"/>
  <c r="J67" i="12" s="1"/>
  <c r="E68" i="13" s="1"/>
  <c r="AB35" i="39"/>
  <c r="AB35" i="11"/>
  <c r="AK66" i="39"/>
  <c r="AL66" i="39" s="1"/>
  <c r="AM66" i="39" s="1"/>
  <c r="G56" i="38" s="1"/>
  <c r="P56" i="38" s="1"/>
  <c r="AK66" i="11"/>
  <c r="AA71" i="39"/>
  <c r="AA71" i="11"/>
  <c r="AA30" i="39"/>
  <c r="AA30" i="11"/>
  <c r="AK51" i="39"/>
  <c r="AL51" i="39" s="1"/>
  <c r="AM51" i="39" s="1"/>
  <c r="G41" i="38" s="1"/>
  <c r="P41" i="38" s="1"/>
  <c r="AK51" i="11"/>
  <c r="AB48" i="39"/>
  <c r="AB48" i="11"/>
  <c r="AB39" i="39"/>
  <c r="AB39" i="11"/>
  <c r="AK75" i="39"/>
  <c r="AL75" i="39" s="1"/>
  <c r="AM75" i="39" s="1"/>
  <c r="G65" i="38" s="1"/>
  <c r="P65" i="38" s="1"/>
  <c r="AK75" i="11"/>
  <c r="AL75" i="11" s="1"/>
  <c r="AM75" i="11" s="1"/>
  <c r="E65" i="12" s="1"/>
  <c r="J65" i="12" s="1"/>
  <c r="E66" i="13" s="1"/>
  <c r="AK74" i="39"/>
  <c r="AK74" i="11"/>
  <c r="AB26" i="39"/>
  <c r="AB26" i="11"/>
  <c r="AK49" i="39"/>
  <c r="AL49" i="39" s="1"/>
  <c r="AM49" i="39" s="1"/>
  <c r="G39" i="38" s="1"/>
  <c r="P39" i="38" s="1"/>
  <c r="AK49" i="11"/>
  <c r="AL49" i="11" s="1"/>
  <c r="AM49" i="11" s="1"/>
  <c r="E39" i="12" s="1"/>
  <c r="J39" i="12" s="1"/>
  <c r="E40" i="13" s="1"/>
  <c r="AK20" i="39"/>
  <c r="AL20" i="39" s="1"/>
  <c r="AM20" i="39" s="1"/>
  <c r="G10" i="38" s="1"/>
  <c r="P10" i="38" s="1"/>
  <c r="AK20" i="11"/>
  <c r="AA79" i="39"/>
  <c r="AA79" i="11"/>
  <c r="AA17" i="39"/>
  <c r="AA17" i="11"/>
  <c r="AB41" i="39"/>
  <c r="AB41" i="11"/>
  <c r="AA22" i="39"/>
  <c r="AA22" i="11"/>
  <c r="AA53" i="39"/>
  <c r="AA53" i="11"/>
  <c r="AB28" i="39"/>
  <c r="AB28" i="11"/>
  <c r="AB42" i="39"/>
  <c r="AB42" i="11"/>
  <c r="AB23" i="39"/>
  <c r="AB23" i="11"/>
  <c r="AK50" i="39"/>
  <c r="AL50" i="39" s="1"/>
  <c r="AM50" i="39" s="1"/>
  <c r="G40" i="38" s="1"/>
  <c r="P40" i="38" s="1"/>
  <c r="AK50" i="11"/>
  <c r="AL50" i="11" s="1"/>
  <c r="AM50" i="11" s="1"/>
  <c r="E40" i="12" s="1"/>
  <c r="J40" i="12" s="1"/>
  <c r="E41" i="13" s="1"/>
  <c r="AB47" i="39"/>
  <c r="AB47" i="11"/>
  <c r="AK32" i="39"/>
  <c r="AL32" i="39" s="1"/>
  <c r="AM32" i="39" s="1"/>
  <c r="G22" i="38" s="1"/>
  <c r="P22" i="38" s="1"/>
  <c r="AK32" i="11"/>
  <c r="AA76" i="39"/>
  <c r="AA76" i="11"/>
  <c r="AK34" i="39"/>
  <c r="AL34" i="39" s="1"/>
  <c r="AM34" i="39" s="1"/>
  <c r="G24" i="38" s="1"/>
  <c r="P24" i="38" s="1"/>
  <c r="AK34" i="11"/>
  <c r="AB50" i="39"/>
  <c r="AB50" i="11"/>
  <c r="AA69" i="39"/>
  <c r="AA69" i="11"/>
  <c r="AA38" i="39"/>
  <c r="AA38" i="11"/>
  <c r="AB75" i="39"/>
  <c r="AB75" i="11"/>
  <c r="AK80" i="39"/>
  <c r="AL80" i="39" s="1"/>
  <c r="AM80" i="39" s="1"/>
  <c r="G70" i="38" s="1"/>
  <c r="P70" i="38" s="1"/>
  <c r="AK80" i="11"/>
  <c r="AL80" i="11" s="1"/>
  <c r="AM80" i="11" s="1"/>
  <c r="E70" i="12" s="1"/>
  <c r="J70" i="12" s="1"/>
  <c r="E71" i="13" s="1"/>
  <c r="AA67" i="39"/>
  <c r="AA67" i="11"/>
  <c r="AB32" i="39"/>
  <c r="AB32" i="11"/>
  <c r="AB31" i="39"/>
  <c r="AB31" i="11"/>
  <c r="AK39" i="39"/>
  <c r="AL39" i="39" s="1"/>
  <c r="AM39" i="39" s="1"/>
  <c r="G29" i="38" s="1"/>
  <c r="P29" i="38" s="1"/>
  <c r="AK39" i="11"/>
  <c r="AB81" i="39"/>
  <c r="AB81" i="11"/>
  <c r="AA80" i="39"/>
  <c r="AA80" i="11"/>
  <c r="AA42" i="39"/>
  <c r="AA42" i="11"/>
  <c r="AA25" i="39"/>
  <c r="AA25" i="11"/>
  <c r="AB52" i="39"/>
  <c r="AB52" i="11"/>
  <c r="AK52" i="39"/>
  <c r="AL52" i="39" s="1"/>
  <c r="AM52" i="39" s="1"/>
  <c r="G42" i="38" s="1"/>
  <c r="P42" i="38" s="1"/>
  <c r="AK52" i="11"/>
  <c r="AL52" i="11" s="1"/>
  <c r="AM52" i="11" s="1"/>
  <c r="E42" i="12" s="1"/>
  <c r="J42" i="12" s="1"/>
  <c r="E43" i="13" s="1"/>
  <c r="AB21" i="39"/>
  <c r="AB21" i="11"/>
  <c r="AA59" i="39"/>
  <c r="AA59" i="11"/>
  <c r="AA81" i="39"/>
  <c r="AA81" i="11"/>
  <c r="AB73" i="39"/>
  <c r="AB73" i="11"/>
  <c r="AA50" i="39"/>
  <c r="AA50" i="11"/>
  <c r="AA14" i="39"/>
  <c r="AA14" i="11"/>
  <c r="AA28" i="39"/>
  <c r="AA28" i="11"/>
  <c r="AA33" i="39"/>
  <c r="AA33" i="11"/>
  <c r="AK68" i="39"/>
  <c r="AL68" i="39" s="1"/>
  <c r="AM68" i="39" s="1"/>
  <c r="G58" i="38" s="1"/>
  <c r="P58" i="38" s="1"/>
  <c r="AK68" i="11"/>
  <c r="AL68" i="11" s="1"/>
  <c r="AM68" i="11" s="1"/>
  <c r="E58" i="12" s="1"/>
  <c r="J58" i="12" s="1"/>
  <c r="E59" i="13" s="1"/>
  <c r="AA35" i="39"/>
  <c r="AA35" i="11"/>
  <c r="AK23" i="39"/>
  <c r="AL23" i="39" s="1"/>
  <c r="AM23" i="39" s="1"/>
  <c r="G13" i="38" s="1"/>
  <c r="P13" i="38" s="1"/>
  <c r="AK23" i="11"/>
  <c r="AA58" i="39"/>
  <c r="AA58" i="11"/>
  <c r="AB25" i="39"/>
  <c r="AB25" i="11"/>
  <c r="AB59" i="39"/>
  <c r="AB59" i="11"/>
  <c r="AB36" i="39"/>
  <c r="AB36" i="11"/>
  <c r="AB51" i="39"/>
  <c r="AB51" i="11"/>
  <c r="AB30" i="39"/>
  <c r="AB30" i="11"/>
  <c r="AA37" i="39"/>
  <c r="AA37" i="11"/>
  <c r="AB80" i="39"/>
  <c r="AB80" i="11"/>
  <c r="AK44" i="39"/>
  <c r="AL44" i="39" s="1"/>
  <c r="AM44" i="39" s="1"/>
  <c r="G34" i="38" s="1"/>
  <c r="P34" i="38" s="1"/>
  <c r="AK44" i="11"/>
  <c r="AB65" i="39"/>
  <c r="AB65" i="11"/>
  <c r="AA68" i="39"/>
  <c r="AA68" i="11"/>
  <c r="AA70" i="39"/>
  <c r="AA70" i="11"/>
  <c r="AK18" i="39"/>
  <c r="AL18" i="39" s="1"/>
  <c r="AM18" i="39" s="1"/>
  <c r="G8" i="38" s="1"/>
  <c r="P8" i="38" s="1"/>
  <c r="AK18" i="11"/>
  <c r="AA34" i="39"/>
  <c r="AA34" i="11"/>
  <c r="AB20" i="39"/>
  <c r="AB20" i="11"/>
  <c r="AA48" i="39"/>
  <c r="AA48" i="11"/>
  <c r="AA31" i="39"/>
  <c r="AA31" i="11"/>
  <c r="AK45" i="39"/>
  <c r="AL45" i="39" s="1"/>
  <c r="AM45" i="39" s="1"/>
  <c r="G35" i="38" s="1"/>
  <c r="P35" i="38" s="1"/>
  <c r="AK45" i="11"/>
  <c r="AA78" i="39"/>
  <c r="AA78" i="11"/>
  <c r="AA44" i="39"/>
  <c r="AA44" i="11"/>
  <c r="AB58" i="39"/>
  <c r="AB58" i="11"/>
  <c r="AA26" i="39"/>
  <c r="AA26" i="11"/>
  <c r="AK15" i="39"/>
  <c r="AL15" i="39" s="1"/>
  <c r="AM15" i="39" s="1"/>
  <c r="G5" i="38" s="1"/>
  <c r="P5" i="38" s="1"/>
  <c r="AK15" i="11"/>
  <c r="AK79" i="39"/>
  <c r="AL79" i="39" s="1"/>
  <c r="AM79" i="39" s="1"/>
  <c r="G69" i="38" s="1"/>
  <c r="P69" i="38" s="1"/>
  <c r="AK79" i="11"/>
  <c r="AL79" i="11" s="1"/>
  <c r="AM79" i="11" s="1"/>
  <c r="E69" i="12" s="1"/>
  <c r="J69" i="12" s="1"/>
  <c r="E70" i="13" s="1"/>
  <c r="AB68" i="39"/>
  <c r="AB68" i="11"/>
  <c r="AK24" i="39"/>
  <c r="AL24" i="39" s="1"/>
  <c r="AM24" i="39" s="1"/>
  <c r="G14" i="38" s="1"/>
  <c r="P14" i="38" s="1"/>
  <c r="AK24" i="11"/>
  <c r="AK14" i="39"/>
  <c r="AL14" i="39" s="1"/>
  <c r="AK14" i="11"/>
  <c r="AK59" i="39"/>
  <c r="AL59" i="39" s="1"/>
  <c r="AM59" i="39" s="1"/>
  <c r="G49" i="38" s="1"/>
  <c r="P49" i="38" s="1"/>
  <c r="AK59" i="11"/>
  <c r="AK36" i="39"/>
  <c r="AL36" i="39" s="1"/>
  <c r="AM36" i="39" s="1"/>
  <c r="G26" i="38" s="1"/>
  <c r="P26" i="38" s="1"/>
  <c r="AK36" i="11"/>
  <c r="AA19" i="39"/>
  <c r="AA19" i="11"/>
  <c r="AA66" i="39"/>
  <c r="AA66" i="11"/>
  <c r="AB64" i="39"/>
  <c r="AB64" i="11"/>
  <c r="AK46" i="39"/>
  <c r="AL46" i="39" s="1"/>
  <c r="AM46" i="39" s="1"/>
  <c r="G36" i="38" s="1"/>
  <c r="P36" i="38" s="1"/>
  <c r="AK46" i="11"/>
  <c r="AB44" i="39"/>
  <c r="AB44" i="11"/>
  <c r="AA74" i="39"/>
  <c r="AA74" i="11"/>
  <c r="AB38" i="39"/>
  <c r="AB38" i="11"/>
  <c r="AB71" i="39"/>
  <c r="AB71" i="11"/>
  <c r="AA15" i="39"/>
  <c r="AA15" i="11"/>
  <c r="AB78" i="39"/>
  <c r="AB78" i="11"/>
  <c r="AA16" i="39"/>
  <c r="AA16" i="11"/>
  <c r="AK19" i="39"/>
  <c r="AL19" i="39" s="1"/>
  <c r="AM19" i="39" s="1"/>
  <c r="G9" i="38" s="1"/>
  <c r="P9" i="38" s="1"/>
  <c r="AK19" i="11"/>
  <c r="AB46" i="39"/>
  <c r="AB46" i="11"/>
  <c r="AB54" i="39"/>
  <c r="AB54" i="11"/>
  <c r="AK42" i="39"/>
  <c r="AL42" i="39" s="1"/>
  <c r="AM42" i="39" s="1"/>
  <c r="G32" i="38" s="1"/>
  <c r="P32" i="38" s="1"/>
  <c r="AK42" i="11"/>
  <c r="AA51" i="39"/>
  <c r="AA51" i="11"/>
  <c r="AA43" i="39"/>
  <c r="AA43" i="11"/>
  <c r="AK67" i="39"/>
  <c r="AL67" i="39" s="1"/>
  <c r="AM67" i="39" s="1"/>
  <c r="G57" i="38" s="1"/>
  <c r="P57" i="38" s="1"/>
  <c r="AK67" i="11"/>
  <c r="AL67" i="11" s="1"/>
  <c r="AM67" i="11" s="1"/>
  <c r="E57" i="12" s="1"/>
  <c r="J57" i="12" s="1"/>
  <c r="E58" i="13" s="1"/>
  <c r="AB24" i="39"/>
  <c r="AB24" i="11"/>
  <c r="AB72" i="39"/>
  <c r="AB72" i="11"/>
  <c r="AK53" i="39"/>
  <c r="AL53" i="39" s="1"/>
  <c r="AM53" i="39" s="1"/>
  <c r="G43" i="38" s="1"/>
  <c r="P43" i="38" s="1"/>
  <c r="AK53" i="11"/>
  <c r="AL53" i="11" s="1"/>
  <c r="AM53" i="11" s="1"/>
  <c r="E43" i="12" s="1"/>
  <c r="J43" i="12" s="1"/>
  <c r="E44" i="13" s="1"/>
  <c r="AK76" i="39"/>
  <c r="AL76" i="39" s="1"/>
  <c r="AM76" i="39" s="1"/>
  <c r="G66" i="38" s="1"/>
  <c r="P66" i="38" s="1"/>
  <c r="AK76" i="11"/>
  <c r="AL76" i="11" s="1"/>
  <c r="AM76" i="11" s="1"/>
  <c r="E66" i="12" s="1"/>
  <c r="J66" i="12" s="1"/>
  <c r="E67" i="13" s="1"/>
  <c r="AA21" i="39"/>
  <c r="AA21" i="11"/>
  <c r="AB37" i="39"/>
  <c r="AB37" i="11"/>
  <c r="AK26" i="39"/>
  <c r="AL26" i="39" s="1"/>
  <c r="AM26" i="39" s="1"/>
  <c r="G16" i="38" s="1"/>
  <c r="P16" i="38" s="1"/>
  <c r="AK26" i="11"/>
  <c r="AA39" i="39"/>
  <c r="AA39" i="11"/>
  <c r="AB33" i="39"/>
  <c r="AB33" i="11"/>
  <c r="AB43" i="39"/>
  <c r="AB43" i="11"/>
  <c r="AK35" i="39"/>
  <c r="AL35" i="39" s="1"/>
  <c r="AM35" i="39" s="1"/>
  <c r="G25" i="38" s="1"/>
  <c r="P25" i="38" s="1"/>
  <c r="AK35" i="11"/>
  <c r="AB15" i="39"/>
  <c r="AB15" i="11"/>
  <c r="AA45" i="39"/>
  <c r="AA45" i="11"/>
  <c r="B62" i="24"/>
  <c r="B8" i="36" s="1"/>
  <c r="Z77" i="11"/>
  <c r="Z80" i="11"/>
  <c r="Z50" i="11"/>
  <c r="Z60" i="11"/>
  <c r="Z78" i="11"/>
  <c r="Z81" i="11"/>
  <c r="Z68" i="11"/>
  <c r="Z52" i="11"/>
  <c r="Z79" i="11"/>
  <c r="Z53" i="11"/>
  <c r="Z31" i="11"/>
  <c r="Z54" i="11"/>
  <c r="Z48" i="11"/>
  <c r="Z49" i="11"/>
  <c r="X67" i="11"/>
  <c r="Z75" i="11"/>
  <c r="Y67" i="11"/>
  <c r="W67" i="11"/>
  <c r="Z76" i="11"/>
  <c r="A4" i="4"/>
  <c r="A4" i="19" s="1"/>
  <c r="D4" i="19"/>
  <c r="S45" i="11"/>
  <c r="R45" i="11"/>
  <c r="AG45" i="11" s="1"/>
  <c r="Q45" i="11"/>
  <c r="AD45" i="11" s="1"/>
  <c r="P45" i="11"/>
  <c r="L45" i="11"/>
  <c r="K45" i="11"/>
  <c r="C45" i="11"/>
  <c r="G36" i="13"/>
  <c r="A36" i="13"/>
  <c r="A35" i="12"/>
  <c r="H17" i="13"/>
  <c r="G17" i="13"/>
  <c r="A17" i="13"/>
  <c r="A16" i="12"/>
  <c r="L26" i="11"/>
  <c r="S26" i="11"/>
  <c r="R26" i="11"/>
  <c r="AG26" i="11" s="1"/>
  <c r="Q26" i="11"/>
  <c r="AD26" i="11" s="1"/>
  <c r="P26" i="11"/>
  <c r="K26" i="11"/>
  <c r="C26" i="11"/>
  <c r="AC51" i="39" l="1"/>
  <c r="E41" i="38" s="1"/>
  <c r="N41" i="38" s="1"/>
  <c r="Q2692" i="34"/>
  <c r="H25" i="34"/>
  <c r="Q2675" i="34"/>
  <c r="H8" i="34"/>
  <c r="AC27" i="11"/>
  <c r="AC27" i="39"/>
  <c r="E17" i="38" s="1"/>
  <c r="N17" i="38" s="1"/>
  <c r="AC81" i="39"/>
  <c r="E71" i="38" s="1"/>
  <c r="N71" i="38" s="1"/>
  <c r="F50" i="33"/>
  <c r="L2854" i="34"/>
  <c r="AC77" i="11"/>
  <c r="AC54" i="11"/>
  <c r="AC50" i="11"/>
  <c r="AC76" i="11"/>
  <c r="AC53" i="11"/>
  <c r="AC42" i="39"/>
  <c r="E32" i="38" s="1"/>
  <c r="N32" i="38" s="1"/>
  <c r="AC53" i="39"/>
  <c r="E43" i="38" s="1"/>
  <c r="N43" i="38" s="1"/>
  <c r="AC79" i="39"/>
  <c r="E69" i="38" s="1"/>
  <c r="N69" i="38" s="1"/>
  <c r="AC50" i="39"/>
  <c r="E40" i="38" s="1"/>
  <c r="AC77" i="39"/>
  <c r="E67" i="38" s="1"/>
  <c r="N67" i="38" s="1"/>
  <c r="AC29" i="11"/>
  <c r="AC15" i="39"/>
  <c r="E5" i="38" s="1"/>
  <c r="AC48" i="39"/>
  <c r="E38" i="38" s="1"/>
  <c r="AC26" i="39"/>
  <c r="E16" i="38" s="1"/>
  <c r="N16" i="38" s="1"/>
  <c r="AC54" i="39"/>
  <c r="E44" i="38" s="1"/>
  <c r="AC81" i="11"/>
  <c r="AC76" i="39"/>
  <c r="E66" i="38" s="1"/>
  <c r="AC22" i="39"/>
  <c r="E12" i="38" s="1"/>
  <c r="AC39" i="39"/>
  <c r="E29" i="38" s="1"/>
  <c r="AC17" i="39"/>
  <c r="E7" i="38" s="1"/>
  <c r="AC48" i="11"/>
  <c r="AC29" i="39"/>
  <c r="AC31" i="39"/>
  <c r="E21" i="38" s="1"/>
  <c r="AC80" i="39"/>
  <c r="E70" i="38" s="1"/>
  <c r="AC38" i="39"/>
  <c r="E28" i="38" s="1"/>
  <c r="AC47" i="39"/>
  <c r="AC75" i="39"/>
  <c r="E65" i="38" s="1"/>
  <c r="AC46" i="39"/>
  <c r="AC31" i="11"/>
  <c r="AC80" i="11"/>
  <c r="AC30" i="39"/>
  <c r="E20" i="38" s="1"/>
  <c r="AC18" i="39"/>
  <c r="E8" i="38" s="1"/>
  <c r="AC45" i="39"/>
  <c r="E35" i="38" s="1"/>
  <c r="AC21" i="39"/>
  <c r="E11" i="38" s="1"/>
  <c r="AC16" i="39"/>
  <c r="E6" i="38" s="1"/>
  <c r="AC44" i="39"/>
  <c r="E34" i="38" s="1"/>
  <c r="AC67" i="39"/>
  <c r="E57" i="38" s="1"/>
  <c r="AM58" i="39"/>
  <c r="AL62" i="39"/>
  <c r="AC24" i="39"/>
  <c r="E14" i="38" s="1"/>
  <c r="AC60" i="39"/>
  <c r="E50" i="38" s="1"/>
  <c r="AC78" i="11"/>
  <c r="AC68" i="11"/>
  <c r="AC52" i="11"/>
  <c r="AC49" i="11"/>
  <c r="AC66" i="39"/>
  <c r="E56" i="38" s="1"/>
  <c r="AM14" i="39"/>
  <c r="AL56" i="39"/>
  <c r="AC78" i="39"/>
  <c r="E68" i="38" s="1"/>
  <c r="AC68" i="39"/>
  <c r="E58" i="38" s="1"/>
  <c r="AC35" i="39"/>
  <c r="E25" i="38" s="1"/>
  <c r="AC14" i="39"/>
  <c r="E4" i="38" s="1"/>
  <c r="N4" i="38" s="1"/>
  <c r="AC59" i="39"/>
  <c r="E49" i="38" s="1"/>
  <c r="AC64" i="39"/>
  <c r="E54" i="38" s="1"/>
  <c r="AC52" i="39"/>
  <c r="E42" i="38" s="1"/>
  <c r="AC49" i="39"/>
  <c r="E39" i="38" s="1"/>
  <c r="AC65" i="39"/>
  <c r="E55" i="38" s="1"/>
  <c r="B44" i="12"/>
  <c r="G44" i="12" s="1"/>
  <c r="B45" i="13" s="1"/>
  <c r="B50" i="12"/>
  <c r="G50" i="12" s="1"/>
  <c r="B51" i="13" s="1"/>
  <c r="B69" i="12"/>
  <c r="G69" i="12" s="1"/>
  <c r="B70" i="13" s="1"/>
  <c r="B65" i="12"/>
  <c r="G65" i="12" s="1"/>
  <c r="B66" i="13" s="1"/>
  <c r="B42" i="12"/>
  <c r="G42" i="12" s="1"/>
  <c r="B43" i="13" s="1"/>
  <c r="B58" i="12"/>
  <c r="G58" i="12" s="1"/>
  <c r="B59" i="13" s="1"/>
  <c r="B39" i="12"/>
  <c r="G39" i="12" s="1"/>
  <c r="B40" i="13" s="1"/>
  <c r="B71" i="12"/>
  <c r="G71" i="12" s="1"/>
  <c r="B72" i="13" s="1"/>
  <c r="B38" i="12"/>
  <c r="G38" i="12" s="1"/>
  <c r="B39" i="13" s="1"/>
  <c r="B68" i="12"/>
  <c r="G68" i="12" s="1"/>
  <c r="B69" i="13" s="1"/>
  <c r="B66" i="12"/>
  <c r="G66" i="12" s="1"/>
  <c r="B67" i="13" s="1"/>
  <c r="B21" i="12"/>
  <c r="G21" i="12" s="1"/>
  <c r="B22" i="13" s="1"/>
  <c r="B40" i="12"/>
  <c r="G40" i="12" s="1"/>
  <c r="B41" i="13" s="1"/>
  <c r="B43" i="12"/>
  <c r="G43" i="12" s="1"/>
  <c r="B44" i="13" s="1"/>
  <c r="B70" i="12"/>
  <c r="G70" i="12" s="1"/>
  <c r="B71" i="13" s="1"/>
  <c r="B67" i="12"/>
  <c r="G67" i="12" s="1"/>
  <c r="B68" i="13" s="1"/>
  <c r="Z67" i="11"/>
  <c r="N45" i="11"/>
  <c r="L35" i="12" s="1"/>
  <c r="N26" i="11"/>
  <c r="H41" i="38" l="1"/>
  <c r="Q41" i="38" s="1"/>
  <c r="H17" i="38"/>
  <c r="Q17" i="38" s="1"/>
  <c r="Q2676" i="34"/>
  <c r="H9" i="34"/>
  <c r="Q2693" i="34"/>
  <c r="H26" i="34"/>
  <c r="H71" i="38"/>
  <c r="Q71" i="38" s="1"/>
  <c r="F51" i="33"/>
  <c r="L2916" i="34"/>
  <c r="H69" i="38"/>
  <c r="Q69" i="38" s="1"/>
  <c r="H16" i="38"/>
  <c r="Q16" i="38" s="1"/>
  <c r="H32" i="38"/>
  <c r="Q32" i="38" s="1"/>
  <c r="H43" i="38"/>
  <c r="Q43" i="38" s="1"/>
  <c r="H6" i="38"/>
  <c r="Q6" i="38" s="1"/>
  <c r="N6" i="38"/>
  <c r="H65" i="38"/>
  <c r="Q65" i="38" s="1"/>
  <c r="N65" i="38"/>
  <c r="H55" i="38"/>
  <c r="Q55" i="38" s="1"/>
  <c r="N55" i="38"/>
  <c r="H68" i="38"/>
  <c r="Q68" i="38" s="1"/>
  <c r="N68" i="38"/>
  <c r="H50" i="38"/>
  <c r="Q50" i="38" s="1"/>
  <c r="N50" i="38"/>
  <c r="H11" i="38"/>
  <c r="Q11" i="38" s="1"/>
  <c r="N11" i="38"/>
  <c r="H67" i="38"/>
  <c r="Q67" i="38" s="1"/>
  <c r="H44" i="38"/>
  <c r="Q44" i="38" s="1"/>
  <c r="N44" i="38"/>
  <c r="H40" i="38"/>
  <c r="Q40" i="38" s="1"/>
  <c r="N40" i="38"/>
  <c r="H58" i="38"/>
  <c r="Q58" i="38" s="1"/>
  <c r="N58" i="38"/>
  <c r="H39" i="38"/>
  <c r="Q39" i="38" s="1"/>
  <c r="N39" i="38"/>
  <c r="H35" i="38"/>
  <c r="Q35" i="38" s="1"/>
  <c r="N35" i="38"/>
  <c r="H42" i="38"/>
  <c r="Q42" i="38" s="1"/>
  <c r="N42" i="38"/>
  <c r="H8" i="38"/>
  <c r="Q8" i="38" s="1"/>
  <c r="N8" i="38"/>
  <c r="H7" i="38"/>
  <c r="Q7" i="38" s="1"/>
  <c r="N7" i="38"/>
  <c r="H54" i="38"/>
  <c r="Q54" i="38" s="1"/>
  <c r="N54" i="38"/>
  <c r="H56" i="38"/>
  <c r="Q56" i="38" s="1"/>
  <c r="N56" i="38"/>
  <c r="H20" i="38"/>
  <c r="Q20" i="38" s="1"/>
  <c r="N20" i="38"/>
  <c r="H29" i="38"/>
  <c r="Q29" i="38" s="1"/>
  <c r="N29" i="38"/>
  <c r="H49" i="38"/>
  <c r="Q49" i="38" s="1"/>
  <c r="N49" i="38"/>
  <c r="H12" i="38"/>
  <c r="Q12" i="38" s="1"/>
  <c r="N12" i="38"/>
  <c r="H38" i="38"/>
  <c r="Q38" i="38" s="1"/>
  <c r="N38" i="38"/>
  <c r="H70" i="38"/>
  <c r="Q70" i="38" s="1"/>
  <c r="N70" i="38"/>
  <c r="H66" i="38"/>
  <c r="Q66" i="38" s="1"/>
  <c r="N66" i="38"/>
  <c r="H5" i="38"/>
  <c r="Q5" i="38" s="1"/>
  <c r="N5" i="38"/>
  <c r="H14" i="38"/>
  <c r="Q14" i="38" s="1"/>
  <c r="N14" i="38"/>
  <c r="H57" i="38"/>
  <c r="Q57" i="38" s="1"/>
  <c r="N57" i="38"/>
  <c r="H28" i="38"/>
  <c r="Q28" i="38" s="1"/>
  <c r="N28" i="38"/>
  <c r="H25" i="38"/>
  <c r="Q25" i="38" s="1"/>
  <c r="N25" i="38"/>
  <c r="H34" i="38"/>
  <c r="Q34" i="38" s="1"/>
  <c r="N34" i="38"/>
  <c r="H21" i="38"/>
  <c r="Q21" i="38" s="1"/>
  <c r="N21" i="38"/>
  <c r="G48" i="38"/>
  <c r="P48" i="38" s="1"/>
  <c r="AM62" i="39"/>
  <c r="G4" i="38"/>
  <c r="AM56" i="39"/>
  <c r="O45" i="11"/>
  <c r="B57" i="12"/>
  <c r="O26" i="11"/>
  <c r="L16" i="12"/>
  <c r="Q2694" i="34" l="1"/>
  <c r="H27" i="34"/>
  <c r="Q2677" i="34"/>
  <c r="H10" i="34"/>
  <c r="F52" i="33"/>
  <c r="L2978" i="34"/>
  <c r="H4" i="38"/>
  <c r="Q4" i="38" s="1"/>
  <c r="P4" i="38"/>
  <c r="AC45" i="11"/>
  <c r="M35" i="12"/>
  <c r="AL45" i="11"/>
  <c r="M16" i="12"/>
  <c r="AC26" i="11"/>
  <c r="AL26" i="11"/>
  <c r="F56" i="14"/>
  <c r="F55" i="14"/>
  <c r="F54" i="14"/>
  <c r="L3040" i="34" l="1"/>
  <c r="D15" i="33"/>
  <c r="D13" i="33"/>
  <c r="D7" i="33"/>
  <c r="G1" i="30" s="1"/>
  <c r="D11" i="33"/>
  <c r="C4" i="5" s="1"/>
  <c r="C6" i="4" s="1"/>
  <c r="C6" i="19" s="1"/>
  <c r="E11" i="33"/>
  <c r="C5" i="5" s="1"/>
  <c r="D3" i="33"/>
  <c r="Q2678" i="34"/>
  <c r="H11" i="34"/>
  <c r="Q2695" i="34"/>
  <c r="H28" i="34"/>
  <c r="J17" i="41"/>
  <c r="L17" i="41"/>
  <c r="H17" i="41"/>
  <c r="F17" i="41"/>
  <c r="N17" i="41"/>
  <c r="S59" i="11"/>
  <c r="R59" i="11"/>
  <c r="AG59" i="11" s="1"/>
  <c r="L59" i="11"/>
  <c r="K59" i="11"/>
  <c r="C59" i="11"/>
  <c r="G50" i="13"/>
  <c r="A50" i="13"/>
  <c r="A49" i="12"/>
  <c r="S16" i="11"/>
  <c r="R16" i="11"/>
  <c r="AG16" i="11" s="1"/>
  <c r="Q16" i="11"/>
  <c r="AD16" i="11" s="1"/>
  <c r="P16" i="11"/>
  <c r="L16" i="11"/>
  <c r="K16" i="11"/>
  <c r="C16" i="11"/>
  <c r="H7" i="13"/>
  <c r="G7" i="13"/>
  <c r="A7" i="13"/>
  <c r="A6" i="12"/>
  <c r="H9" i="13"/>
  <c r="G9" i="13"/>
  <c r="A9" i="13"/>
  <c r="A8" i="12"/>
  <c r="S18" i="11"/>
  <c r="R18" i="11"/>
  <c r="AG18" i="11" s="1"/>
  <c r="Q18" i="11"/>
  <c r="AD18" i="11" s="1"/>
  <c r="P18" i="11"/>
  <c r="L18" i="11"/>
  <c r="K18" i="11"/>
  <c r="C18" i="11"/>
  <c r="B18" i="33" l="1"/>
  <c r="A1" i="4"/>
  <c r="A1" i="19" s="1"/>
  <c r="Q2696" i="34"/>
  <c r="H29" i="34"/>
  <c r="Q2679" i="34"/>
  <c r="H12" i="34"/>
  <c r="A1" i="14"/>
  <c r="A1" i="16"/>
  <c r="A2" i="35"/>
  <c r="A2" i="30"/>
  <c r="A1" i="13"/>
  <c r="A1" i="18"/>
  <c r="N59" i="11"/>
  <c r="O59" i="11" s="1"/>
  <c r="N16" i="11"/>
  <c r="N18" i="11"/>
  <c r="Q2680" i="34" l="1"/>
  <c r="H13" i="34"/>
  <c r="Q2697" i="34"/>
  <c r="H30" i="34"/>
  <c r="O18" i="11"/>
  <c r="L8" i="12"/>
  <c r="O16" i="11"/>
  <c r="L6" i="12"/>
  <c r="AL59" i="11"/>
  <c r="Q2698" i="34" l="1"/>
  <c r="H31" i="34"/>
  <c r="Q2681" i="34"/>
  <c r="H14" i="34"/>
  <c r="M6" i="12"/>
  <c r="M8" i="12"/>
  <c r="AC16" i="11"/>
  <c r="AL18" i="11"/>
  <c r="AC18" i="11"/>
  <c r="AL16" i="11"/>
  <c r="Q2682" i="34" l="1"/>
  <c r="H15" i="34"/>
  <c r="Q2699" i="34"/>
  <c r="H32" i="34"/>
  <c r="F9" i="41"/>
  <c r="L9" i="41"/>
  <c r="J9" i="41"/>
  <c r="H9" i="41"/>
  <c r="N9" i="41"/>
  <c r="H7" i="41"/>
  <c r="L7" i="41"/>
  <c r="J7" i="41"/>
  <c r="N7" i="41"/>
  <c r="F7" i="41"/>
  <c r="L58" i="11"/>
  <c r="E64" i="13"/>
  <c r="D64" i="13"/>
  <c r="E63" i="13"/>
  <c r="D63" i="13"/>
  <c r="E62" i="13"/>
  <c r="D62" i="13"/>
  <c r="E61" i="13"/>
  <c r="D61" i="13"/>
  <c r="H60" i="13"/>
  <c r="Q2704" i="34" l="1"/>
  <c r="H33" i="34"/>
  <c r="Q2683" i="34"/>
  <c r="H16" i="34"/>
  <c r="H8" i="13"/>
  <c r="G8" i="13"/>
  <c r="A8" i="13"/>
  <c r="A7" i="12"/>
  <c r="C17" i="11"/>
  <c r="S17" i="11"/>
  <c r="R17" i="11"/>
  <c r="AG17" i="11" s="1"/>
  <c r="Q17" i="11"/>
  <c r="AD17" i="11" s="1"/>
  <c r="P17" i="11"/>
  <c r="L17" i="11"/>
  <c r="K17" i="11"/>
  <c r="Q2684" i="34" l="1"/>
  <c r="H17" i="34"/>
  <c r="Q2705" i="34"/>
  <c r="H38" i="34"/>
  <c r="N17" i="11"/>
  <c r="Q2710" i="34" l="1"/>
  <c r="H39" i="34"/>
  <c r="Q2685" i="34"/>
  <c r="H19" i="34" s="1"/>
  <c r="H18" i="34"/>
  <c r="O17" i="11"/>
  <c r="L7" i="12"/>
  <c r="Q2711" i="34" l="1"/>
  <c r="H44" i="34"/>
  <c r="M7" i="12"/>
  <c r="AL17" i="11"/>
  <c r="AC17" i="11"/>
  <c r="C24" i="11"/>
  <c r="H15" i="13"/>
  <c r="G15" i="13"/>
  <c r="A15" i="13"/>
  <c r="A14" i="12"/>
  <c r="S24" i="11"/>
  <c r="R24" i="11"/>
  <c r="AG24" i="11" s="1"/>
  <c r="Q24" i="11"/>
  <c r="AD24" i="11" s="1"/>
  <c r="P24" i="11"/>
  <c r="L24" i="11"/>
  <c r="K24" i="11"/>
  <c r="Q2712" i="34" l="1"/>
  <c r="H45" i="34"/>
  <c r="F8" i="41"/>
  <c r="H8" i="41"/>
  <c r="N8" i="41"/>
  <c r="L8" i="41"/>
  <c r="J8" i="41"/>
  <c r="N24" i="11"/>
  <c r="L14" i="12" s="1"/>
  <c r="A57" i="19"/>
  <c r="A58" i="19"/>
  <c r="Q2713" i="34" l="1"/>
  <c r="H46" i="34"/>
  <c r="O24" i="11"/>
  <c r="M14" i="12" s="1"/>
  <c r="A31" i="15"/>
  <c r="A64" i="12"/>
  <c r="A63" i="12"/>
  <c r="A62" i="12"/>
  <c r="A61" i="12"/>
  <c r="A60" i="12"/>
  <c r="A59" i="12"/>
  <c r="A56" i="12"/>
  <c r="A55" i="12"/>
  <c r="A54" i="12"/>
  <c r="A48" i="12"/>
  <c r="A41" i="12"/>
  <c r="A37" i="12"/>
  <c r="A36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0" i="12"/>
  <c r="A18" i="12"/>
  <c r="A15" i="12"/>
  <c r="A13" i="12"/>
  <c r="A12" i="12"/>
  <c r="A11" i="12"/>
  <c r="A10" i="12"/>
  <c r="A9" i="12"/>
  <c r="A5" i="12"/>
  <c r="A4" i="12"/>
  <c r="C38" i="11"/>
  <c r="H29" i="13"/>
  <c r="G29" i="13"/>
  <c r="A29" i="13"/>
  <c r="S38" i="11"/>
  <c r="R38" i="11"/>
  <c r="AG38" i="11" s="1"/>
  <c r="Q38" i="11"/>
  <c r="AD38" i="11" s="1"/>
  <c r="P38" i="11"/>
  <c r="L38" i="11"/>
  <c r="K38" i="11"/>
  <c r="H65" i="13"/>
  <c r="Q2714" i="34" l="1"/>
  <c r="H47" i="34"/>
  <c r="AL24" i="11"/>
  <c r="AC24" i="11"/>
  <c r="N38" i="11"/>
  <c r="H13" i="13"/>
  <c r="G13" i="13"/>
  <c r="A13" i="13"/>
  <c r="C22" i="11"/>
  <c r="S22" i="11"/>
  <c r="R22" i="11"/>
  <c r="AG22" i="11" s="1"/>
  <c r="Q22" i="11"/>
  <c r="AD22" i="11" s="1"/>
  <c r="P22" i="11"/>
  <c r="L22" i="11"/>
  <c r="K22" i="11"/>
  <c r="Q2715" i="34" l="1"/>
  <c r="H48" i="34"/>
  <c r="J15" i="41"/>
  <c r="H15" i="41"/>
  <c r="N15" i="41"/>
  <c r="F15" i="41"/>
  <c r="L15" i="41"/>
  <c r="O38" i="11"/>
  <c r="L28" i="12"/>
  <c r="N22" i="11"/>
  <c r="Q2716" i="34" l="1"/>
  <c r="H49" i="34"/>
  <c r="M28" i="12"/>
  <c r="AL38" i="11"/>
  <c r="AC38" i="11"/>
  <c r="O22" i="11"/>
  <c r="L12" i="12"/>
  <c r="C15" i="11"/>
  <c r="H6" i="13"/>
  <c r="G6" i="13"/>
  <c r="A6" i="13"/>
  <c r="S15" i="11"/>
  <c r="R15" i="11"/>
  <c r="AG15" i="11" s="1"/>
  <c r="Q15" i="11"/>
  <c r="AD15" i="11" s="1"/>
  <c r="P15" i="11"/>
  <c r="L15" i="11"/>
  <c r="K15" i="11"/>
  <c r="Q2721" i="34" l="1"/>
  <c r="H50" i="34"/>
  <c r="H29" i="41"/>
  <c r="N29" i="41"/>
  <c r="J29" i="41"/>
  <c r="L29" i="41"/>
  <c r="F29" i="41"/>
  <c r="M12" i="12"/>
  <c r="AC22" i="11"/>
  <c r="AL22" i="11"/>
  <c r="N15" i="11"/>
  <c r="Q2722" i="34" l="1"/>
  <c r="H55" i="34"/>
  <c r="L13" i="41"/>
  <c r="N13" i="41"/>
  <c r="H13" i="41"/>
  <c r="F13" i="41"/>
  <c r="J13" i="41"/>
  <c r="O15" i="11"/>
  <c r="L5" i="12"/>
  <c r="Q2723" i="34" l="1"/>
  <c r="H56" i="34"/>
  <c r="M5" i="12"/>
  <c r="AL15" i="11"/>
  <c r="AC15" i="11"/>
  <c r="A41" i="19"/>
  <c r="A40" i="19"/>
  <c r="A39" i="19"/>
  <c r="Q2724" i="34" l="1"/>
  <c r="H57" i="34"/>
  <c r="H6" i="41"/>
  <c r="N6" i="41"/>
  <c r="F6" i="41"/>
  <c r="J6" i="41"/>
  <c r="L6" i="41"/>
  <c r="A31" i="19"/>
  <c r="A7" i="15"/>
  <c r="B5" i="15"/>
  <c r="G5" i="15" s="1"/>
  <c r="B4" i="15"/>
  <c r="G4" i="15" s="1"/>
  <c r="H26" i="13"/>
  <c r="H25" i="13"/>
  <c r="H24" i="13"/>
  <c r="H23" i="13"/>
  <c r="H21" i="13"/>
  <c r="H19" i="13"/>
  <c r="G52" i="14"/>
  <c r="F52" i="14"/>
  <c r="E52" i="14"/>
  <c r="D52" i="14"/>
  <c r="C52" i="14"/>
  <c r="B52" i="14"/>
  <c r="A52" i="14"/>
  <c r="G41" i="14"/>
  <c r="F41" i="14"/>
  <c r="E41" i="14"/>
  <c r="D41" i="14"/>
  <c r="C41" i="14"/>
  <c r="B41" i="14"/>
  <c r="A41" i="14"/>
  <c r="G35" i="14"/>
  <c r="F35" i="14"/>
  <c r="E35" i="14"/>
  <c r="D35" i="14"/>
  <c r="C35" i="14"/>
  <c r="B35" i="14"/>
  <c r="A35" i="14"/>
  <c r="G21" i="14"/>
  <c r="F21" i="14"/>
  <c r="E21" i="14"/>
  <c r="D21" i="14"/>
  <c r="C21" i="14"/>
  <c r="B21" i="14"/>
  <c r="A21" i="14"/>
  <c r="G3" i="14"/>
  <c r="F3" i="14"/>
  <c r="E3" i="14"/>
  <c r="D3" i="14"/>
  <c r="C3" i="14"/>
  <c r="B3" i="14"/>
  <c r="A3" i="14"/>
  <c r="A2" i="14"/>
  <c r="A20" i="14"/>
  <c r="A53" i="14"/>
  <c r="A44" i="14"/>
  <c r="A43" i="14"/>
  <c r="A42" i="14"/>
  <c r="A37" i="14"/>
  <c r="A36" i="14"/>
  <c r="A31" i="14"/>
  <c r="A28" i="14"/>
  <c r="A27" i="14"/>
  <c r="A26" i="14"/>
  <c r="A25" i="14"/>
  <c r="A24" i="14"/>
  <c r="A23" i="14"/>
  <c r="A22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F53" i="14"/>
  <c r="E53" i="14"/>
  <c r="D53" i="14"/>
  <c r="E44" i="14"/>
  <c r="D44" i="14"/>
  <c r="F43" i="14"/>
  <c r="E43" i="14"/>
  <c r="D43" i="14"/>
  <c r="F42" i="14"/>
  <c r="E42" i="14"/>
  <c r="D42" i="14"/>
  <c r="E37" i="14"/>
  <c r="E36" i="14"/>
  <c r="D37" i="14"/>
  <c r="D36" i="14"/>
  <c r="E31" i="14"/>
  <c r="D31" i="14"/>
  <c r="E28" i="14"/>
  <c r="D28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F9" i="14"/>
  <c r="E9" i="14"/>
  <c r="D9" i="14"/>
  <c r="F8" i="14"/>
  <c r="E8" i="14"/>
  <c r="D8" i="14"/>
  <c r="F7" i="14"/>
  <c r="E7" i="14"/>
  <c r="D7" i="14"/>
  <c r="E6" i="14"/>
  <c r="D6" i="14"/>
  <c r="E5" i="14"/>
  <c r="D5" i="14"/>
  <c r="C53" i="14"/>
  <c r="C44" i="14"/>
  <c r="C43" i="14"/>
  <c r="C42" i="14"/>
  <c r="C37" i="14"/>
  <c r="C36" i="14"/>
  <c r="C31" i="14"/>
  <c r="C28" i="14"/>
  <c r="C27" i="14"/>
  <c r="C26" i="14"/>
  <c r="C25" i="14"/>
  <c r="C24" i="14"/>
  <c r="C23" i="14"/>
  <c r="C22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G53" i="14"/>
  <c r="G44" i="14"/>
  <c r="G43" i="14"/>
  <c r="G42" i="14"/>
  <c r="G37" i="14"/>
  <c r="G36" i="14"/>
  <c r="G31" i="14"/>
  <c r="G28" i="14"/>
  <c r="G27" i="14"/>
  <c r="G26" i="14"/>
  <c r="G25" i="14"/>
  <c r="G24" i="14"/>
  <c r="G23" i="14"/>
  <c r="G22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B53" i="14"/>
  <c r="B44" i="14"/>
  <c r="B43" i="14"/>
  <c r="B42" i="14"/>
  <c r="B37" i="14"/>
  <c r="B36" i="14"/>
  <c r="B31" i="14"/>
  <c r="B28" i="14"/>
  <c r="B27" i="14"/>
  <c r="B26" i="14"/>
  <c r="B25" i="14"/>
  <c r="B24" i="14"/>
  <c r="B23" i="14"/>
  <c r="B22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G4" i="14"/>
  <c r="E4" i="14"/>
  <c r="D4" i="14"/>
  <c r="C4" i="14"/>
  <c r="H5" i="13"/>
  <c r="H64" i="13"/>
  <c r="H63" i="13"/>
  <c r="H62" i="13"/>
  <c r="H61" i="13"/>
  <c r="H57" i="13"/>
  <c r="H56" i="13"/>
  <c r="H55" i="13"/>
  <c r="H49" i="13"/>
  <c r="H42" i="13"/>
  <c r="H33" i="13"/>
  <c r="H31" i="13"/>
  <c r="H30" i="13"/>
  <c r="H28" i="13"/>
  <c r="H27" i="13"/>
  <c r="H14" i="13"/>
  <c r="H12" i="13"/>
  <c r="H11" i="13"/>
  <c r="H10" i="13"/>
  <c r="A65" i="13"/>
  <c r="A64" i="13"/>
  <c r="A63" i="13"/>
  <c r="A62" i="13"/>
  <c r="A61" i="13"/>
  <c r="A60" i="13"/>
  <c r="A57" i="13"/>
  <c r="A56" i="13"/>
  <c r="A55" i="13"/>
  <c r="A49" i="13"/>
  <c r="A42" i="13"/>
  <c r="A38" i="13"/>
  <c r="A37" i="13"/>
  <c r="A35" i="13"/>
  <c r="A34" i="13"/>
  <c r="A33" i="13"/>
  <c r="A32" i="13"/>
  <c r="A31" i="13"/>
  <c r="A30" i="13"/>
  <c r="A28" i="13"/>
  <c r="A27" i="13"/>
  <c r="A26" i="13"/>
  <c r="A25" i="13"/>
  <c r="A24" i="13"/>
  <c r="A23" i="13"/>
  <c r="A21" i="13"/>
  <c r="A19" i="13"/>
  <c r="A16" i="13"/>
  <c r="A14" i="13"/>
  <c r="A12" i="13"/>
  <c r="A11" i="13"/>
  <c r="A10" i="13"/>
  <c r="A5" i="13"/>
  <c r="G65" i="13"/>
  <c r="G64" i="13"/>
  <c r="G63" i="13"/>
  <c r="G62" i="13"/>
  <c r="G61" i="13"/>
  <c r="G60" i="13"/>
  <c r="G57" i="13"/>
  <c r="G56" i="13"/>
  <c r="G55" i="13"/>
  <c r="G49" i="13"/>
  <c r="G42" i="13"/>
  <c r="G35" i="13"/>
  <c r="G34" i="13"/>
  <c r="G33" i="13"/>
  <c r="G32" i="13"/>
  <c r="G31" i="13"/>
  <c r="G30" i="13"/>
  <c r="G28" i="13"/>
  <c r="G27" i="13"/>
  <c r="G26" i="13"/>
  <c r="G25" i="13"/>
  <c r="G24" i="13"/>
  <c r="G23" i="13"/>
  <c r="G21" i="13"/>
  <c r="G19" i="13"/>
  <c r="G16" i="13"/>
  <c r="G14" i="13"/>
  <c r="G12" i="13"/>
  <c r="G11" i="13"/>
  <c r="G10" i="13"/>
  <c r="G5" i="13"/>
  <c r="F54" i="13"/>
  <c r="E54" i="13"/>
  <c r="D54" i="13"/>
  <c r="C54" i="13"/>
  <c r="F53" i="13"/>
  <c r="E53" i="13"/>
  <c r="D53" i="13"/>
  <c r="C53" i="13"/>
  <c r="F48" i="13"/>
  <c r="E48" i="13"/>
  <c r="D48" i="13"/>
  <c r="C48" i="13"/>
  <c r="F47" i="13"/>
  <c r="E47" i="13"/>
  <c r="D47" i="13"/>
  <c r="C47" i="13"/>
  <c r="B54" i="13"/>
  <c r="B53" i="13"/>
  <c r="B48" i="13"/>
  <c r="B47" i="13"/>
  <c r="F4" i="13"/>
  <c r="E4" i="13"/>
  <c r="C4" i="13"/>
  <c r="B4" i="13"/>
  <c r="B3" i="13"/>
  <c r="F58" i="14"/>
  <c r="F47" i="14"/>
  <c r="F46" i="14"/>
  <c r="F44" i="14"/>
  <c r="F28" i="14"/>
  <c r="F27" i="14"/>
  <c r="F15" i="14"/>
  <c r="F14" i="14"/>
  <c r="F13" i="14"/>
  <c r="F12" i="14"/>
  <c r="F11" i="14"/>
  <c r="F10" i="14"/>
  <c r="D63" i="12"/>
  <c r="I63" i="12" s="1"/>
  <c r="D62" i="12"/>
  <c r="I62" i="12" s="1"/>
  <c r="D61" i="12"/>
  <c r="I61" i="12" s="1"/>
  <c r="D60" i="12"/>
  <c r="I60" i="12" s="1"/>
  <c r="F59" i="14"/>
  <c r="F16" i="14"/>
  <c r="L64" i="11"/>
  <c r="L51" i="11"/>
  <c r="L44" i="11"/>
  <c r="L43" i="11"/>
  <c r="L42" i="11"/>
  <c r="L41" i="11"/>
  <c r="L40" i="11"/>
  <c r="L39" i="11"/>
  <c r="L37" i="11"/>
  <c r="L36" i="11"/>
  <c r="L35" i="11"/>
  <c r="L34" i="11"/>
  <c r="L33" i="11"/>
  <c r="L32" i="11"/>
  <c r="L30" i="11"/>
  <c r="L28" i="11"/>
  <c r="L25" i="11"/>
  <c r="L23" i="11"/>
  <c r="L21" i="11"/>
  <c r="L20" i="11"/>
  <c r="L19" i="11"/>
  <c r="L14" i="11"/>
  <c r="L72" i="11"/>
  <c r="L71" i="11"/>
  <c r="L70" i="11"/>
  <c r="L66" i="11"/>
  <c r="L65" i="11"/>
  <c r="Q2725" i="34" l="1"/>
  <c r="H58" i="34"/>
  <c r="F68" i="5"/>
  <c r="F57" i="5"/>
  <c r="F48" i="14"/>
  <c r="A17" i="19"/>
  <c r="C4" i="19"/>
  <c r="A16" i="19"/>
  <c r="A59" i="5"/>
  <c r="A15" i="19"/>
  <c r="C47" i="11"/>
  <c r="Q2726" i="34" l="1"/>
  <c r="H59" i="34"/>
  <c r="F43" i="16"/>
  <c r="F34" i="16"/>
  <c r="A51" i="14"/>
  <c r="A36" i="16"/>
  <c r="A40" i="14"/>
  <c r="A29" i="16"/>
  <c r="A34" i="14"/>
  <c r="A24" i="16"/>
  <c r="F49" i="14"/>
  <c r="E17" i="4"/>
  <c r="F60" i="14"/>
  <c r="E18" i="4"/>
  <c r="F3" i="19"/>
  <c r="Q2727" i="34" l="1"/>
  <c r="H61" i="34" s="1"/>
  <c r="H60" i="34"/>
  <c r="B6" i="15"/>
  <c r="AI11" i="11"/>
  <c r="AJ11" i="11"/>
  <c r="C14" i="11"/>
  <c r="K14" i="11"/>
  <c r="N14" i="11" s="1"/>
  <c r="P14" i="11"/>
  <c r="Q14" i="11"/>
  <c r="AD14" i="11" s="1"/>
  <c r="R14" i="11"/>
  <c r="AG14" i="11" s="1"/>
  <c r="S14" i="11"/>
  <c r="C19" i="11"/>
  <c r="K19" i="11"/>
  <c r="N19" i="11" s="1"/>
  <c r="P19" i="11"/>
  <c r="Q19" i="11"/>
  <c r="AD19" i="11" s="1"/>
  <c r="R19" i="11"/>
  <c r="AG19" i="11" s="1"/>
  <c r="S19" i="11"/>
  <c r="C20" i="11"/>
  <c r="K20" i="11"/>
  <c r="N20" i="11" s="1"/>
  <c r="P20" i="11"/>
  <c r="Q20" i="11"/>
  <c r="AD20" i="11" s="1"/>
  <c r="R20" i="11"/>
  <c r="AG20" i="11" s="1"/>
  <c r="S20" i="11"/>
  <c r="C21" i="11"/>
  <c r="K21" i="11"/>
  <c r="N21" i="11" s="1"/>
  <c r="P21" i="11"/>
  <c r="Q21" i="11"/>
  <c r="AD21" i="11" s="1"/>
  <c r="R21" i="11"/>
  <c r="AG21" i="11" s="1"/>
  <c r="S21" i="11"/>
  <c r="C23" i="11"/>
  <c r="K23" i="11"/>
  <c r="N23" i="11" s="1"/>
  <c r="P23" i="11"/>
  <c r="Q23" i="11"/>
  <c r="AD23" i="11" s="1"/>
  <c r="R23" i="11"/>
  <c r="AG23" i="11" s="1"/>
  <c r="S23" i="11"/>
  <c r="C25" i="11"/>
  <c r="K25" i="11"/>
  <c r="N25" i="11" s="1"/>
  <c r="P25" i="11"/>
  <c r="Q25" i="11"/>
  <c r="AD25" i="11" s="1"/>
  <c r="R25" i="11"/>
  <c r="AG25" i="11" s="1"/>
  <c r="S25" i="11"/>
  <c r="C28" i="11"/>
  <c r="K28" i="11"/>
  <c r="N28" i="11" s="1"/>
  <c r="P28" i="11"/>
  <c r="Q28" i="11"/>
  <c r="AD28" i="11" s="1"/>
  <c r="R28" i="11"/>
  <c r="AG28" i="11" s="1"/>
  <c r="S28" i="11"/>
  <c r="C30" i="11"/>
  <c r="K30" i="11"/>
  <c r="N30" i="11" s="1"/>
  <c r="P30" i="11"/>
  <c r="Q30" i="11"/>
  <c r="AD30" i="11" s="1"/>
  <c r="R30" i="11"/>
  <c r="AG30" i="11" s="1"/>
  <c r="S30" i="11"/>
  <c r="C32" i="11"/>
  <c r="K32" i="11"/>
  <c r="N32" i="11" s="1"/>
  <c r="P32" i="11"/>
  <c r="Q32" i="11"/>
  <c r="AD32" i="11" s="1"/>
  <c r="R32" i="11"/>
  <c r="AG32" i="11" s="1"/>
  <c r="S32" i="11"/>
  <c r="C33" i="11"/>
  <c r="K33" i="11"/>
  <c r="N33" i="11" s="1"/>
  <c r="P33" i="11"/>
  <c r="Q33" i="11"/>
  <c r="AD33" i="11" s="1"/>
  <c r="R33" i="11"/>
  <c r="AG33" i="11" s="1"/>
  <c r="S33" i="11"/>
  <c r="C34" i="11"/>
  <c r="K34" i="11"/>
  <c r="N34" i="11" s="1"/>
  <c r="P34" i="11"/>
  <c r="Q34" i="11"/>
  <c r="AD34" i="11" s="1"/>
  <c r="R34" i="11"/>
  <c r="AG34" i="11" s="1"/>
  <c r="S34" i="11"/>
  <c r="C35" i="11"/>
  <c r="K35" i="11"/>
  <c r="N35" i="11" s="1"/>
  <c r="P35" i="11"/>
  <c r="Q35" i="11"/>
  <c r="AD35" i="11" s="1"/>
  <c r="R35" i="11"/>
  <c r="AG35" i="11" s="1"/>
  <c r="S35" i="11"/>
  <c r="C36" i="11"/>
  <c r="K36" i="11"/>
  <c r="N36" i="11" s="1"/>
  <c r="P36" i="11"/>
  <c r="Q36" i="11"/>
  <c r="AD36" i="11" s="1"/>
  <c r="R36" i="11"/>
  <c r="AG36" i="11" s="1"/>
  <c r="S36" i="11"/>
  <c r="C37" i="11"/>
  <c r="K37" i="11"/>
  <c r="N37" i="11" s="1"/>
  <c r="P37" i="11"/>
  <c r="Q37" i="11"/>
  <c r="AD37" i="11" s="1"/>
  <c r="R37" i="11"/>
  <c r="AG37" i="11" s="1"/>
  <c r="S37" i="11"/>
  <c r="C39" i="11"/>
  <c r="K39" i="11"/>
  <c r="N39" i="11" s="1"/>
  <c r="P39" i="11"/>
  <c r="Q39" i="11"/>
  <c r="AD39" i="11" s="1"/>
  <c r="R39" i="11"/>
  <c r="AG39" i="11" s="1"/>
  <c r="S39" i="11"/>
  <c r="C40" i="11"/>
  <c r="K40" i="11"/>
  <c r="N40" i="11" s="1"/>
  <c r="P40" i="11"/>
  <c r="Q40" i="11"/>
  <c r="AD40" i="11" s="1"/>
  <c r="R40" i="11"/>
  <c r="AG40" i="11" s="1"/>
  <c r="S40" i="11"/>
  <c r="C41" i="11"/>
  <c r="K41" i="11"/>
  <c r="P41" i="11"/>
  <c r="Q41" i="11"/>
  <c r="AD41" i="11" s="1"/>
  <c r="R41" i="11"/>
  <c r="AG41" i="11" s="1"/>
  <c r="S41" i="11"/>
  <c r="C42" i="11"/>
  <c r="K42" i="11"/>
  <c r="N42" i="11" s="1"/>
  <c r="P42" i="11"/>
  <c r="Q42" i="11"/>
  <c r="AD42" i="11" s="1"/>
  <c r="R42" i="11"/>
  <c r="AG42" i="11" s="1"/>
  <c r="S42" i="11"/>
  <c r="C43" i="11"/>
  <c r="K43" i="11"/>
  <c r="N43" i="11" s="1"/>
  <c r="P43" i="11"/>
  <c r="Q43" i="11"/>
  <c r="AD43" i="11" s="1"/>
  <c r="R43" i="11"/>
  <c r="AG43" i="11" s="1"/>
  <c r="S43" i="11"/>
  <c r="K44" i="11"/>
  <c r="N44" i="11" s="1"/>
  <c r="P44" i="11"/>
  <c r="Q44" i="11"/>
  <c r="AD44" i="11" s="1"/>
  <c r="R44" i="11"/>
  <c r="AG44" i="11" s="1"/>
  <c r="S44" i="11"/>
  <c r="C46" i="11"/>
  <c r="P46" i="11"/>
  <c r="Q46" i="11"/>
  <c r="AD46" i="11" s="1"/>
  <c r="R46" i="11"/>
  <c r="AG46" i="11" s="1"/>
  <c r="S46" i="11"/>
  <c r="O47" i="11"/>
  <c r="M37" i="12" s="1"/>
  <c r="P47" i="11"/>
  <c r="Q47" i="11"/>
  <c r="AD47" i="11" s="1"/>
  <c r="R47" i="11"/>
  <c r="AG47" i="11" s="1"/>
  <c r="S47" i="11"/>
  <c r="C51" i="11"/>
  <c r="K51" i="11"/>
  <c r="N51" i="11" s="1"/>
  <c r="P51" i="11"/>
  <c r="Q51" i="11"/>
  <c r="AD51" i="11" s="1"/>
  <c r="R51" i="11"/>
  <c r="AG51" i="11" s="1"/>
  <c r="S51" i="11"/>
  <c r="C58" i="11"/>
  <c r="K58" i="11"/>
  <c r="N58" i="11" s="1"/>
  <c r="R58" i="11"/>
  <c r="AG58" i="11" s="1"/>
  <c r="S58" i="11"/>
  <c r="C64" i="11"/>
  <c r="R64" i="11"/>
  <c r="AG64" i="11" s="1"/>
  <c r="S64" i="11"/>
  <c r="C65" i="11"/>
  <c r="P65" i="11"/>
  <c r="Q65" i="11"/>
  <c r="AD65" i="11" s="1"/>
  <c r="R65" i="11"/>
  <c r="AG65" i="11" s="1"/>
  <c r="S65" i="11"/>
  <c r="C66" i="11"/>
  <c r="P66" i="11"/>
  <c r="Q66" i="11"/>
  <c r="AD66" i="11" s="1"/>
  <c r="R66" i="11"/>
  <c r="AG66" i="11" s="1"/>
  <c r="S66" i="11"/>
  <c r="C69" i="11"/>
  <c r="K69" i="11"/>
  <c r="R69" i="11"/>
  <c r="AG69" i="11" s="1"/>
  <c r="S69" i="11"/>
  <c r="C70" i="11"/>
  <c r="K70" i="11"/>
  <c r="N70" i="11" s="1"/>
  <c r="S70" i="11"/>
  <c r="C71" i="11"/>
  <c r="K71" i="11"/>
  <c r="N71" i="11" s="1"/>
  <c r="S71" i="11"/>
  <c r="C72" i="11"/>
  <c r="K72" i="11"/>
  <c r="N72" i="11" s="1"/>
  <c r="S72" i="11"/>
  <c r="C73" i="11"/>
  <c r="K73" i="11"/>
  <c r="S73" i="11"/>
  <c r="C74" i="11"/>
  <c r="K74" i="11"/>
  <c r="P74" i="11"/>
  <c r="Q74" i="11"/>
  <c r="AD74" i="11" s="1"/>
  <c r="R74" i="11"/>
  <c r="AG74" i="11" s="1"/>
  <c r="S74" i="11"/>
  <c r="B59" i="24" l="1"/>
  <c r="B1" i="34" s="1"/>
  <c r="L34" i="12"/>
  <c r="L33" i="12"/>
  <c r="H38" i="41"/>
  <c r="J38" i="41"/>
  <c r="F38" i="41"/>
  <c r="N38" i="41"/>
  <c r="L38" i="41"/>
  <c r="O25" i="11"/>
  <c r="O72" i="11"/>
  <c r="O71" i="11"/>
  <c r="O70" i="11"/>
  <c r="AH78" i="11"/>
  <c r="AH77" i="11"/>
  <c r="AH76" i="11"/>
  <c r="AH75" i="11"/>
  <c r="AH80" i="11"/>
  <c r="AH81" i="11"/>
  <c r="AH79" i="11"/>
  <c r="AH54" i="11"/>
  <c r="AH53" i="11"/>
  <c r="AH52" i="11"/>
  <c r="AH60" i="11"/>
  <c r="AH67" i="11"/>
  <c r="AH68" i="11"/>
  <c r="N41" i="11"/>
  <c r="L31" i="12" s="1"/>
  <c r="O37" i="11"/>
  <c r="L27" i="12"/>
  <c r="O36" i="11"/>
  <c r="L26" i="12"/>
  <c r="O58" i="11"/>
  <c r="L48" i="12"/>
  <c r="O51" i="11"/>
  <c r="L41" i="12"/>
  <c r="O42" i="11"/>
  <c r="L32" i="12"/>
  <c r="O39" i="11"/>
  <c r="L29" i="12"/>
  <c r="O35" i="11"/>
  <c r="L25" i="12"/>
  <c r="O34" i="11"/>
  <c r="L24" i="12"/>
  <c r="O30" i="11"/>
  <c r="L20" i="12"/>
  <c r="O21" i="11"/>
  <c r="L11" i="12"/>
  <c r="O20" i="11"/>
  <c r="L10" i="12"/>
  <c r="O19" i="11"/>
  <c r="L9" i="12"/>
  <c r="O14" i="11"/>
  <c r="L4" i="12"/>
  <c r="O40" i="11"/>
  <c r="L30" i="12"/>
  <c r="O33" i="11"/>
  <c r="L23" i="12"/>
  <c r="O32" i="11"/>
  <c r="L22" i="12"/>
  <c r="O28" i="11"/>
  <c r="L18" i="12"/>
  <c r="O23" i="11"/>
  <c r="L13" i="12"/>
  <c r="G6" i="15"/>
  <c r="AH49" i="11"/>
  <c r="AH50" i="11"/>
  <c r="AH31" i="11"/>
  <c r="AJ31" i="11" s="1"/>
  <c r="AH48" i="11"/>
  <c r="O43" i="11"/>
  <c r="M33" i="12" s="1"/>
  <c r="O44" i="11"/>
  <c r="M34" i="12" s="1"/>
  <c r="G27" i="11"/>
  <c r="H27" i="11" s="1"/>
  <c r="I27" i="11" s="1"/>
  <c r="AR65" i="11"/>
  <c r="AS65" i="11" s="1"/>
  <c r="U65" i="11" s="1"/>
  <c r="AR47" i="11"/>
  <c r="AS47" i="11" s="1"/>
  <c r="AR45" i="11"/>
  <c r="AS45" i="11" s="1"/>
  <c r="U45" i="11" s="1"/>
  <c r="AR43" i="11"/>
  <c r="AS43" i="11" s="1"/>
  <c r="AR41" i="11"/>
  <c r="AS41" i="11" s="1"/>
  <c r="AR39" i="11"/>
  <c r="AS39" i="11" s="1"/>
  <c r="U39" i="11" s="1"/>
  <c r="AR37" i="11"/>
  <c r="AS37" i="11" s="1"/>
  <c r="AR35" i="11"/>
  <c r="AS35" i="11" s="1"/>
  <c r="U35" i="11" s="1"/>
  <c r="AR33" i="11"/>
  <c r="AS33" i="11" s="1"/>
  <c r="AR30" i="11"/>
  <c r="AS30" i="11" s="1"/>
  <c r="U30" i="11" s="1"/>
  <c r="AR28" i="11"/>
  <c r="AS28" i="11" s="1"/>
  <c r="AR26" i="11"/>
  <c r="AS26" i="11" s="1"/>
  <c r="U26" i="11" s="1"/>
  <c r="AR24" i="11"/>
  <c r="AS24" i="11" s="1"/>
  <c r="U24" i="11" s="1"/>
  <c r="AR22" i="11"/>
  <c r="AS22" i="11" s="1"/>
  <c r="U22" i="11" s="1"/>
  <c r="AR20" i="11"/>
  <c r="AS20" i="11" s="1"/>
  <c r="AR18" i="11"/>
  <c r="AS18" i="11" s="1"/>
  <c r="U18" i="11" s="1"/>
  <c r="AR16" i="11"/>
  <c r="AS16" i="11" s="1"/>
  <c r="U16" i="11" s="1"/>
  <c r="AR14" i="11"/>
  <c r="AS14" i="11" s="1"/>
  <c r="AR74" i="11"/>
  <c r="AS74" i="11" s="1"/>
  <c r="AR66" i="11"/>
  <c r="AS66" i="11" s="1"/>
  <c r="U66" i="11" s="1"/>
  <c r="AR51" i="11"/>
  <c r="AS51" i="11" s="1"/>
  <c r="U51" i="11" s="1"/>
  <c r="AR46" i="11"/>
  <c r="AS46" i="11" s="1"/>
  <c r="AR44" i="11"/>
  <c r="AS44" i="11" s="1"/>
  <c r="U44" i="11" s="1"/>
  <c r="AR42" i="11"/>
  <c r="AS42" i="11" s="1"/>
  <c r="U42" i="11" s="1"/>
  <c r="AR40" i="11"/>
  <c r="AS40" i="11" s="1"/>
  <c r="AR38" i="11"/>
  <c r="AS38" i="11" s="1"/>
  <c r="U38" i="11" s="1"/>
  <c r="AR36" i="11"/>
  <c r="AS36" i="11" s="1"/>
  <c r="AR34" i="11"/>
  <c r="AS34" i="11" s="1"/>
  <c r="AR32" i="11"/>
  <c r="AS32" i="11" s="1"/>
  <c r="AR29" i="11"/>
  <c r="AS29" i="11" s="1"/>
  <c r="AR27" i="11"/>
  <c r="AS27" i="11" s="1"/>
  <c r="U27" i="11" s="1"/>
  <c r="AR25" i="11"/>
  <c r="AS25" i="11" s="1"/>
  <c r="AR23" i="11"/>
  <c r="AS23" i="11" s="1"/>
  <c r="AR21" i="11"/>
  <c r="AS21" i="11" s="1"/>
  <c r="U21" i="11" s="1"/>
  <c r="AR19" i="11"/>
  <c r="AS19" i="11" s="1"/>
  <c r="AR17" i="11"/>
  <c r="AS17" i="11" s="1"/>
  <c r="U17" i="11" s="1"/>
  <c r="AR15" i="11"/>
  <c r="AS15" i="11" s="1"/>
  <c r="U15" i="11" s="1"/>
  <c r="AH29" i="11"/>
  <c r="AH27" i="11"/>
  <c r="AJ27" i="11" s="1"/>
  <c r="E8" i="10"/>
  <c r="F8" i="10" s="1"/>
  <c r="E6" i="10"/>
  <c r="F6" i="10" s="1"/>
  <c r="E9" i="10"/>
  <c r="F9" i="10" s="1"/>
  <c r="H9" i="10" s="1"/>
  <c r="E7" i="10"/>
  <c r="F7" i="10" s="1"/>
  <c r="E5" i="10"/>
  <c r="F5" i="10" s="1"/>
  <c r="H5" i="10" s="1"/>
  <c r="G29" i="11"/>
  <c r="H29" i="11" s="1"/>
  <c r="I29" i="11" s="1"/>
  <c r="AM45" i="11"/>
  <c r="AM26" i="11"/>
  <c r="E16" i="12" s="1"/>
  <c r="J16" i="12" s="1"/>
  <c r="E17" i="13" s="1"/>
  <c r="AM18" i="11"/>
  <c r="E8" i="12" s="1"/>
  <c r="J8" i="12" s="1"/>
  <c r="E9" i="13" s="1"/>
  <c r="AM59" i="11"/>
  <c r="E49" i="12" s="1"/>
  <c r="J49" i="12" s="1"/>
  <c r="AM16" i="11"/>
  <c r="E6" i="12" s="1"/>
  <c r="J6" i="12" s="1"/>
  <c r="E7" i="13" s="1"/>
  <c r="G45" i="11"/>
  <c r="G26" i="11"/>
  <c r="G16" i="11"/>
  <c r="G18" i="11"/>
  <c r="G59" i="11"/>
  <c r="AH26" i="11"/>
  <c r="AJ26" i="11" s="1"/>
  <c r="AH45" i="11"/>
  <c r="AJ45" i="11" s="1"/>
  <c r="AH16" i="11"/>
  <c r="AJ16" i="11" s="1"/>
  <c r="AH59" i="11"/>
  <c r="AH17" i="11"/>
  <c r="AJ17" i="11" s="1"/>
  <c r="AH18" i="11"/>
  <c r="AM17" i="11"/>
  <c r="E7" i="12" s="1"/>
  <c r="J7" i="12" s="1"/>
  <c r="E8" i="13" s="1"/>
  <c r="AM24" i="11"/>
  <c r="E14" i="12" s="1"/>
  <c r="J14" i="12" s="1"/>
  <c r="E15" i="13" s="1"/>
  <c r="AM38" i="11"/>
  <c r="AM22" i="11"/>
  <c r="E12" i="12" s="1"/>
  <c r="J12" i="12" s="1"/>
  <c r="E13" i="13" s="1"/>
  <c r="AM15" i="11"/>
  <c r="E5" i="12" s="1"/>
  <c r="J5" i="12" s="1"/>
  <c r="E6" i="13" s="1"/>
  <c r="G17" i="11"/>
  <c r="G24" i="11"/>
  <c r="G38" i="11"/>
  <c r="G22" i="11"/>
  <c r="G15" i="11"/>
  <c r="AH38" i="11"/>
  <c r="AJ38" i="11" s="1"/>
  <c r="AH24" i="11"/>
  <c r="AH15" i="11"/>
  <c r="AH22" i="11"/>
  <c r="G19" i="11"/>
  <c r="H19" i="11" s="1"/>
  <c r="I19" i="11" s="1"/>
  <c r="G23" i="11"/>
  <c r="G28" i="11"/>
  <c r="H28" i="11" s="1"/>
  <c r="I28" i="11" s="1"/>
  <c r="G30" i="11"/>
  <c r="H30" i="11" s="1"/>
  <c r="I30" i="11" s="1"/>
  <c r="J30" i="11" s="1"/>
  <c r="G33" i="11"/>
  <c r="H33" i="11" s="1"/>
  <c r="I33" i="11" s="1"/>
  <c r="G36" i="11"/>
  <c r="G39" i="11"/>
  <c r="H39" i="11" s="1"/>
  <c r="I39" i="11" s="1"/>
  <c r="J39" i="11" s="1"/>
  <c r="G40" i="11"/>
  <c r="H40" i="11" s="1"/>
  <c r="I40" i="11" s="1"/>
  <c r="G44" i="11"/>
  <c r="H44" i="11" s="1"/>
  <c r="G46" i="11"/>
  <c r="H46" i="11" s="1"/>
  <c r="I46" i="11" s="1"/>
  <c r="J46" i="11" s="1"/>
  <c r="G47" i="11"/>
  <c r="H47" i="11" s="1"/>
  <c r="I47" i="11" s="1"/>
  <c r="G65" i="11"/>
  <c r="H65" i="11" s="1"/>
  <c r="I65" i="11" s="1"/>
  <c r="J65" i="11" s="1"/>
  <c r="G71" i="11"/>
  <c r="H71" i="11" s="1"/>
  <c r="I71" i="11" s="1"/>
  <c r="G73" i="11"/>
  <c r="H73" i="11" s="1"/>
  <c r="I73" i="11" s="1"/>
  <c r="G14" i="11"/>
  <c r="G20" i="11"/>
  <c r="H20" i="11" s="1"/>
  <c r="I20" i="11" s="1"/>
  <c r="G21" i="11"/>
  <c r="H21" i="11" s="1"/>
  <c r="I21" i="11" s="1"/>
  <c r="J21" i="11" s="1"/>
  <c r="G25" i="11"/>
  <c r="H25" i="11" s="1"/>
  <c r="I25" i="11" s="1"/>
  <c r="G32" i="11"/>
  <c r="G34" i="11"/>
  <c r="H34" i="11" s="1"/>
  <c r="I34" i="11" s="1"/>
  <c r="G35" i="11"/>
  <c r="H35" i="11" s="1"/>
  <c r="I35" i="11" s="1"/>
  <c r="J35" i="11" s="1"/>
  <c r="G37" i="11"/>
  <c r="H37" i="11" s="1"/>
  <c r="I37" i="11" s="1"/>
  <c r="G41" i="11"/>
  <c r="G42" i="11"/>
  <c r="H42" i="11" s="1"/>
  <c r="I42" i="11" s="1"/>
  <c r="J42" i="11" s="1"/>
  <c r="G43" i="11"/>
  <c r="H43" i="11" s="1"/>
  <c r="I43" i="11" s="1"/>
  <c r="G51" i="11"/>
  <c r="H51" i="11" s="1"/>
  <c r="I51" i="11" s="1"/>
  <c r="J51" i="11" s="1"/>
  <c r="G58" i="11"/>
  <c r="H58" i="11" s="1"/>
  <c r="I58" i="11" s="1"/>
  <c r="G64" i="11"/>
  <c r="H64" i="11" s="1"/>
  <c r="I64" i="11" s="1"/>
  <c r="J64" i="11" s="1"/>
  <c r="G66" i="11"/>
  <c r="H66" i="11" s="1"/>
  <c r="I66" i="11" s="1"/>
  <c r="J66" i="11" s="1"/>
  <c r="G69" i="11"/>
  <c r="H69" i="11" s="1"/>
  <c r="I69" i="11" s="1"/>
  <c r="G70" i="11"/>
  <c r="H70" i="11" s="1"/>
  <c r="I70" i="11" s="1"/>
  <c r="G72" i="11"/>
  <c r="H72" i="11" s="1"/>
  <c r="I72" i="11" s="1"/>
  <c r="G74" i="11"/>
  <c r="H74" i="11" s="1"/>
  <c r="I74" i="11" s="1"/>
  <c r="O46" i="11"/>
  <c r="AH47" i="11"/>
  <c r="AC47" i="11"/>
  <c r="AL47" i="11"/>
  <c r="AM47" i="11" s="1"/>
  <c r="E16" i="19"/>
  <c r="F37" i="14"/>
  <c r="F36" i="14"/>
  <c r="F31" i="14"/>
  <c r="F40" i="5"/>
  <c r="F17" i="14"/>
  <c r="F6" i="14"/>
  <c r="F5" i="14"/>
  <c r="F4" i="14"/>
  <c r="F5" i="5"/>
  <c r="AH5" i="27" s="1"/>
  <c r="F4" i="5"/>
  <c r="K66" i="11"/>
  <c r="N66" i="11" s="1"/>
  <c r="K65" i="11"/>
  <c r="N65" i="11" s="1"/>
  <c r="K64" i="11"/>
  <c r="N64" i="11" s="1"/>
  <c r="C44" i="11"/>
  <c r="D7" i="6"/>
  <c r="B40" i="10"/>
  <c r="B39" i="10"/>
  <c r="G32" i="10"/>
  <c r="F32" i="10"/>
  <c r="E32" i="10"/>
  <c r="D32" i="10"/>
  <c r="C32" i="10"/>
  <c r="F8" i="5" l="1"/>
  <c r="F22" i="16"/>
  <c r="H34" i="41"/>
  <c r="F34" i="41"/>
  <c r="J34" i="41"/>
  <c r="L34" i="41"/>
  <c r="N34" i="41"/>
  <c r="M36" i="12"/>
  <c r="AL25" i="11"/>
  <c r="AM25" i="11" s="1"/>
  <c r="E15" i="12" s="1"/>
  <c r="J15" i="12" s="1"/>
  <c r="E16" i="13" s="1"/>
  <c r="AH25" i="11"/>
  <c r="AI25" i="11" s="1"/>
  <c r="AL70" i="11"/>
  <c r="AM70" i="11" s="1"/>
  <c r="E60" i="12" s="1"/>
  <c r="J60" i="12" s="1"/>
  <c r="AL71" i="11"/>
  <c r="AM71" i="11" s="1"/>
  <c r="E61" i="12" s="1"/>
  <c r="J61" i="12" s="1"/>
  <c r="AL72" i="11"/>
  <c r="AM72" i="11" s="1"/>
  <c r="E62" i="12" s="1"/>
  <c r="J62" i="12" s="1"/>
  <c r="D23" i="39"/>
  <c r="D23" i="11"/>
  <c r="D58" i="39"/>
  <c r="D58" i="11"/>
  <c r="O66" i="11"/>
  <c r="D28" i="39"/>
  <c r="D28" i="11"/>
  <c r="D32" i="39"/>
  <c r="D32" i="11"/>
  <c r="D33" i="39"/>
  <c r="D33" i="11"/>
  <c r="D34" i="39"/>
  <c r="D34" i="11"/>
  <c r="D20" i="39"/>
  <c r="D20" i="11"/>
  <c r="O41" i="11"/>
  <c r="M31" i="12" s="1"/>
  <c r="D36" i="39"/>
  <c r="D36" i="11"/>
  <c r="D43" i="39"/>
  <c r="D43" i="11"/>
  <c r="D37" i="39"/>
  <c r="D37" i="11"/>
  <c r="O65" i="11"/>
  <c r="D40" i="39"/>
  <c r="D40" i="11"/>
  <c r="D19" i="39"/>
  <c r="D19" i="11"/>
  <c r="U14" i="11"/>
  <c r="V14" i="11" s="1"/>
  <c r="J27" i="11"/>
  <c r="J47" i="11"/>
  <c r="T47" i="11" s="1"/>
  <c r="J29" i="11"/>
  <c r="M18" i="12"/>
  <c r="M4" i="12"/>
  <c r="M20" i="12"/>
  <c r="M32" i="12"/>
  <c r="M27" i="12"/>
  <c r="M9" i="12"/>
  <c r="M23" i="12"/>
  <c r="M10" i="12"/>
  <c r="M25" i="12"/>
  <c r="M48" i="12"/>
  <c r="F49" i="41" s="1"/>
  <c r="M22" i="12"/>
  <c r="M24" i="12"/>
  <c r="AL46" i="11"/>
  <c r="AM46" i="11" s="1"/>
  <c r="M41" i="12"/>
  <c r="M13" i="12"/>
  <c r="M30" i="12"/>
  <c r="M11" i="12"/>
  <c r="M29" i="12"/>
  <c r="M26" i="12"/>
  <c r="T21" i="11"/>
  <c r="AI17" i="11"/>
  <c r="AF17" i="11" s="1"/>
  <c r="C7" i="12" s="1"/>
  <c r="H7" i="12" s="1"/>
  <c r="C8" i="13" s="1"/>
  <c r="T39" i="11"/>
  <c r="V21" i="11"/>
  <c r="AL34" i="11"/>
  <c r="AM34" i="11" s="1"/>
  <c r="E24" i="12" s="1"/>
  <c r="J24" i="12" s="1"/>
  <c r="AH39" i="11"/>
  <c r="AJ39" i="11" s="1"/>
  <c r="AC21" i="11"/>
  <c r="AL33" i="11"/>
  <c r="AM33" i="11" s="1"/>
  <c r="E23" i="12" s="1"/>
  <c r="AC51" i="11"/>
  <c r="AH58" i="11"/>
  <c r="AI58" i="11" s="1"/>
  <c r="AH34" i="11"/>
  <c r="AJ34" i="11" s="1"/>
  <c r="AL39" i="11"/>
  <c r="AM39" i="11" s="1"/>
  <c r="E29" i="12" s="1"/>
  <c r="J29" i="12" s="1"/>
  <c r="AH21" i="11"/>
  <c r="AI21" i="11" s="1"/>
  <c r="AL58" i="11"/>
  <c r="AL62" i="11" s="1"/>
  <c r="AL21" i="11"/>
  <c r="AM21" i="11" s="1"/>
  <c r="E11" i="12" s="1"/>
  <c r="J11" i="12" s="1"/>
  <c r="E12" i="13" s="1"/>
  <c r="AH28" i="11"/>
  <c r="AJ28" i="11" s="1"/>
  <c r="AH36" i="11"/>
  <c r="AJ36" i="11" s="1"/>
  <c r="AC39" i="11"/>
  <c r="AH51" i="11"/>
  <c r="AJ51" i="11" s="1"/>
  <c r="AH33" i="11"/>
  <c r="AI33" i="11" s="1"/>
  <c r="AH19" i="11"/>
  <c r="AJ19" i="11" s="1"/>
  <c r="T51" i="11"/>
  <c r="AC42" i="11"/>
  <c r="AL19" i="11"/>
  <c r="AM19" i="11" s="1"/>
  <c r="E9" i="12" s="1"/>
  <c r="J9" i="12" s="1"/>
  <c r="E10" i="13" s="1"/>
  <c r="AL28" i="11"/>
  <c r="AM28" i="11" s="1"/>
  <c r="E18" i="12" s="1"/>
  <c r="J18" i="12" s="1"/>
  <c r="E19" i="13" s="1"/>
  <c r="AL36" i="11"/>
  <c r="AM36" i="11" s="1"/>
  <c r="E26" i="12" s="1"/>
  <c r="J26" i="12" s="1"/>
  <c r="E27" i="13" s="1"/>
  <c r="AL51" i="11"/>
  <c r="AM51" i="11" s="1"/>
  <c r="E41" i="12" s="1"/>
  <c r="J41" i="12" s="1"/>
  <c r="AH32" i="11"/>
  <c r="AJ32" i="11" s="1"/>
  <c r="AH20" i="11"/>
  <c r="AJ20" i="11" s="1"/>
  <c r="AL35" i="11"/>
  <c r="AM35" i="11" s="1"/>
  <c r="E25" i="12" s="1"/>
  <c r="J25" i="12" s="1"/>
  <c r="AH40" i="11"/>
  <c r="AJ40" i="11" s="1"/>
  <c r="D30" i="12" s="1"/>
  <c r="I30" i="12" s="1"/>
  <c r="T42" i="11"/>
  <c r="T30" i="11"/>
  <c r="AL42" i="11"/>
  <c r="AM42" i="11" s="1"/>
  <c r="E32" i="12" s="1"/>
  <c r="J32" i="12" s="1"/>
  <c r="AC14" i="11"/>
  <c r="AH42" i="11"/>
  <c r="AJ42" i="11" s="1"/>
  <c r="AI31" i="11"/>
  <c r="AF31" i="11" s="1"/>
  <c r="C21" i="12" s="1"/>
  <c r="H21" i="12" s="1"/>
  <c r="C22" i="13" s="1"/>
  <c r="AL37" i="11"/>
  <c r="AM37" i="11" s="1"/>
  <c r="E27" i="12" s="1"/>
  <c r="J27" i="12" s="1"/>
  <c r="E28" i="13" s="1"/>
  <c r="V35" i="11"/>
  <c r="AL30" i="11"/>
  <c r="AM30" i="11" s="1"/>
  <c r="E20" i="12" s="1"/>
  <c r="J20" i="12" s="1"/>
  <c r="E21" i="13" s="1"/>
  <c r="AL32" i="11"/>
  <c r="AM32" i="11" s="1"/>
  <c r="E22" i="12" s="1"/>
  <c r="J22" i="12" s="1"/>
  <c r="E23" i="13" s="1"/>
  <c r="AL40" i="11"/>
  <c r="AM40" i="11" s="1"/>
  <c r="E30" i="12" s="1"/>
  <c r="J30" i="12" s="1"/>
  <c r="AH30" i="11"/>
  <c r="AJ30" i="11" s="1"/>
  <c r="D20" i="12" s="1"/>
  <c r="I20" i="12" s="1"/>
  <c r="D21" i="13" s="1"/>
  <c r="AC35" i="11"/>
  <c r="AC30" i="11"/>
  <c r="AH37" i="11"/>
  <c r="AJ37" i="11" s="1"/>
  <c r="D27" i="12" s="1"/>
  <c r="I27" i="12" s="1"/>
  <c r="D28" i="13" s="1"/>
  <c r="AH35" i="11"/>
  <c r="AI35" i="11" s="1"/>
  <c r="AF35" i="11" s="1"/>
  <c r="T35" i="11"/>
  <c r="AI16" i="11"/>
  <c r="AF16" i="11" s="1"/>
  <c r="C6" i="12" s="1"/>
  <c r="H6" i="12" s="1"/>
  <c r="C7" i="13" s="1"/>
  <c r="AL14" i="11"/>
  <c r="AM14" i="11" s="1"/>
  <c r="AH23" i="11"/>
  <c r="AJ23" i="11" s="1"/>
  <c r="AL20" i="11"/>
  <c r="AM20" i="11" s="1"/>
  <c r="E10" i="12" s="1"/>
  <c r="J10" i="12" s="1"/>
  <c r="AH14" i="11"/>
  <c r="AJ14" i="11" s="1"/>
  <c r="AL23" i="11"/>
  <c r="AM23" i="11" s="1"/>
  <c r="E13" i="12" s="1"/>
  <c r="J13" i="12" s="1"/>
  <c r="E14" i="13" s="1"/>
  <c r="F32" i="14"/>
  <c r="E15" i="4"/>
  <c r="AJ52" i="11"/>
  <c r="D42" i="12" s="1"/>
  <c r="I42" i="12" s="1"/>
  <c r="D43" i="13" s="1"/>
  <c r="AI52" i="11"/>
  <c r="AF52" i="11" s="1"/>
  <c r="C42" i="12" s="1"/>
  <c r="H42" i="12" s="1"/>
  <c r="C43" i="13" s="1"/>
  <c r="AJ53" i="11"/>
  <c r="D43" i="12" s="1"/>
  <c r="I43" i="12" s="1"/>
  <c r="D44" i="13" s="1"/>
  <c r="AI53" i="11"/>
  <c r="AF53" i="11" s="1"/>
  <c r="C43" i="12" s="1"/>
  <c r="H43" i="12" s="1"/>
  <c r="C44" i="13" s="1"/>
  <c r="AJ79" i="11"/>
  <c r="D69" i="12" s="1"/>
  <c r="I69" i="12" s="1"/>
  <c r="D70" i="13" s="1"/>
  <c r="AI79" i="11"/>
  <c r="AC79" i="11" s="1"/>
  <c r="C69" i="12" s="1"/>
  <c r="H69" i="12" s="1"/>
  <c r="C70" i="13" s="1"/>
  <c r="AI80" i="11"/>
  <c r="AF80" i="11" s="1"/>
  <c r="C70" i="12" s="1"/>
  <c r="AJ80" i="11"/>
  <c r="D70" i="12" s="1"/>
  <c r="I70" i="12" s="1"/>
  <c r="D71" i="13" s="1"/>
  <c r="AJ60" i="11"/>
  <c r="D50" i="12" s="1"/>
  <c r="I50" i="12" s="1"/>
  <c r="D51" i="13" s="1"/>
  <c r="AI60" i="11"/>
  <c r="AC60" i="11" s="1"/>
  <c r="C50" i="12" s="1"/>
  <c r="H50" i="12" s="1"/>
  <c r="C51" i="13" s="1"/>
  <c r="AI54" i="11"/>
  <c r="AF54" i="11" s="1"/>
  <c r="C44" i="12" s="1"/>
  <c r="AJ54" i="11"/>
  <c r="D44" i="12" s="1"/>
  <c r="I44" i="12" s="1"/>
  <c r="D45" i="13" s="1"/>
  <c r="AI81" i="11"/>
  <c r="AF81" i="11" s="1"/>
  <c r="C71" i="12" s="1"/>
  <c r="AJ81" i="11"/>
  <c r="D71" i="12" s="1"/>
  <c r="I71" i="12" s="1"/>
  <c r="D72" i="13" s="1"/>
  <c r="AJ68" i="11"/>
  <c r="D58" i="12" s="1"/>
  <c r="I58" i="12" s="1"/>
  <c r="D59" i="13" s="1"/>
  <c r="AI68" i="11"/>
  <c r="AF68" i="11" s="1"/>
  <c r="C58" i="12" s="1"/>
  <c r="AJ67" i="11"/>
  <c r="D57" i="12" s="1"/>
  <c r="I57" i="12" s="1"/>
  <c r="D58" i="13" s="1"/>
  <c r="AI67" i="11"/>
  <c r="AC67" i="11" s="1"/>
  <c r="C57" i="12" s="1"/>
  <c r="H57" i="12" s="1"/>
  <c r="C58" i="13" s="1"/>
  <c r="AI26" i="11"/>
  <c r="AF26" i="11" s="1"/>
  <c r="C16" i="12" s="1"/>
  <c r="H16" i="12" s="1"/>
  <c r="C17" i="13" s="1"/>
  <c r="AH3" i="27"/>
  <c r="AH4" i="27"/>
  <c r="O64" i="11"/>
  <c r="L54" i="12"/>
  <c r="AI38" i="11"/>
  <c r="AF38" i="11" s="1"/>
  <c r="C28" i="12" s="1"/>
  <c r="H28" i="12" s="1"/>
  <c r="C29" i="13" s="1"/>
  <c r="H7" i="10"/>
  <c r="H6" i="10"/>
  <c r="K5" i="9"/>
  <c r="K9" i="9"/>
  <c r="H8" i="10"/>
  <c r="AJ49" i="11"/>
  <c r="D39" i="12" s="1"/>
  <c r="I39" i="12" s="1"/>
  <c r="D40" i="13" s="1"/>
  <c r="AI49" i="11"/>
  <c r="AF49" i="11" s="1"/>
  <c r="C39" i="12" s="1"/>
  <c r="AI50" i="11"/>
  <c r="AF50" i="11" s="1"/>
  <c r="C40" i="12" s="1"/>
  <c r="AJ50" i="11"/>
  <c r="D40" i="12" s="1"/>
  <c r="I40" i="12" s="1"/>
  <c r="D41" i="13" s="1"/>
  <c r="AI75" i="11"/>
  <c r="AJ75" i="11"/>
  <c r="D65" i="12" s="1"/>
  <c r="AJ78" i="11"/>
  <c r="D68" i="12" s="1"/>
  <c r="I68" i="12" s="1"/>
  <c r="D69" i="13" s="1"/>
  <c r="AI78" i="11"/>
  <c r="AF78" i="11" s="1"/>
  <c r="C68" i="12" s="1"/>
  <c r="AJ76" i="11"/>
  <c r="D66" i="12" s="1"/>
  <c r="I66" i="12" s="1"/>
  <c r="D67" i="13" s="1"/>
  <c r="AI76" i="11"/>
  <c r="AF76" i="11" s="1"/>
  <c r="C66" i="12" s="1"/>
  <c r="AI77" i="11"/>
  <c r="AF77" i="11" s="1"/>
  <c r="C67" i="12" s="1"/>
  <c r="AJ77" i="11"/>
  <c r="D67" i="12" s="1"/>
  <c r="I67" i="12" s="1"/>
  <c r="D68" i="13" s="1"/>
  <c r="AI48" i="11"/>
  <c r="AF48" i="11" s="1"/>
  <c r="C38" i="12" s="1"/>
  <c r="AJ48" i="11"/>
  <c r="D38" i="12" s="1"/>
  <c r="I38" i="12" s="1"/>
  <c r="D39" i="13" s="1"/>
  <c r="AI47" i="11"/>
  <c r="AJ47" i="11"/>
  <c r="D37" i="12" s="1"/>
  <c r="I37" i="12" s="1"/>
  <c r="AI22" i="11"/>
  <c r="AJ22" i="11"/>
  <c r="D28" i="12"/>
  <c r="I28" i="12" s="1"/>
  <c r="D29" i="13" s="1"/>
  <c r="AI18" i="11"/>
  <c r="AJ18" i="11"/>
  <c r="D21" i="12"/>
  <c r="I21" i="12" s="1"/>
  <c r="D22" i="13" s="1"/>
  <c r="AI15" i="11"/>
  <c r="AJ15" i="11"/>
  <c r="AI24" i="11"/>
  <c r="AJ24" i="11"/>
  <c r="D7" i="12"/>
  <c r="I7" i="12" s="1"/>
  <c r="D8" i="13" s="1"/>
  <c r="AI59" i="11"/>
  <c r="AC59" i="11" s="1"/>
  <c r="C49" i="12" s="1"/>
  <c r="H49" i="12" s="1"/>
  <c r="AJ59" i="11"/>
  <c r="D49" i="12" s="1"/>
  <c r="I49" i="12" s="1"/>
  <c r="D16" i="12"/>
  <c r="I16" i="12" s="1"/>
  <c r="D17" i="13" s="1"/>
  <c r="AI29" i="11"/>
  <c r="AJ29" i="11"/>
  <c r="E28" i="12"/>
  <c r="J28" i="12" s="1"/>
  <c r="E29" i="13" s="1"/>
  <c r="E35" i="12"/>
  <c r="J35" i="12" s="1"/>
  <c r="E36" i="13" s="1"/>
  <c r="E37" i="12"/>
  <c r="J37" i="12" s="1"/>
  <c r="E50" i="13"/>
  <c r="AH43" i="11"/>
  <c r="AL43" i="11"/>
  <c r="AM43" i="11" s="1"/>
  <c r="AL44" i="11"/>
  <c r="AM44" i="11" s="1"/>
  <c r="AH44" i="11"/>
  <c r="AJ44" i="11" s="1"/>
  <c r="V27" i="11"/>
  <c r="V30" i="11"/>
  <c r="AI27" i="11"/>
  <c r="H36" i="11"/>
  <c r="I36" i="11" s="1"/>
  <c r="H23" i="11"/>
  <c r="I23" i="11" s="1"/>
  <c r="H15" i="11"/>
  <c r="I15" i="11" s="1"/>
  <c r="H38" i="11"/>
  <c r="I38" i="11" s="1"/>
  <c r="H17" i="11"/>
  <c r="I17" i="11" s="1"/>
  <c r="H59" i="11"/>
  <c r="I59" i="11" s="1"/>
  <c r="H16" i="11"/>
  <c r="I16" i="11" s="1"/>
  <c r="H45" i="11"/>
  <c r="I45" i="11" s="1"/>
  <c r="H41" i="11"/>
  <c r="I41" i="11" s="1"/>
  <c r="H32" i="11"/>
  <c r="I32" i="11" s="1"/>
  <c r="H14" i="11"/>
  <c r="H22" i="11"/>
  <c r="I22" i="11" s="1"/>
  <c r="H24" i="11"/>
  <c r="I24" i="11" s="1"/>
  <c r="H18" i="11"/>
  <c r="I18" i="11" s="1"/>
  <c r="H26" i="11"/>
  <c r="I26" i="11" s="1"/>
  <c r="V45" i="11"/>
  <c r="V26" i="11"/>
  <c r="V18" i="11"/>
  <c r="V16" i="11"/>
  <c r="D6" i="12"/>
  <c r="I6" i="12" s="1"/>
  <c r="D7" i="13" s="1"/>
  <c r="AI45" i="11"/>
  <c r="AF45" i="11" s="1"/>
  <c r="C35" i="12" s="1"/>
  <c r="H35" i="12" s="1"/>
  <c r="C36" i="13" s="1"/>
  <c r="V17" i="11"/>
  <c r="V24" i="11"/>
  <c r="V38" i="11"/>
  <c r="V22" i="11"/>
  <c r="V15" i="11"/>
  <c r="V39" i="11"/>
  <c r="V44" i="11"/>
  <c r="V42" i="11"/>
  <c r="V51" i="11"/>
  <c r="F26" i="5"/>
  <c r="F46" i="5"/>
  <c r="T46" i="11"/>
  <c r="AC46" i="11"/>
  <c r="AH46" i="11"/>
  <c r="B41" i="10"/>
  <c r="D38" i="10" s="1"/>
  <c r="I44" i="11"/>
  <c r="AC44" i="11"/>
  <c r="F14" i="16" l="1"/>
  <c r="F11" i="41"/>
  <c r="J11" i="41"/>
  <c r="L37" i="41"/>
  <c r="H37" i="41"/>
  <c r="N37" i="41"/>
  <c r="J37" i="41"/>
  <c r="F37" i="41"/>
  <c r="F16" i="41"/>
  <c r="H16" i="41"/>
  <c r="J16" i="41"/>
  <c r="N16" i="41"/>
  <c r="L16" i="41"/>
  <c r="J27" i="41"/>
  <c r="H27" i="41"/>
  <c r="F27" i="41"/>
  <c r="L27" i="41"/>
  <c r="N27" i="41"/>
  <c r="F21" i="41"/>
  <c r="N21" i="41"/>
  <c r="L21" i="41"/>
  <c r="J21" i="41"/>
  <c r="H21" i="41"/>
  <c r="H12" i="41"/>
  <c r="L12" i="41"/>
  <c r="N12" i="41"/>
  <c r="F12" i="41"/>
  <c r="J12" i="41"/>
  <c r="F5" i="41"/>
  <c r="N5" i="41"/>
  <c r="L5" i="41"/>
  <c r="H5" i="41"/>
  <c r="J19" i="41"/>
  <c r="F19" i="41"/>
  <c r="L19" i="41"/>
  <c r="H19" i="41"/>
  <c r="N19" i="41"/>
  <c r="J23" i="41"/>
  <c r="H23" i="41"/>
  <c r="L23" i="41"/>
  <c r="F23" i="41"/>
  <c r="N23" i="41"/>
  <c r="J14" i="41"/>
  <c r="L14" i="41"/>
  <c r="F14" i="41"/>
  <c r="H14" i="41"/>
  <c r="N14" i="41"/>
  <c r="N28" i="41"/>
  <c r="F28" i="41"/>
  <c r="H28" i="41"/>
  <c r="L28" i="41"/>
  <c r="J28" i="41"/>
  <c r="H10" i="41"/>
  <c r="N10" i="41"/>
  <c r="L10" i="41"/>
  <c r="J10" i="41"/>
  <c r="F10" i="41"/>
  <c r="L42" i="41"/>
  <c r="F42" i="41"/>
  <c r="J42" i="41"/>
  <c r="H42" i="41"/>
  <c r="N42" i="41"/>
  <c r="N33" i="41"/>
  <c r="L33" i="41"/>
  <c r="J33" i="41"/>
  <c r="F33" i="41"/>
  <c r="H33" i="41"/>
  <c r="F30" i="41"/>
  <c r="H30" i="41"/>
  <c r="J30" i="41"/>
  <c r="N30" i="41"/>
  <c r="L30" i="41"/>
  <c r="N26" i="41"/>
  <c r="L26" i="41"/>
  <c r="F26" i="41"/>
  <c r="H26" i="41"/>
  <c r="J26" i="41"/>
  <c r="L31" i="41"/>
  <c r="F31" i="41"/>
  <c r="H31" i="41"/>
  <c r="J31" i="41"/>
  <c r="N31" i="41"/>
  <c r="L11" i="41"/>
  <c r="N11" i="41"/>
  <c r="H11" i="41"/>
  <c r="F24" i="41"/>
  <c r="H24" i="41"/>
  <c r="L24" i="41"/>
  <c r="N24" i="41"/>
  <c r="J24" i="41"/>
  <c r="AH41" i="11"/>
  <c r="AJ41" i="11" s="1"/>
  <c r="D31" i="12" s="1"/>
  <c r="I31" i="12" s="1"/>
  <c r="J25" i="41"/>
  <c r="L25" i="41"/>
  <c r="F25" i="41"/>
  <c r="N25" i="41"/>
  <c r="H25" i="41"/>
  <c r="D70" i="39"/>
  <c r="D70" i="11"/>
  <c r="AJ25" i="11"/>
  <c r="D15" i="12" s="1"/>
  <c r="I15" i="12" s="1"/>
  <c r="D16" i="13" s="1"/>
  <c r="AC20" i="11"/>
  <c r="AC32" i="11"/>
  <c r="J20" i="11"/>
  <c r="T20" i="11" s="1"/>
  <c r="T65" i="11"/>
  <c r="J33" i="11"/>
  <c r="T33" i="11" s="1"/>
  <c r="AC34" i="11"/>
  <c r="AC33" i="11"/>
  <c r="AL41" i="11"/>
  <c r="AM41" i="11" s="1"/>
  <c r="E31" i="12" s="1"/>
  <c r="J31" i="12" s="1"/>
  <c r="E12" i="18" s="1"/>
  <c r="V66" i="11"/>
  <c r="AC23" i="11"/>
  <c r="T66" i="11"/>
  <c r="AC40" i="11"/>
  <c r="AC66" i="11"/>
  <c r="J37" i="11"/>
  <c r="T37" i="11" s="1"/>
  <c r="AL66" i="11"/>
  <c r="AM66" i="11" s="1"/>
  <c r="E56" i="12" s="1"/>
  <c r="J56" i="12" s="1"/>
  <c r="E57" i="13" s="1"/>
  <c r="J34" i="11"/>
  <c r="T34" i="11" s="1"/>
  <c r="AH66" i="11"/>
  <c r="AJ66" i="11" s="1"/>
  <c r="AC37" i="11"/>
  <c r="J40" i="11"/>
  <c r="T40" i="11" s="1"/>
  <c r="D71" i="39"/>
  <c r="D71" i="11"/>
  <c r="AC40" i="39"/>
  <c r="J40" i="39"/>
  <c r="T40" i="39" s="1"/>
  <c r="AC37" i="39"/>
  <c r="J37" i="39"/>
  <c r="T37" i="39" s="1"/>
  <c r="J43" i="11"/>
  <c r="T43" i="11" s="1"/>
  <c r="V65" i="11"/>
  <c r="AC36" i="11"/>
  <c r="AC20" i="39"/>
  <c r="J20" i="39"/>
  <c r="T20" i="39" s="1"/>
  <c r="AC32" i="39"/>
  <c r="J32" i="39"/>
  <c r="T32" i="39" s="1"/>
  <c r="D25" i="39"/>
  <c r="D25" i="11"/>
  <c r="AC19" i="39"/>
  <c r="J19" i="39"/>
  <c r="T19" i="39" s="1"/>
  <c r="AC43" i="39"/>
  <c r="J43" i="39"/>
  <c r="T43" i="39" s="1"/>
  <c r="AC36" i="39"/>
  <c r="J36" i="39"/>
  <c r="T36" i="39" s="1"/>
  <c r="AC28" i="39"/>
  <c r="J28" i="39"/>
  <c r="T28" i="39" s="1"/>
  <c r="AC58" i="39"/>
  <c r="J58" i="39"/>
  <c r="T58" i="39" s="1"/>
  <c r="AH65" i="11"/>
  <c r="AJ65" i="11" s="1"/>
  <c r="AC65" i="11"/>
  <c r="AC33" i="39"/>
  <c r="J33" i="39"/>
  <c r="T33" i="39" s="1"/>
  <c r="AC34" i="39"/>
  <c r="J34" i="39"/>
  <c r="T34" i="39" s="1"/>
  <c r="AC28" i="11"/>
  <c r="AL65" i="11"/>
  <c r="AM65" i="11" s="1"/>
  <c r="E55" i="12" s="1"/>
  <c r="J55" i="12" s="1"/>
  <c r="E56" i="13" s="1"/>
  <c r="AC43" i="11"/>
  <c r="AC19" i="11"/>
  <c r="J19" i="11"/>
  <c r="T19" i="11" s="1"/>
  <c r="J28" i="11"/>
  <c r="T28" i="11" s="1"/>
  <c r="AC23" i="39"/>
  <c r="J23" i="39"/>
  <c r="T23" i="39" s="1"/>
  <c r="J58" i="11"/>
  <c r="T58" i="11" s="1"/>
  <c r="Y58" i="11" s="1"/>
  <c r="D72" i="39"/>
  <c r="D72" i="11"/>
  <c r="I14" i="11"/>
  <c r="J14" i="11" s="1"/>
  <c r="T14" i="11" s="1"/>
  <c r="T29" i="11"/>
  <c r="T27" i="11"/>
  <c r="J15" i="11"/>
  <c r="J45" i="11"/>
  <c r="J26" i="11"/>
  <c r="J16" i="11"/>
  <c r="J36" i="11"/>
  <c r="T36" i="11" s="1"/>
  <c r="J44" i="11"/>
  <c r="J23" i="11"/>
  <c r="T23" i="11" s="1"/>
  <c r="J18" i="11"/>
  <c r="J59" i="11"/>
  <c r="J24" i="11"/>
  <c r="J17" i="11"/>
  <c r="J22" i="11"/>
  <c r="J38" i="11"/>
  <c r="J32" i="11"/>
  <c r="T32" i="11" s="1"/>
  <c r="K6" i="9"/>
  <c r="K7" i="9"/>
  <c r="K8" i="9"/>
  <c r="W35" i="11"/>
  <c r="Y35" i="11"/>
  <c r="X35" i="11"/>
  <c r="X21" i="11"/>
  <c r="Y21" i="11"/>
  <c r="W21" i="11"/>
  <c r="M54" i="12"/>
  <c r="W42" i="11"/>
  <c r="X42" i="11"/>
  <c r="Y42" i="11"/>
  <c r="W51" i="11"/>
  <c r="Y51" i="11"/>
  <c r="X51" i="11"/>
  <c r="X39" i="11"/>
  <c r="W39" i="11"/>
  <c r="Y39" i="11"/>
  <c r="Y30" i="11"/>
  <c r="X30" i="11"/>
  <c r="W30" i="11"/>
  <c r="AJ58" i="11"/>
  <c r="D48" i="12" s="1"/>
  <c r="D51" i="12" s="1"/>
  <c r="AI39" i="11"/>
  <c r="AF39" i="11" s="1"/>
  <c r="C29" i="12" s="1"/>
  <c r="H29" i="12" s="1"/>
  <c r="C30" i="13" s="1"/>
  <c r="AI19" i="11"/>
  <c r="AH62" i="11"/>
  <c r="AM58" i="11"/>
  <c r="AM62" i="11" s="1"/>
  <c r="AI42" i="11"/>
  <c r="AF42" i="11" s="1"/>
  <c r="C32" i="12" s="1"/>
  <c r="H32" i="12" s="1"/>
  <c r="C33" i="13" s="1"/>
  <c r="AI34" i="11"/>
  <c r="AI40" i="11"/>
  <c r="AI28" i="11"/>
  <c r="AJ21" i="11"/>
  <c r="D11" i="12" s="1"/>
  <c r="I11" i="12" s="1"/>
  <c r="D12" i="13" s="1"/>
  <c r="AI32" i="11"/>
  <c r="AJ33" i="11"/>
  <c r="D23" i="12" s="1"/>
  <c r="I23" i="12" s="1"/>
  <c r="AI20" i="11"/>
  <c r="AI36" i="11"/>
  <c r="AI51" i="11"/>
  <c r="AF51" i="11" s="1"/>
  <c r="C41" i="12" s="1"/>
  <c r="H41" i="12" s="1"/>
  <c r="E25" i="13"/>
  <c r="E8" i="18"/>
  <c r="E42" i="13"/>
  <c r="E14" i="18"/>
  <c r="E26" i="13"/>
  <c r="E9" i="18"/>
  <c r="D31" i="13"/>
  <c r="D11" i="18"/>
  <c r="E33" i="13"/>
  <c r="E13" i="18"/>
  <c r="E30" i="13"/>
  <c r="E10" i="18"/>
  <c r="E11" i="13"/>
  <c r="E6" i="18"/>
  <c r="E31" i="13"/>
  <c r="E11" i="18"/>
  <c r="E16" i="4"/>
  <c r="F27" i="16"/>
  <c r="C25" i="12"/>
  <c r="H25" i="12" s="1"/>
  <c r="AI37" i="11"/>
  <c r="AI30" i="11"/>
  <c r="AF30" i="11" s="1"/>
  <c r="C20" i="12" s="1"/>
  <c r="H20" i="12" s="1"/>
  <c r="C21" i="13" s="1"/>
  <c r="AJ35" i="11"/>
  <c r="D25" i="12" s="1"/>
  <c r="I25" i="12" s="1"/>
  <c r="AI14" i="11"/>
  <c r="AF14" i="11" s="1"/>
  <c r="AI23" i="11"/>
  <c r="AI62" i="11"/>
  <c r="F18" i="14"/>
  <c r="E14" i="4"/>
  <c r="AI44" i="11"/>
  <c r="AF44" i="11" s="1"/>
  <c r="C34" i="12" s="1"/>
  <c r="H34" i="12" s="1"/>
  <c r="C35" i="13" s="1"/>
  <c r="AC75" i="11"/>
  <c r="C65" i="12" s="1"/>
  <c r="F50" i="12"/>
  <c r="K50" i="12" s="1"/>
  <c r="F51" i="13" s="1"/>
  <c r="F69" i="12"/>
  <c r="K69" i="12" s="1"/>
  <c r="F70" i="13" s="1"/>
  <c r="F43" i="12"/>
  <c r="K43" i="12" s="1"/>
  <c r="F44" i="13" s="1"/>
  <c r="F42" i="12"/>
  <c r="K42" i="12" s="1"/>
  <c r="F43" i="13" s="1"/>
  <c r="H71" i="12"/>
  <c r="C72" i="13" s="1"/>
  <c r="F71" i="12"/>
  <c r="K71" i="12" s="1"/>
  <c r="F72" i="13" s="1"/>
  <c r="H44" i="12"/>
  <c r="C45" i="13" s="1"/>
  <c r="F44" i="12"/>
  <c r="K44" i="12" s="1"/>
  <c r="F45" i="13" s="1"/>
  <c r="H70" i="12"/>
  <c r="C71" i="13" s="1"/>
  <c r="F70" i="12"/>
  <c r="K70" i="12" s="1"/>
  <c r="F71" i="13" s="1"/>
  <c r="J23" i="12"/>
  <c r="H10" i="10"/>
  <c r="T64" i="11"/>
  <c r="H58" i="12"/>
  <c r="C59" i="13" s="1"/>
  <c r="F58" i="12"/>
  <c r="K58" i="12" s="1"/>
  <c r="F59" i="13" s="1"/>
  <c r="AH64" i="11"/>
  <c r="AL64" i="11"/>
  <c r="AI5" i="27"/>
  <c r="AI3" i="27"/>
  <c r="AI4" i="27"/>
  <c r="H40" i="12"/>
  <c r="C41" i="13" s="1"/>
  <c r="F40" i="12"/>
  <c r="K40" i="12" s="1"/>
  <c r="F41" i="13" s="1"/>
  <c r="H39" i="12"/>
  <c r="C40" i="13" s="1"/>
  <c r="F39" i="12"/>
  <c r="K39" i="12" s="1"/>
  <c r="F40" i="13" s="1"/>
  <c r="H67" i="12"/>
  <c r="C68" i="13" s="1"/>
  <c r="F67" i="12"/>
  <c r="K67" i="12" s="1"/>
  <c r="F68" i="13" s="1"/>
  <c r="H66" i="12"/>
  <c r="C67" i="13" s="1"/>
  <c r="F66" i="12"/>
  <c r="K66" i="12" s="1"/>
  <c r="F67" i="13" s="1"/>
  <c r="H68" i="12"/>
  <c r="C69" i="13" s="1"/>
  <c r="F68" i="12"/>
  <c r="K68" i="12" s="1"/>
  <c r="F69" i="13" s="1"/>
  <c r="I65" i="12"/>
  <c r="D66" i="13" s="1"/>
  <c r="H38" i="12"/>
  <c r="C39" i="13" s="1"/>
  <c r="F38" i="12"/>
  <c r="K38" i="12" s="1"/>
  <c r="F39" i="13" s="1"/>
  <c r="D22" i="12"/>
  <c r="I22" i="12" s="1"/>
  <c r="D23" i="13" s="1"/>
  <c r="D18" i="12"/>
  <c r="I18" i="12" s="1"/>
  <c r="D19" i="13" s="1"/>
  <c r="D13" i="12"/>
  <c r="I13" i="12" s="1"/>
  <c r="D14" i="13" s="1"/>
  <c r="D4" i="12"/>
  <c r="I4" i="12" s="1"/>
  <c r="D10" i="12"/>
  <c r="I10" i="12" s="1"/>
  <c r="AI46" i="11"/>
  <c r="AJ46" i="11"/>
  <c r="D36" i="12" s="1"/>
  <c r="I36" i="12" s="1"/>
  <c r="D17" i="12"/>
  <c r="I17" i="12" s="1"/>
  <c r="D18" i="13" s="1"/>
  <c r="AF27" i="11"/>
  <c r="C17" i="12" s="1"/>
  <c r="H17" i="12" s="1"/>
  <c r="C18" i="13" s="1"/>
  <c r="AI43" i="11"/>
  <c r="AJ43" i="11"/>
  <c r="D33" i="12" s="1"/>
  <c r="D8" i="12"/>
  <c r="I8" i="12" s="1"/>
  <c r="D9" i="13" s="1"/>
  <c r="AF18" i="11"/>
  <c r="C8" i="12" s="1"/>
  <c r="H8" i="12" s="1"/>
  <c r="C9" i="13" s="1"/>
  <c r="D12" i="12"/>
  <c r="I12" i="12" s="1"/>
  <c r="D13" i="13" s="1"/>
  <c r="AF22" i="11"/>
  <c r="C12" i="12" s="1"/>
  <c r="H12" i="12" s="1"/>
  <c r="C13" i="13" s="1"/>
  <c r="D9" i="12"/>
  <c r="I9" i="12" s="1"/>
  <c r="D10" i="13" s="1"/>
  <c r="F21" i="12"/>
  <c r="K21" i="12" s="1"/>
  <c r="F22" i="13" s="1"/>
  <c r="AC58" i="11"/>
  <c r="AC62" i="11" s="1"/>
  <c r="D19" i="12"/>
  <c r="I19" i="12" s="1"/>
  <c r="D20" i="13" s="1"/>
  <c r="D50" i="13"/>
  <c r="C50" i="13"/>
  <c r="D14" i="12"/>
  <c r="I14" i="12" s="1"/>
  <c r="D15" i="13" s="1"/>
  <c r="AF24" i="11"/>
  <c r="C14" i="12" s="1"/>
  <c r="H14" i="12" s="1"/>
  <c r="C15" i="13" s="1"/>
  <c r="D5" i="12"/>
  <c r="I5" i="12" s="1"/>
  <c r="D6" i="13" s="1"/>
  <c r="AF15" i="11"/>
  <c r="C5" i="12" s="1"/>
  <c r="H5" i="12" s="1"/>
  <c r="C6" i="13" s="1"/>
  <c r="AF21" i="11"/>
  <c r="C11" i="12" s="1"/>
  <c r="H11" i="12" s="1"/>
  <c r="C12" i="13" s="1"/>
  <c r="D38" i="13"/>
  <c r="E38" i="13"/>
  <c r="D26" i="12"/>
  <c r="I26" i="12" s="1"/>
  <c r="D27" i="13" s="1"/>
  <c r="D29" i="12"/>
  <c r="I29" i="12" s="1"/>
  <c r="D32" i="12"/>
  <c r="D35" i="12"/>
  <c r="I35" i="12" s="1"/>
  <c r="D36" i="13" s="1"/>
  <c r="D34" i="12"/>
  <c r="I34" i="12" s="1"/>
  <c r="D35" i="13" s="1"/>
  <c r="D41" i="12"/>
  <c r="D24" i="12"/>
  <c r="I24" i="12" s="1"/>
  <c r="E36" i="12"/>
  <c r="J36" i="12" s="1"/>
  <c r="E34" i="12"/>
  <c r="J34" i="12" s="1"/>
  <c r="E35" i="13" s="1"/>
  <c r="E33" i="12"/>
  <c r="B21" i="10"/>
  <c r="G21" i="10"/>
  <c r="G26" i="10" s="1"/>
  <c r="E21" i="10"/>
  <c r="E26" i="10" s="1"/>
  <c r="E27" i="10" s="1"/>
  <c r="C21" i="10"/>
  <c r="C26" i="10" s="1"/>
  <c r="F21" i="10"/>
  <c r="F26" i="10" s="1"/>
  <c r="F27" i="10" s="1"/>
  <c r="D21" i="10"/>
  <c r="D26" i="10" s="1"/>
  <c r="G57" i="12"/>
  <c r="B58" i="13" s="1"/>
  <c r="F57" i="12"/>
  <c r="K57" i="12" s="1"/>
  <c r="F58" i="13" s="1"/>
  <c r="F38" i="14"/>
  <c r="E4" i="12"/>
  <c r="AH56" i="11" l="1"/>
  <c r="D25" i="4" s="1"/>
  <c r="F56" i="41"/>
  <c r="H57" i="41"/>
  <c r="F57" i="41"/>
  <c r="H56" i="41"/>
  <c r="N56" i="41"/>
  <c r="N57" i="41"/>
  <c r="F55" i="41"/>
  <c r="L56" i="41"/>
  <c r="J56" i="41"/>
  <c r="L57" i="41"/>
  <c r="J57" i="41"/>
  <c r="AI41" i="11"/>
  <c r="AI56" i="11" s="1"/>
  <c r="H32" i="41"/>
  <c r="F32" i="41"/>
  <c r="L32" i="41"/>
  <c r="N32" i="41"/>
  <c r="J32" i="41"/>
  <c r="AC70" i="39"/>
  <c r="E60" i="38" s="1"/>
  <c r="J70" i="39"/>
  <c r="T70" i="39" s="1"/>
  <c r="AC70" i="11"/>
  <c r="C60" i="12" s="1"/>
  <c r="H60" i="12" s="1"/>
  <c r="C61" i="13" s="1"/>
  <c r="J70" i="11"/>
  <c r="T70" i="11" s="1"/>
  <c r="E32" i="13"/>
  <c r="W65" i="11"/>
  <c r="W66" i="11"/>
  <c r="AM56" i="11"/>
  <c r="AL56" i="11"/>
  <c r="X66" i="11"/>
  <c r="Y66" i="11"/>
  <c r="AI66" i="11"/>
  <c r="AF66" i="11" s="1"/>
  <c r="X65" i="11"/>
  <c r="E24" i="18"/>
  <c r="D41" i="39"/>
  <c r="D41" i="11"/>
  <c r="AC25" i="11"/>
  <c r="J25" i="11"/>
  <c r="T25" i="11" s="1"/>
  <c r="Y65" i="11"/>
  <c r="AC25" i="39"/>
  <c r="J25" i="39"/>
  <c r="T25" i="39" s="1"/>
  <c r="W58" i="11"/>
  <c r="X58" i="11"/>
  <c r="Y58" i="39"/>
  <c r="X58" i="39"/>
  <c r="W58" i="39"/>
  <c r="T62" i="39"/>
  <c r="E23" i="18"/>
  <c r="AC72" i="11"/>
  <c r="C62" i="12" s="1"/>
  <c r="H62" i="12" s="1"/>
  <c r="C63" i="13" s="1"/>
  <c r="J72" i="11"/>
  <c r="T72" i="11" s="1"/>
  <c r="W72" i="11" s="1"/>
  <c r="E48" i="38"/>
  <c r="N48" i="38" s="1"/>
  <c r="AC62" i="39"/>
  <c r="AC71" i="11"/>
  <c r="C61" i="12" s="1"/>
  <c r="H61" i="12" s="1"/>
  <c r="C62" i="13" s="1"/>
  <c r="J71" i="11"/>
  <c r="T71" i="11" s="1"/>
  <c r="W71" i="11" s="1"/>
  <c r="AI65" i="11"/>
  <c r="AF65" i="11" s="1"/>
  <c r="AC72" i="39"/>
  <c r="E62" i="38" s="1"/>
  <c r="J72" i="39"/>
  <c r="T72" i="39" s="1"/>
  <c r="AC71" i="39"/>
  <c r="E61" i="38" s="1"/>
  <c r="J71" i="39"/>
  <c r="T71" i="39" s="1"/>
  <c r="E49" i="4"/>
  <c r="W27" i="11"/>
  <c r="Y27" i="11"/>
  <c r="X27" i="11"/>
  <c r="T18" i="11"/>
  <c r="T26" i="11"/>
  <c r="T15" i="11"/>
  <c r="T16" i="11"/>
  <c r="T38" i="11"/>
  <c r="T22" i="11"/>
  <c r="T17" i="11"/>
  <c r="Y17" i="11" s="1"/>
  <c r="T45" i="11"/>
  <c r="T24" i="11"/>
  <c r="T44" i="11"/>
  <c r="T59" i="11"/>
  <c r="W14" i="11"/>
  <c r="Z30" i="11"/>
  <c r="Z21" i="11"/>
  <c r="Z51" i="11"/>
  <c r="Z42" i="11"/>
  <c r="Z35" i="11"/>
  <c r="Z39" i="11"/>
  <c r="K10" i="9"/>
  <c r="Y14" i="11"/>
  <c r="X14" i="11"/>
  <c r="W64" i="11"/>
  <c r="X64" i="11"/>
  <c r="Y64" i="11"/>
  <c r="E48" i="12"/>
  <c r="E51" i="12" s="1"/>
  <c r="C10" i="18"/>
  <c r="C13" i="18"/>
  <c r="D25" i="13"/>
  <c r="D8" i="18"/>
  <c r="D32" i="13"/>
  <c r="D12" i="18"/>
  <c r="D30" i="13"/>
  <c r="D10" i="18"/>
  <c r="C42" i="13"/>
  <c r="C14" i="18"/>
  <c r="C26" i="13"/>
  <c r="C9" i="18"/>
  <c r="D5" i="13"/>
  <c r="D5" i="18"/>
  <c r="D26" i="13"/>
  <c r="D9" i="18"/>
  <c r="D24" i="13"/>
  <c r="D7" i="18"/>
  <c r="D11" i="13"/>
  <c r="D6" i="18"/>
  <c r="E24" i="13"/>
  <c r="E7" i="18"/>
  <c r="AM64" i="11"/>
  <c r="F41" i="9"/>
  <c r="F40" i="9"/>
  <c r="F60" i="9" s="1"/>
  <c r="J33" i="12"/>
  <c r="E34" i="13" s="1"/>
  <c r="I33" i="12"/>
  <c r="D34" i="13" s="1"/>
  <c r="E45" i="12"/>
  <c r="H65" i="12"/>
  <c r="C66" i="13" s="1"/>
  <c r="F65" i="12"/>
  <c r="K65" i="12" s="1"/>
  <c r="F66" i="13" s="1"/>
  <c r="D34" i="10"/>
  <c r="D27" i="10"/>
  <c r="G34" i="10"/>
  <c r="G27" i="10"/>
  <c r="D45" i="12"/>
  <c r="AJ64" i="11"/>
  <c r="D54" i="12" s="1"/>
  <c r="I54" i="12" s="1"/>
  <c r="AI64" i="11"/>
  <c r="AC64" i="11" s="1"/>
  <c r="D55" i="12"/>
  <c r="I55" i="12" s="1"/>
  <c r="C48" i="12"/>
  <c r="E37" i="13"/>
  <c r="I41" i="12"/>
  <c r="D37" i="13"/>
  <c r="D56" i="12"/>
  <c r="I56" i="12" s="1"/>
  <c r="C4" i="12"/>
  <c r="I32" i="12"/>
  <c r="F16" i="4"/>
  <c r="E15" i="19"/>
  <c r="C34" i="10"/>
  <c r="F30" i="10"/>
  <c r="F31" i="10" s="1"/>
  <c r="E30" i="10"/>
  <c r="E31" i="10" s="1"/>
  <c r="D30" i="10"/>
  <c r="D31" i="10" s="1"/>
  <c r="G30" i="10"/>
  <c r="G31" i="10" s="1"/>
  <c r="C27" i="10"/>
  <c r="I48" i="12"/>
  <c r="C30" i="10"/>
  <c r="C31" i="10" s="1"/>
  <c r="J4" i="12"/>
  <c r="B26" i="10"/>
  <c r="F23" i="4"/>
  <c r="G41" i="9" l="1"/>
  <c r="G61" i="9" s="1"/>
  <c r="D30" i="29" s="1"/>
  <c r="F61" i="9"/>
  <c r="C30" i="29" s="1"/>
  <c r="F49" i="4"/>
  <c r="C26" i="27" s="1"/>
  <c r="E43" i="9"/>
  <c r="E63" i="9" s="1"/>
  <c r="X70" i="11"/>
  <c r="Y70" i="11"/>
  <c r="W70" i="11"/>
  <c r="X70" i="39"/>
  <c r="W70" i="39"/>
  <c r="Y70" i="39"/>
  <c r="Y71" i="11"/>
  <c r="X71" i="11"/>
  <c r="Z66" i="11"/>
  <c r="B56" i="12" s="1"/>
  <c r="G56" i="12" s="1"/>
  <c r="Z65" i="11"/>
  <c r="B55" i="12" s="1"/>
  <c r="G55" i="12" s="1"/>
  <c r="X72" i="11"/>
  <c r="Z58" i="11"/>
  <c r="B48" i="12" s="1"/>
  <c r="G48" i="12" s="1"/>
  <c r="Y72" i="11"/>
  <c r="D48" i="38"/>
  <c r="M48" i="38" s="1"/>
  <c r="AC41" i="39"/>
  <c r="J41" i="39"/>
  <c r="T41" i="39" s="1"/>
  <c r="Y71" i="39"/>
  <c r="X71" i="39"/>
  <c r="W71" i="39"/>
  <c r="X72" i="39"/>
  <c r="W72" i="39"/>
  <c r="Y72" i="39"/>
  <c r="Z58" i="39"/>
  <c r="AC41" i="11"/>
  <c r="AC56" i="11" s="1"/>
  <c r="J41" i="11"/>
  <c r="T41" i="11" s="1"/>
  <c r="T56" i="11" s="1"/>
  <c r="B25" i="12"/>
  <c r="F25" i="12" s="1"/>
  <c r="Y18" i="11"/>
  <c r="X45" i="11"/>
  <c r="B41" i="12"/>
  <c r="B32" i="12"/>
  <c r="B29" i="12"/>
  <c r="B20" i="12"/>
  <c r="B11" i="12"/>
  <c r="F22" i="19"/>
  <c r="Z27" i="11"/>
  <c r="Y45" i="11"/>
  <c r="W15" i="11"/>
  <c r="Y38" i="11"/>
  <c r="X18" i="11"/>
  <c r="X38" i="11"/>
  <c r="X15" i="11"/>
  <c r="X22" i="11"/>
  <c r="W18" i="11"/>
  <c r="Y22" i="11"/>
  <c r="Y15" i="11"/>
  <c r="W16" i="11"/>
  <c r="X16" i="11"/>
  <c r="W22" i="11"/>
  <c r="Y16" i="11"/>
  <c r="X26" i="11"/>
  <c r="W24" i="11"/>
  <c r="Y26" i="11"/>
  <c r="X24" i="11"/>
  <c r="Y24" i="11"/>
  <c r="X17" i="11"/>
  <c r="W38" i="11"/>
  <c r="W26" i="11"/>
  <c r="W17" i="11"/>
  <c r="W45" i="11"/>
  <c r="Y44" i="11"/>
  <c r="W44" i="11"/>
  <c r="X44" i="11"/>
  <c r="T62" i="11"/>
  <c r="W59" i="11"/>
  <c r="X59" i="11"/>
  <c r="Y59" i="11"/>
  <c r="Z64" i="11"/>
  <c r="Z14" i="11"/>
  <c r="B4" i="12" s="1"/>
  <c r="F4" i="12" s="1"/>
  <c r="K4" i="12" s="1"/>
  <c r="J48" i="12"/>
  <c r="E49" i="13" s="1"/>
  <c r="E5" i="13"/>
  <c r="E5" i="18"/>
  <c r="D57" i="13"/>
  <c r="D24" i="18"/>
  <c r="D33" i="13"/>
  <c r="D13" i="18"/>
  <c r="D42" i="13"/>
  <c r="D14" i="18"/>
  <c r="D56" i="13"/>
  <c r="D23" i="18"/>
  <c r="D55" i="13"/>
  <c r="D22" i="18"/>
  <c r="D49" i="13"/>
  <c r="D18" i="18"/>
  <c r="F15" i="19"/>
  <c r="E54" i="12"/>
  <c r="F51" i="9"/>
  <c r="C20" i="29" s="1"/>
  <c r="C10" i="29"/>
  <c r="C9" i="29"/>
  <c r="F50" i="9"/>
  <c r="C19" i="29" s="1"/>
  <c r="C29" i="29"/>
  <c r="C51" i="12"/>
  <c r="H4" i="12"/>
  <c r="C55" i="12"/>
  <c r="C56" i="12"/>
  <c r="H48" i="12"/>
  <c r="I33" i="10"/>
  <c r="E30" i="4" s="1"/>
  <c r="F30" i="4" s="1"/>
  <c r="B34" i="10"/>
  <c r="B30" i="10"/>
  <c r="B31" i="10" s="1"/>
  <c r="B27" i="10"/>
  <c r="E17" i="19"/>
  <c r="F36" i="4"/>
  <c r="F35" i="4"/>
  <c r="P25" i="27" s="1"/>
  <c r="F34" i="4"/>
  <c r="F32" i="4"/>
  <c r="F31" i="4"/>
  <c r="P21" i="27" s="1"/>
  <c r="F21" i="4"/>
  <c r="F20" i="4"/>
  <c r="P9" i="27"/>
  <c r="P8" i="27"/>
  <c r="D10" i="29" l="1"/>
  <c r="G51" i="9"/>
  <c r="D20" i="29" s="1"/>
  <c r="Y16" i="27"/>
  <c r="P33" i="27"/>
  <c r="Z70" i="39"/>
  <c r="C60" i="38" s="1"/>
  <c r="D60" i="38"/>
  <c r="Z70" i="11"/>
  <c r="B60" i="12" s="1"/>
  <c r="G60" i="12" s="1"/>
  <c r="B61" i="13" s="1"/>
  <c r="Z71" i="11"/>
  <c r="B61" i="12" s="1"/>
  <c r="Z72" i="39"/>
  <c r="C62" i="38" s="1"/>
  <c r="Z72" i="11"/>
  <c r="B62" i="12" s="1"/>
  <c r="Z71" i="39"/>
  <c r="C61" i="38" s="1"/>
  <c r="Z62" i="39"/>
  <c r="C48" i="38"/>
  <c r="D61" i="38"/>
  <c r="T56" i="39"/>
  <c r="D62" i="38"/>
  <c r="AC56" i="39"/>
  <c r="F35" i="19"/>
  <c r="C17" i="37" s="1"/>
  <c r="H17" i="37" s="1"/>
  <c r="C16" i="27"/>
  <c r="P26" i="27"/>
  <c r="Q26" i="27" s="1"/>
  <c r="S26" i="27" s="1"/>
  <c r="Y8" i="27"/>
  <c r="B22" i="30"/>
  <c r="C22" i="30" s="1"/>
  <c r="B22" i="35"/>
  <c r="P7" i="27"/>
  <c r="C9" i="27"/>
  <c r="P24" i="27"/>
  <c r="C15" i="27"/>
  <c r="P10" i="27"/>
  <c r="C11" i="27"/>
  <c r="P14" i="27"/>
  <c r="C12" i="27"/>
  <c r="P22" i="27"/>
  <c r="F11" i="12"/>
  <c r="K11" i="12" s="1"/>
  <c r="F12" i="13" s="1"/>
  <c r="G11" i="12"/>
  <c r="B12" i="13" s="1"/>
  <c r="F20" i="12"/>
  <c r="K20" i="12" s="1"/>
  <c r="F21" i="13" s="1"/>
  <c r="G20" i="12"/>
  <c r="B21" i="13" s="1"/>
  <c r="G4" i="12"/>
  <c r="B5" i="13" s="1"/>
  <c r="F48" i="12"/>
  <c r="K48" i="12" s="1"/>
  <c r="F29" i="12"/>
  <c r="K29" i="12" s="1"/>
  <c r="G29" i="12"/>
  <c r="B56" i="13"/>
  <c r="B23" i="18"/>
  <c r="B57" i="13"/>
  <c r="B24" i="18"/>
  <c r="F32" i="12"/>
  <c r="K32" i="12" s="1"/>
  <c r="F33" i="13" s="1"/>
  <c r="G32" i="12"/>
  <c r="F41" i="12"/>
  <c r="K41" i="12" s="1"/>
  <c r="G41" i="12"/>
  <c r="K25" i="12"/>
  <c r="F26" i="13" s="1"/>
  <c r="G25" i="12"/>
  <c r="B54" i="12"/>
  <c r="G54" i="12" s="1"/>
  <c r="B22" i="18" s="1"/>
  <c r="B18" i="18"/>
  <c r="B49" i="13"/>
  <c r="B17" i="12"/>
  <c r="F20" i="19"/>
  <c r="F34" i="19"/>
  <c r="B19" i="33"/>
  <c r="AH7" i="27"/>
  <c r="F31" i="19"/>
  <c r="AH8" i="27"/>
  <c r="B20" i="15"/>
  <c r="G20" i="15" s="1"/>
  <c r="B16" i="15"/>
  <c r="G16" i="15" s="1"/>
  <c r="Z18" i="11"/>
  <c r="Z45" i="11"/>
  <c r="Z38" i="11"/>
  <c r="Z22" i="11"/>
  <c r="Z15" i="11"/>
  <c r="Z17" i="11"/>
  <c r="Z24" i="11"/>
  <c r="Z16" i="11"/>
  <c r="Z26" i="11"/>
  <c r="F33" i="19"/>
  <c r="B21" i="35"/>
  <c r="B21" i="30"/>
  <c r="C21" i="30" s="1"/>
  <c r="B19" i="30"/>
  <c r="C19" i="30" s="1"/>
  <c r="B19" i="35"/>
  <c r="E19" i="35" s="1"/>
  <c r="Z44" i="11"/>
  <c r="Z59" i="11"/>
  <c r="B49" i="12" s="1"/>
  <c r="F49" i="12" s="1"/>
  <c r="K49" i="12" s="1"/>
  <c r="F50" i="13" s="1"/>
  <c r="B16" i="35"/>
  <c r="E16" i="35" s="1"/>
  <c r="E18" i="18"/>
  <c r="B14" i="35"/>
  <c r="C14" i="35" s="1"/>
  <c r="F5" i="13"/>
  <c r="F5" i="18"/>
  <c r="C5" i="13"/>
  <c r="C5" i="18"/>
  <c r="C49" i="13"/>
  <c r="C18" i="18"/>
  <c r="J54" i="12"/>
  <c r="F19" i="19"/>
  <c r="B16" i="30"/>
  <c r="C16" i="30" s="1"/>
  <c r="B14" i="30"/>
  <c r="C14" i="30" s="1"/>
  <c r="F30" i="19"/>
  <c r="E42" i="9"/>
  <c r="E62" i="9" s="1"/>
  <c r="C54" i="12"/>
  <c r="H54" i="12" s="1"/>
  <c r="H56" i="12"/>
  <c r="F56" i="12"/>
  <c r="K56" i="12" s="1"/>
  <c r="H55" i="12"/>
  <c r="F55" i="12"/>
  <c r="K55" i="12" s="1"/>
  <c r="I26" i="10"/>
  <c r="E29" i="4" s="1"/>
  <c r="B15" i="15"/>
  <c r="G15" i="15" s="1"/>
  <c r="B10" i="15"/>
  <c r="G10" i="15" s="1"/>
  <c r="E48" i="19"/>
  <c r="H48" i="38" l="1"/>
  <c r="Q48" i="38" s="1"/>
  <c r="L48" i="38"/>
  <c r="F60" i="12"/>
  <c r="K60" i="12" s="1"/>
  <c r="F61" i="13" s="1"/>
  <c r="H60" i="38"/>
  <c r="H61" i="38"/>
  <c r="H62" i="38"/>
  <c r="Y62" i="39"/>
  <c r="X62" i="39"/>
  <c r="K31" i="27"/>
  <c r="K10" i="27" s="1"/>
  <c r="G19" i="27"/>
  <c r="C22" i="35"/>
  <c r="E22" i="35"/>
  <c r="D22" i="30"/>
  <c r="F22" i="30"/>
  <c r="B5" i="18"/>
  <c r="F17" i="12"/>
  <c r="K17" i="12" s="1"/>
  <c r="F18" i="13" s="1"/>
  <c r="G17" i="12"/>
  <c r="B18" i="13" s="1"/>
  <c r="F62" i="12"/>
  <c r="K62" i="12" s="1"/>
  <c r="F63" i="13" s="1"/>
  <c r="G62" i="12"/>
  <c r="B63" i="13" s="1"/>
  <c r="C12" i="37"/>
  <c r="H12" i="37" s="1"/>
  <c r="B51" i="12"/>
  <c r="G49" i="12"/>
  <c r="B50" i="13" s="1"/>
  <c r="B55" i="13"/>
  <c r="F9" i="18"/>
  <c r="B33" i="13"/>
  <c r="B13" i="18"/>
  <c r="B26" i="13"/>
  <c r="B9" i="18"/>
  <c r="F13" i="18"/>
  <c r="B42" i="13"/>
  <c r="B14" i="18"/>
  <c r="B30" i="13"/>
  <c r="B10" i="18"/>
  <c r="F14" i="18"/>
  <c r="F42" i="13"/>
  <c r="F10" i="18"/>
  <c r="F30" i="13"/>
  <c r="B12" i="12"/>
  <c r="F51" i="12"/>
  <c r="F61" i="12"/>
  <c r="K61" i="12" s="1"/>
  <c r="F62" i="13" s="1"/>
  <c r="G61" i="12"/>
  <c r="B62" i="13" s="1"/>
  <c r="B7" i="12"/>
  <c r="B34" i="12"/>
  <c r="B16" i="12"/>
  <c r="B28" i="12"/>
  <c r="B6" i="12"/>
  <c r="B8" i="12"/>
  <c r="B5" i="12"/>
  <c r="G5" i="12" s="1"/>
  <c r="B6" i="13" s="1"/>
  <c r="B14" i="12"/>
  <c r="B35" i="12"/>
  <c r="AH22" i="27"/>
  <c r="AH9" i="27"/>
  <c r="Q9" i="27"/>
  <c r="S9" i="27" s="1"/>
  <c r="C10" i="37"/>
  <c r="H10" i="37" s="1"/>
  <c r="Q8" i="27"/>
  <c r="S8" i="27" s="1"/>
  <c r="C13" i="37"/>
  <c r="H13" i="37" s="1"/>
  <c r="C16" i="37"/>
  <c r="H16" i="37" s="1"/>
  <c r="D16" i="30"/>
  <c r="F16" i="30"/>
  <c r="D19" i="30"/>
  <c r="F19" i="30"/>
  <c r="D14" i="30"/>
  <c r="F14" i="30"/>
  <c r="D21" i="30"/>
  <c r="F21" i="30"/>
  <c r="Q24" i="27"/>
  <c r="S24" i="27" s="1"/>
  <c r="C21" i="35"/>
  <c r="E21" i="35"/>
  <c r="Z62" i="11"/>
  <c r="AH20" i="27"/>
  <c r="F16" i="35"/>
  <c r="I16" i="35"/>
  <c r="AH25" i="27"/>
  <c r="Q25" i="27"/>
  <c r="S25" i="27" s="1"/>
  <c r="C16" i="35"/>
  <c r="E28" i="19"/>
  <c r="C19" i="35"/>
  <c r="E14" i="35"/>
  <c r="C57" i="13"/>
  <c r="C24" i="18"/>
  <c r="F49" i="13"/>
  <c r="F18" i="18"/>
  <c r="F56" i="13"/>
  <c r="F23" i="18"/>
  <c r="C55" i="13"/>
  <c r="C22" i="18"/>
  <c r="C56" i="13"/>
  <c r="C23" i="18"/>
  <c r="F57" i="13"/>
  <c r="F24" i="18"/>
  <c r="E55" i="13"/>
  <c r="E22" i="18"/>
  <c r="F54" i="12"/>
  <c r="K54" i="12" s="1"/>
  <c r="B11" i="29"/>
  <c r="E52" i="9"/>
  <c r="B21" i="29" s="1"/>
  <c r="B31" i="29"/>
  <c r="G42" i="9"/>
  <c r="G62" i="9" s="1"/>
  <c r="E29" i="19"/>
  <c r="F29" i="4"/>
  <c r="C29" i="43" s="1"/>
  <c r="D29" i="43" s="1"/>
  <c r="F29" i="43" s="1"/>
  <c r="P20" i="27" l="1"/>
  <c r="I22" i="35"/>
  <c r="F22" i="35"/>
  <c r="P19" i="27"/>
  <c r="C14" i="27"/>
  <c r="K27" i="27"/>
  <c r="G15" i="27"/>
  <c r="K26" i="27"/>
  <c r="G14" i="27"/>
  <c r="K30" i="27"/>
  <c r="G18" i="27"/>
  <c r="K24" i="27"/>
  <c r="G12" i="27"/>
  <c r="F14" i="12"/>
  <c r="K14" i="12" s="1"/>
  <c r="F15" i="13" s="1"/>
  <c r="G14" i="12"/>
  <c r="B15" i="13" s="1"/>
  <c r="F28" i="12"/>
  <c r="K28" i="12" s="1"/>
  <c r="F29" i="13" s="1"/>
  <c r="G28" i="12"/>
  <c r="B29" i="13" s="1"/>
  <c r="F6" i="12"/>
  <c r="K6" i="12" s="1"/>
  <c r="F7" i="13" s="1"/>
  <c r="G6" i="12"/>
  <c r="B7" i="13" s="1"/>
  <c r="F7" i="12"/>
  <c r="K7" i="12" s="1"/>
  <c r="F8" i="13" s="1"/>
  <c r="G7" i="12"/>
  <c r="B8" i="13" s="1"/>
  <c r="F12" i="12"/>
  <c r="K12" i="12" s="1"/>
  <c r="F13" i="13" s="1"/>
  <c r="G12" i="12"/>
  <c r="B13" i="13" s="1"/>
  <c r="F35" i="12"/>
  <c r="K35" i="12" s="1"/>
  <c r="F36" i="13" s="1"/>
  <c r="G35" i="12"/>
  <c r="B36" i="13" s="1"/>
  <c r="F8" i="12"/>
  <c r="K8" i="12" s="1"/>
  <c r="F9" i="13" s="1"/>
  <c r="G8" i="12"/>
  <c r="B9" i="13" s="1"/>
  <c r="F16" i="12"/>
  <c r="K16" i="12" s="1"/>
  <c r="F17" i="13" s="1"/>
  <c r="G16" i="12"/>
  <c r="B17" i="13" s="1"/>
  <c r="Q10" i="27"/>
  <c r="S10" i="27" s="1"/>
  <c r="F34" i="12"/>
  <c r="K34" i="12" s="1"/>
  <c r="F35" i="13" s="1"/>
  <c r="G34" i="12"/>
  <c r="B35" i="13" s="1"/>
  <c r="F5" i="12"/>
  <c r="Q22" i="27"/>
  <c r="S22" i="27" s="1"/>
  <c r="AH24" i="27"/>
  <c r="I21" i="35"/>
  <c r="F21" i="35"/>
  <c r="B18" i="35"/>
  <c r="X62" i="11"/>
  <c r="Y62" i="11"/>
  <c r="Q21" i="27"/>
  <c r="S21" i="27" s="1"/>
  <c r="F19" i="35"/>
  <c r="I19" i="35"/>
  <c r="F14" i="35"/>
  <c r="I14" i="35"/>
  <c r="AH6" i="27"/>
  <c r="Q7" i="27"/>
  <c r="S7" i="27" s="1"/>
  <c r="AH13" i="27"/>
  <c r="Q14" i="27"/>
  <c r="S14" i="27" s="1"/>
  <c r="F55" i="13"/>
  <c r="F22" i="18"/>
  <c r="D76" i="12"/>
  <c r="E40" i="9" s="1"/>
  <c r="B18" i="30"/>
  <c r="D11" i="29"/>
  <c r="G52" i="9"/>
  <c r="D21" i="29" s="1"/>
  <c r="D31" i="29"/>
  <c r="F29" i="19"/>
  <c r="C76" i="12"/>
  <c r="E39" i="9" s="1"/>
  <c r="E59" i="9" s="1"/>
  <c r="B18" i="15"/>
  <c r="F28" i="19"/>
  <c r="F18" i="30" l="1"/>
  <c r="C18" i="30"/>
  <c r="E60" i="9"/>
  <c r="B29" i="29" s="1"/>
  <c r="K5" i="12"/>
  <c r="F6" i="13" s="1"/>
  <c r="C15" i="37"/>
  <c r="H15" i="37" s="1"/>
  <c r="E18" i="35"/>
  <c r="D18" i="30"/>
  <c r="C18" i="35"/>
  <c r="G18" i="15"/>
  <c r="AH19" i="27"/>
  <c r="G40" i="9"/>
  <c r="E50" i="9"/>
  <c r="B19" i="29" s="1"/>
  <c r="B9" i="29"/>
  <c r="B8" i="29"/>
  <c r="E49" i="9"/>
  <c r="B18" i="29" s="1"/>
  <c r="B28" i="29"/>
  <c r="F6" i="4"/>
  <c r="E6" i="19"/>
  <c r="F44" i="4"/>
  <c r="G50" i="9" l="1"/>
  <c r="D19" i="29" s="1"/>
  <c r="G60" i="9"/>
  <c r="D29" i="29" s="1"/>
  <c r="B31" i="30"/>
  <c r="C31" i="30" s="1"/>
  <c r="C23" i="27"/>
  <c r="C8" i="27"/>
  <c r="P6" i="27"/>
  <c r="K29" i="27"/>
  <c r="G17" i="27"/>
  <c r="F18" i="35"/>
  <c r="I18" i="35"/>
  <c r="Q20" i="27"/>
  <c r="S20" i="27" s="1"/>
  <c r="AH18" i="27"/>
  <c r="Q19" i="27"/>
  <c r="S19" i="27" s="1"/>
  <c r="E31" i="35"/>
  <c r="B31" i="35"/>
  <c r="B13" i="35"/>
  <c r="F6" i="19"/>
  <c r="C9" i="37" s="1"/>
  <c r="H9" i="37" s="1"/>
  <c r="B13" i="30"/>
  <c r="C13" i="30" s="1"/>
  <c r="D9" i="29"/>
  <c r="F43" i="19"/>
  <c r="B9" i="15"/>
  <c r="F31" i="30" l="1"/>
  <c r="N15" i="37"/>
  <c r="B39" i="30"/>
  <c r="D39" i="30" s="1"/>
  <c r="B40" i="30"/>
  <c r="C24" i="37"/>
  <c r="H23" i="37" s="1"/>
  <c r="D31" i="30"/>
  <c r="D40" i="30" s="1"/>
  <c r="D13" i="30"/>
  <c r="F13" i="30"/>
  <c r="E13" i="35"/>
  <c r="C31" i="35"/>
  <c r="I31" i="35"/>
  <c r="Q6" i="27"/>
  <c r="F31" i="35"/>
  <c r="C13" i="35"/>
  <c r="G9" i="15"/>
  <c r="F39" i="19"/>
  <c r="F41" i="4"/>
  <c r="D40" i="19"/>
  <c r="F18" i="4"/>
  <c r="F17" i="4"/>
  <c r="B13" i="15" s="1"/>
  <c r="B14" i="15" l="1"/>
  <c r="G14" i="15" s="1"/>
  <c r="S6" i="27"/>
  <c r="P13" i="27"/>
  <c r="C21" i="27"/>
  <c r="P29" i="27"/>
  <c r="K23" i="27"/>
  <c r="G11" i="27"/>
  <c r="K38" i="27"/>
  <c r="K14" i="27" s="1"/>
  <c r="G25" i="27"/>
  <c r="F17" i="19"/>
  <c r="I13" i="35"/>
  <c r="F13" i="35"/>
  <c r="F16" i="19"/>
  <c r="G13" i="15"/>
  <c r="F40" i="19"/>
  <c r="F14" i="4"/>
  <c r="E13" i="19"/>
  <c r="F15" i="4"/>
  <c r="P12" i="27" s="1"/>
  <c r="E14" i="19"/>
  <c r="D24" i="19"/>
  <c r="P11" i="27" l="1"/>
  <c r="C10" i="27"/>
  <c r="C22" i="37"/>
  <c r="B15" i="30"/>
  <c r="C15" i="30" s="1"/>
  <c r="B15" i="35"/>
  <c r="E15" i="35" s="1"/>
  <c r="AH27" i="27"/>
  <c r="Q28" i="27"/>
  <c r="S28" i="27" s="1"/>
  <c r="F48" i="19"/>
  <c r="B76" i="12"/>
  <c r="F14" i="19"/>
  <c r="B12" i="15"/>
  <c r="G12" i="15" s="1"/>
  <c r="F13" i="19"/>
  <c r="B11" i="15"/>
  <c r="Q29" i="27"/>
  <c r="S29" i="27" s="1"/>
  <c r="F25" i="4"/>
  <c r="P15" i="27" l="1"/>
  <c r="K36" i="27"/>
  <c r="C11" i="37"/>
  <c r="H11" i="37" s="1"/>
  <c r="C27" i="37"/>
  <c r="D15" i="30"/>
  <c r="F15" i="30"/>
  <c r="AH12" i="27"/>
  <c r="Q13" i="27"/>
  <c r="S13" i="27" s="1"/>
  <c r="C15" i="35"/>
  <c r="G11" i="15"/>
  <c r="E38" i="9"/>
  <c r="E58" i="9" s="1"/>
  <c r="F76" i="12"/>
  <c r="AH28" i="27"/>
  <c r="F24" i="19"/>
  <c r="K41" i="27" l="1"/>
  <c r="K25" i="27"/>
  <c r="G13" i="27"/>
  <c r="F15" i="35"/>
  <c r="I15" i="35"/>
  <c r="AH10" i="27"/>
  <c r="Q11" i="27"/>
  <c r="AH11" i="27"/>
  <c r="Q12" i="27"/>
  <c r="S12" i="27" s="1"/>
  <c r="AH32" i="27"/>
  <c r="Q33" i="27"/>
  <c r="S33" i="27" s="1"/>
  <c r="B7" i="29"/>
  <c r="E48" i="9"/>
  <c r="B17" i="29" s="1"/>
  <c r="B27" i="29"/>
  <c r="S11" i="27" l="1"/>
  <c r="AH14" i="27"/>
  <c r="Q15" i="27"/>
  <c r="S15" i="27" s="1"/>
  <c r="B12" i="29"/>
  <c r="E53" i="9"/>
  <c r="B22" i="29" s="1"/>
  <c r="E44" i="9"/>
  <c r="B32" i="29"/>
  <c r="E54" i="9" l="1"/>
  <c r="B23" i="29" s="1"/>
  <c r="E64" i="9"/>
  <c r="B33" i="29" s="1"/>
  <c r="B13" i="29"/>
  <c r="E41" i="19" l="1"/>
  <c r="F42" i="4"/>
  <c r="C22" i="27" l="1"/>
  <c r="C23" i="37"/>
  <c r="Y13" i="27"/>
  <c r="Y5" i="27" s="1"/>
  <c r="P30" i="27"/>
  <c r="P4" i="27" s="1"/>
  <c r="B25" i="15"/>
  <c r="G25" i="15" s="1"/>
  <c r="B27" i="35"/>
  <c r="E27" i="35" s="1"/>
  <c r="F27" i="35" s="1"/>
  <c r="B27" i="30"/>
  <c r="C27" i="30" s="1"/>
  <c r="E4" i="4"/>
  <c r="F41" i="19"/>
  <c r="N13" i="37" l="1"/>
  <c r="F27" i="30"/>
  <c r="E10" i="35"/>
  <c r="F10" i="35" s="1"/>
  <c r="D27" i="30"/>
  <c r="C27" i="35"/>
  <c r="I27" i="35"/>
  <c r="E4" i="19"/>
  <c r="F4" i="4"/>
  <c r="C6" i="27" s="1"/>
  <c r="Q30" i="27"/>
  <c r="S30" i="27" s="1"/>
  <c r="K37" i="27" l="1"/>
  <c r="K12" i="27" s="1"/>
  <c r="G24" i="27"/>
  <c r="B10" i="35"/>
  <c r="C10" i="35" s="1"/>
  <c r="F4" i="19"/>
  <c r="C7" i="37" s="1"/>
  <c r="B10" i="30"/>
  <c r="B7" i="15"/>
  <c r="AH29" i="27"/>
  <c r="D10" i="30" l="1"/>
  <c r="N8" i="37"/>
  <c r="K7" i="27"/>
  <c r="Q4" i="27"/>
  <c r="S4" i="27" s="1"/>
  <c r="G7" i="15"/>
  <c r="D73" i="36" l="1"/>
  <c r="E73" i="6" s="1"/>
  <c r="R217" i="36" l="1"/>
  <c r="R222" i="36" s="1"/>
  <c r="R291" i="36"/>
  <c r="R296" i="36" s="1"/>
  <c r="R143" i="36"/>
  <c r="R148" i="36" s="1"/>
  <c r="R69" i="36"/>
  <c r="R74" i="36" s="1"/>
  <c r="D74" i="36" s="1"/>
  <c r="E74" i="6" s="1"/>
  <c r="L74" i="11" s="1"/>
  <c r="N74" i="11" s="1"/>
  <c r="O74" i="11" s="1"/>
  <c r="AH74" i="11" s="1"/>
  <c r="L73" i="39"/>
  <c r="N73" i="39" s="1"/>
  <c r="O73" i="39" s="1"/>
  <c r="L73" i="11"/>
  <c r="N73" i="11" s="1"/>
  <c r="D69" i="36" l="1"/>
  <c r="E69" i="6" s="1"/>
  <c r="L69" i="39" s="1"/>
  <c r="L74" i="39" s="1"/>
  <c r="N74" i="39" s="1"/>
  <c r="O74" i="39" s="1"/>
  <c r="AH74" i="39" s="1"/>
  <c r="AL74" i="11"/>
  <c r="AM74" i="11" s="1"/>
  <c r="E64" i="12" s="1"/>
  <c r="J64" i="12" s="1"/>
  <c r="E65" i="13" s="1"/>
  <c r="O73" i="11"/>
  <c r="AL73" i="39"/>
  <c r="AI74" i="11"/>
  <c r="AJ74" i="11"/>
  <c r="D64" i="12" s="1"/>
  <c r="I64" i="12" s="1"/>
  <c r="D65" i="13" s="1"/>
  <c r="L69" i="11" l="1"/>
  <c r="N69" i="11" s="1"/>
  <c r="O69" i="11" s="1"/>
  <c r="M59" i="12" s="1"/>
  <c r="F60" i="41" s="1"/>
  <c r="N69" i="39"/>
  <c r="O69" i="39" s="1"/>
  <c r="AH69" i="39" s="1"/>
  <c r="AJ69" i="39" s="1"/>
  <c r="F59" i="38" s="1"/>
  <c r="AL74" i="39"/>
  <c r="AM74" i="39" s="1"/>
  <c r="G64" i="38" s="1"/>
  <c r="W64" i="38" s="1"/>
  <c r="AI74" i="39"/>
  <c r="AJ74" i="39"/>
  <c r="F64" i="38" s="1"/>
  <c r="V64" i="38" s="1"/>
  <c r="D73" i="39"/>
  <c r="D73" i="11"/>
  <c r="AL73" i="11"/>
  <c r="AM73" i="11" s="1"/>
  <c r="E63" i="12" s="1"/>
  <c r="J63" i="12" s="1"/>
  <c r="AM73" i="39"/>
  <c r="F64" i="41" l="1"/>
  <c r="F61" i="41"/>
  <c r="F63" i="41"/>
  <c r="AH69" i="11"/>
  <c r="AI69" i="11" s="1"/>
  <c r="AI83" i="11" s="1"/>
  <c r="F65" i="41"/>
  <c r="F62" i="41"/>
  <c r="J65" i="41"/>
  <c r="J73" i="41" s="1"/>
  <c r="AL69" i="11"/>
  <c r="AL83" i="11" s="1"/>
  <c r="D33" i="4" s="1"/>
  <c r="L65" i="41"/>
  <c r="L73" i="41" s="1"/>
  <c r="H65" i="41"/>
  <c r="H73" i="41" s="1"/>
  <c r="L59" i="12"/>
  <c r="N65" i="41"/>
  <c r="N73" i="41" s="1"/>
  <c r="AH83" i="39"/>
  <c r="AI69" i="39"/>
  <c r="AI83" i="39" s="1"/>
  <c r="AL69" i="39"/>
  <c r="AM69" i="39" s="1"/>
  <c r="G59" i="38" s="1"/>
  <c r="W62" i="38" s="1"/>
  <c r="V61" i="38"/>
  <c r="V62" i="38"/>
  <c r="V63" i="38"/>
  <c r="V60" i="38"/>
  <c r="J73" i="11"/>
  <c r="T73" i="11" s="1"/>
  <c r="AC73" i="11"/>
  <c r="C63" i="12" s="1"/>
  <c r="H63" i="12" s="1"/>
  <c r="C64" i="13" s="1"/>
  <c r="J73" i="39"/>
  <c r="T73" i="39" s="1"/>
  <c r="AC73" i="39"/>
  <c r="E63" i="38" s="1"/>
  <c r="D69" i="11"/>
  <c r="D69" i="39"/>
  <c r="G63" i="38"/>
  <c r="D32" i="19" l="1"/>
  <c r="AJ69" i="11"/>
  <c r="D59" i="12" s="1"/>
  <c r="D72" i="12" s="1"/>
  <c r="D74" i="12" s="1"/>
  <c r="AC69" i="11"/>
  <c r="C59" i="12" s="1"/>
  <c r="AH83" i="11"/>
  <c r="AM69" i="11"/>
  <c r="E59" i="12" s="1"/>
  <c r="E72" i="12" s="1"/>
  <c r="AM83" i="39"/>
  <c r="AL83" i="39"/>
  <c r="W60" i="38"/>
  <c r="W61" i="38"/>
  <c r="W63" i="38"/>
  <c r="AO29" i="39"/>
  <c r="AO29" i="11"/>
  <c r="X73" i="11"/>
  <c r="W73" i="11"/>
  <c r="Y73" i="11"/>
  <c r="W73" i="39"/>
  <c r="X73" i="39"/>
  <c r="Y73" i="39"/>
  <c r="AC69" i="39"/>
  <c r="J69" i="39"/>
  <c r="T69" i="39" s="1"/>
  <c r="J69" i="11"/>
  <c r="T69" i="11" s="1"/>
  <c r="D74" i="39"/>
  <c r="D74" i="11"/>
  <c r="D27" i="4" l="1"/>
  <c r="C28" i="43" s="1"/>
  <c r="D28" i="43" s="1"/>
  <c r="F28" i="43" s="1"/>
  <c r="F30" i="43" s="1"/>
  <c r="B36" i="43" s="1"/>
  <c r="B37" i="43" s="1"/>
  <c r="B39" i="43" s="1"/>
  <c r="F33" i="4"/>
  <c r="P23" i="27" s="1"/>
  <c r="I59" i="12"/>
  <c r="D60" i="13" s="1"/>
  <c r="AM83" i="11"/>
  <c r="J59" i="12"/>
  <c r="E60" i="13" s="1"/>
  <c r="U29" i="11"/>
  <c r="V29" i="11" s="1"/>
  <c r="AF29" i="11"/>
  <c r="C19" i="12" s="1"/>
  <c r="H19" i="12" s="1"/>
  <c r="C20" i="13" s="1"/>
  <c r="AF29" i="39"/>
  <c r="E19" i="38" s="1"/>
  <c r="N19" i="38" s="1"/>
  <c r="U29" i="39"/>
  <c r="V29" i="39" s="1"/>
  <c r="Z73" i="11"/>
  <c r="B63" i="12" s="1"/>
  <c r="G63" i="12" s="1"/>
  <c r="B64" i="13" s="1"/>
  <c r="Z73" i="39"/>
  <c r="C63" i="38" s="1"/>
  <c r="D63" i="38"/>
  <c r="AO43" i="39"/>
  <c r="AO43" i="11"/>
  <c r="AO40" i="39"/>
  <c r="AO40" i="11"/>
  <c r="AO74" i="39"/>
  <c r="AO74" i="11"/>
  <c r="AO32" i="39"/>
  <c r="AO32" i="11"/>
  <c r="AO36" i="39"/>
  <c r="AO36" i="11"/>
  <c r="J74" i="11"/>
  <c r="T74" i="11" s="1"/>
  <c r="AC74" i="11"/>
  <c r="AO46" i="39"/>
  <c r="AO46" i="11"/>
  <c r="AO23" i="39"/>
  <c r="AO23" i="11"/>
  <c r="AO33" i="39"/>
  <c r="AO33" i="11"/>
  <c r="AO47" i="39"/>
  <c r="AO47" i="11"/>
  <c r="AO20" i="39"/>
  <c r="AO20" i="11"/>
  <c r="AO37" i="39"/>
  <c r="AO37" i="11"/>
  <c r="AC74" i="39"/>
  <c r="J74" i="39"/>
  <c r="T74" i="39" s="1"/>
  <c r="T83" i="39" s="1"/>
  <c r="AO25" i="39"/>
  <c r="AO25" i="11"/>
  <c r="X69" i="11"/>
  <c r="Y69" i="11"/>
  <c r="W69" i="11"/>
  <c r="AO41" i="39"/>
  <c r="AO41" i="11"/>
  <c r="AO19" i="39"/>
  <c r="AO19" i="11"/>
  <c r="Y69" i="39"/>
  <c r="X69" i="39"/>
  <c r="W69" i="39"/>
  <c r="AO34" i="39"/>
  <c r="AO34" i="11"/>
  <c r="AO28" i="39"/>
  <c r="AO28" i="11"/>
  <c r="E59" i="38"/>
  <c r="Y10" i="27"/>
  <c r="Y9" i="27"/>
  <c r="C18" i="27"/>
  <c r="C19" i="37"/>
  <c r="H19" i="37" s="1"/>
  <c r="H59" i="12"/>
  <c r="C60" i="13" s="1"/>
  <c r="E74" i="12"/>
  <c r="F27" i="4" l="1"/>
  <c r="Y11" i="27" s="1"/>
  <c r="D26" i="19"/>
  <c r="B22" i="15"/>
  <c r="G22" i="15" s="1"/>
  <c r="B24" i="35"/>
  <c r="E24" i="35" s="1"/>
  <c r="F24" i="35" s="1"/>
  <c r="B24" i="30"/>
  <c r="F24" i="30" s="1"/>
  <c r="F32" i="19"/>
  <c r="P17" i="27"/>
  <c r="Q17" i="27" s="1"/>
  <c r="S17" i="27" s="1"/>
  <c r="B17" i="35"/>
  <c r="C17" i="35" s="1"/>
  <c r="U61" i="38"/>
  <c r="U60" i="38"/>
  <c r="U62" i="38"/>
  <c r="U63" i="38"/>
  <c r="Y29" i="39"/>
  <c r="X29" i="39"/>
  <c r="W29" i="39"/>
  <c r="Y29" i="11"/>
  <c r="W29" i="11"/>
  <c r="X29" i="11"/>
  <c r="H63" i="38"/>
  <c r="F63" i="12"/>
  <c r="K63" i="12" s="1"/>
  <c r="F64" i="13" s="1"/>
  <c r="Z69" i="11"/>
  <c r="B59" i="12" s="1"/>
  <c r="F59" i="12" s="1"/>
  <c r="K59" i="12" s="1"/>
  <c r="F60" i="13" s="1"/>
  <c r="Z69" i="39"/>
  <c r="C59" i="38" s="1"/>
  <c r="AF28" i="39"/>
  <c r="E18" i="38" s="1"/>
  <c r="N18" i="38" s="1"/>
  <c r="U28" i="39"/>
  <c r="V28" i="39" s="1"/>
  <c r="U19" i="11"/>
  <c r="V19" i="11" s="1"/>
  <c r="AF19" i="11"/>
  <c r="AF20" i="39"/>
  <c r="E10" i="38" s="1"/>
  <c r="N10" i="38" s="1"/>
  <c r="U20" i="39"/>
  <c r="V20" i="39" s="1"/>
  <c r="AF23" i="39"/>
  <c r="E13" i="38" s="1"/>
  <c r="N13" i="38" s="1"/>
  <c r="U23" i="39"/>
  <c r="V23" i="39" s="1"/>
  <c r="U32" i="11"/>
  <c r="V32" i="11" s="1"/>
  <c r="AF32" i="11"/>
  <c r="C22" i="12" s="1"/>
  <c r="H22" i="12" s="1"/>
  <c r="C23" i="13" s="1"/>
  <c r="U34" i="11"/>
  <c r="V34" i="11" s="1"/>
  <c r="AF34" i="11"/>
  <c r="C24" i="12" s="1"/>
  <c r="H24" i="12" s="1"/>
  <c r="AF19" i="39"/>
  <c r="U19" i="39"/>
  <c r="V19" i="39" s="1"/>
  <c r="U25" i="11"/>
  <c r="V25" i="11" s="1"/>
  <c r="AF25" i="11"/>
  <c r="C15" i="12" s="1"/>
  <c r="H15" i="12" s="1"/>
  <c r="C16" i="13" s="1"/>
  <c r="U46" i="11"/>
  <c r="V46" i="11" s="1"/>
  <c r="AF46" i="11"/>
  <c r="C36" i="12" s="1"/>
  <c r="H36" i="12" s="1"/>
  <c r="C37" i="13" s="1"/>
  <c r="AF32" i="39"/>
  <c r="E22" i="38" s="1"/>
  <c r="N22" i="38" s="1"/>
  <c r="U32" i="39"/>
  <c r="V32" i="39" s="1"/>
  <c r="AF34" i="39"/>
  <c r="E24" i="38" s="1"/>
  <c r="N24" i="38" s="1"/>
  <c r="U34" i="39"/>
  <c r="V34" i="39" s="1"/>
  <c r="U41" i="11"/>
  <c r="V41" i="11" s="1"/>
  <c r="AF41" i="11"/>
  <c r="C31" i="12" s="1"/>
  <c r="H31" i="12" s="1"/>
  <c r="AF25" i="39"/>
  <c r="E15" i="38" s="1"/>
  <c r="N15" i="38" s="1"/>
  <c r="U25" i="39"/>
  <c r="V25" i="39" s="1"/>
  <c r="AF46" i="39"/>
  <c r="E36" i="38" s="1"/>
  <c r="N36" i="38" s="1"/>
  <c r="U46" i="39"/>
  <c r="V46" i="39" s="1"/>
  <c r="AC83" i="11"/>
  <c r="AF47" i="39"/>
  <c r="E37" i="38" s="1"/>
  <c r="N37" i="38" s="1"/>
  <c r="U47" i="39"/>
  <c r="V47" i="39" s="1"/>
  <c r="U40" i="11"/>
  <c r="V40" i="11" s="1"/>
  <c r="AF40" i="11"/>
  <c r="C30" i="12" s="1"/>
  <c r="AC83" i="39"/>
  <c r="D59" i="38"/>
  <c r="T63" i="38" s="1"/>
  <c r="T83" i="11"/>
  <c r="U37" i="11"/>
  <c r="V37" i="11" s="1"/>
  <c r="AF37" i="11"/>
  <c r="C27" i="12" s="1"/>
  <c r="H27" i="12" s="1"/>
  <c r="C28" i="13" s="1"/>
  <c r="U33" i="11"/>
  <c r="V33" i="11" s="1"/>
  <c r="AF33" i="11"/>
  <c r="C23" i="12" s="1"/>
  <c r="H23" i="12" s="1"/>
  <c r="AF40" i="39"/>
  <c r="E30" i="38" s="1"/>
  <c r="N30" i="38" s="1"/>
  <c r="U40" i="39"/>
  <c r="V40" i="39" s="1"/>
  <c r="U74" i="11"/>
  <c r="V74" i="11" s="1"/>
  <c r="V83" i="11" s="1"/>
  <c r="AF74" i="11"/>
  <c r="AF83" i="11" s="1"/>
  <c r="AF41" i="39"/>
  <c r="E31" i="38" s="1"/>
  <c r="N31" i="38" s="1"/>
  <c r="U41" i="39"/>
  <c r="V41" i="39" s="1"/>
  <c r="U47" i="11"/>
  <c r="V47" i="11" s="1"/>
  <c r="AF47" i="11"/>
  <c r="C37" i="12" s="1"/>
  <c r="H37" i="12" s="1"/>
  <c r="C38" i="13" s="1"/>
  <c r="AF74" i="39"/>
  <c r="AF83" i="39" s="1"/>
  <c r="U74" i="39"/>
  <c r="V74" i="39" s="1"/>
  <c r="V83" i="39" s="1"/>
  <c r="AF37" i="39"/>
  <c r="E27" i="38" s="1"/>
  <c r="N27" i="38" s="1"/>
  <c r="U37" i="39"/>
  <c r="V37" i="39" s="1"/>
  <c r="AF33" i="39"/>
  <c r="E23" i="38" s="1"/>
  <c r="N23" i="38" s="1"/>
  <c r="U33" i="39"/>
  <c r="V33" i="39" s="1"/>
  <c r="U36" i="11"/>
  <c r="V36" i="11" s="1"/>
  <c r="AF36" i="11"/>
  <c r="C26" i="12" s="1"/>
  <c r="H26" i="12" s="1"/>
  <c r="C27" i="13" s="1"/>
  <c r="U43" i="11"/>
  <c r="V43" i="11" s="1"/>
  <c r="AF43" i="11"/>
  <c r="C33" i="12" s="1"/>
  <c r="H33" i="12" s="1"/>
  <c r="C34" i="13" s="1"/>
  <c r="U28" i="11"/>
  <c r="V28" i="11" s="1"/>
  <c r="AF28" i="11"/>
  <c r="C18" i="12" s="1"/>
  <c r="H18" i="12" s="1"/>
  <c r="C19" i="13" s="1"/>
  <c r="U20" i="11"/>
  <c r="V20" i="11" s="1"/>
  <c r="AF20" i="11"/>
  <c r="C10" i="12" s="1"/>
  <c r="H10" i="12" s="1"/>
  <c r="U23" i="11"/>
  <c r="V23" i="11" s="1"/>
  <c r="AF23" i="11"/>
  <c r="C13" i="12" s="1"/>
  <c r="H13" i="12" s="1"/>
  <c r="C14" i="13" s="1"/>
  <c r="AF36" i="39"/>
  <c r="E26" i="38" s="1"/>
  <c r="N26" i="38" s="1"/>
  <c r="U36" i="39"/>
  <c r="V36" i="39" s="1"/>
  <c r="AF43" i="39"/>
  <c r="E33" i="38" s="1"/>
  <c r="N33" i="38" s="1"/>
  <c r="U43" i="39"/>
  <c r="V43" i="39" s="1"/>
  <c r="K33" i="27"/>
  <c r="G21" i="27"/>
  <c r="AH23" i="27"/>
  <c r="Q23" i="27"/>
  <c r="S23" i="27" s="1"/>
  <c r="B19" i="15" l="1"/>
  <c r="G19" i="15" s="1"/>
  <c r="B17" i="15"/>
  <c r="G17" i="15" s="1"/>
  <c r="B17" i="30"/>
  <c r="D17" i="30" s="1"/>
  <c r="F26" i="19"/>
  <c r="C14" i="37" s="1"/>
  <c r="H14" i="37" s="1"/>
  <c r="B20" i="35"/>
  <c r="C20" i="35" s="1"/>
  <c r="C13" i="27"/>
  <c r="C29" i="27" s="1"/>
  <c r="B20" i="30"/>
  <c r="C20" i="30" s="1"/>
  <c r="C24" i="35"/>
  <c r="I24" i="35"/>
  <c r="C24" i="30"/>
  <c r="D24" i="30"/>
  <c r="K28" i="27"/>
  <c r="K9" i="27" s="1"/>
  <c r="AH16" i="27"/>
  <c r="E17" i="35"/>
  <c r="I17" i="35" s="1"/>
  <c r="S63" i="38"/>
  <c r="S62" i="38"/>
  <c r="S60" i="38"/>
  <c r="S61" i="38"/>
  <c r="T62" i="38"/>
  <c r="T60" i="38"/>
  <c r="T61" i="38"/>
  <c r="D19" i="38"/>
  <c r="M19" i="38" s="1"/>
  <c r="Z29" i="11"/>
  <c r="B19" i="12" s="1"/>
  <c r="Z29" i="39"/>
  <c r="C19" i="38" s="1"/>
  <c r="L19" i="38" s="1"/>
  <c r="G59" i="12"/>
  <c r="B60" i="13" s="1"/>
  <c r="H59" i="38"/>
  <c r="X74" i="39"/>
  <c r="E64" i="38"/>
  <c r="U64" i="38" s="1"/>
  <c r="W23" i="11"/>
  <c r="Y23" i="11"/>
  <c r="X23" i="11"/>
  <c r="X41" i="39"/>
  <c r="Y41" i="39"/>
  <c r="W41" i="39"/>
  <c r="Y40" i="11"/>
  <c r="W40" i="11"/>
  <c r="X40" i="11"/>
  <c r="X41" i="11"/>
  <c r="W41" i="11"/>
  <c r="Y41" i="11"/>
  <c r="C9" i="12"/>
  <c r="AF56" i="11"/>
  <c r="E26" i="4" s="1"/>
  <c r="W37" i="39"/>
  <c r="X37" i="39"/>
  <c r="Y37" i="39"/>
  <c r="Y74" i="39"/>
  <c r="E28" i="4"/>
  <c r="W19" i="11"/>
  <c r="V56" i="11"/>
  <c r="X19" i="11"/>
  <c r="Y19" i="11"/>
  <c r="Y37" i="11"/>
  <c r="W37" i="11"/>
  <c r="X37" i="11"/>
  <c r="C64" i="12"/>
  <c r="W25" i="11"/>
  <c r="X25" i="11"/>
  <c r="Y25" i="11"/>
  <c r="Y28" i="39"/>
  <c r="X28" i="39"/>
  <c r="W28" i="39"/>
  <c r="W74" i="11"/>
  <c r="W32" i="39"/>
  <c r="X32" i="39"/>
  <c r="Y32" i="39"/>
  <c r="Y36" i="39"/>
  <c r="X36" i="39"/>
  <c r="W36" i="39"/>
  <c r="Y36" i="11"/>
  <c r="X36" i="11"/>
  <c r="W36" i="11"/>
  <c r="Y74" i="11"/>
  <c r="Y25" i="39"/>
  <c r="W25" i="39"/>
  <c r="X25" i="39"/>
  <c r="E9" i="38"/>
  <c r="N9" i="38" s="1"/>
  <c r="AF56" i="39"/>
  <c r="W43" i="39"/>
  <c r="X43" i="39"/>
  <c r="Y43" i="39"/>
  <c r="Y46" i="39"/>
  <c r="X46" i="39"/>
  <c r="W46" i="39"/>
  <c r="V56" i="39"/>
  <c r="W19" i="39"/>
  <c r="Y19" i="39"/>
  <c r="X19" i="39"/>
  <c r="Y28" i="11"/>
  <c r="W28" i="11"/>
  <c r="X28" i="11"/>
  <c r="W47" i="11"/>
  <c r="X47" i="11"/>
  <c r="Y47" i="11"/>
  <c r="C25" i="13"/>
  <c r="C8" i="18"/>
  <c r="Y20" i="39"/>
  <c r="X20" i="39"/>
  <c r="W20" i="39"/>
  <c r="C11" i="13"/>
  <c r="C6" i="18"/>
  <c r="W43" i="11"/>
  <c r="X43" i="11"/>
  <c r="Y43" i="11"/>
  <c r="W40" i="39"/>
  <c r="Y40" i="39"/>
  <c r="X40" i="39"/>
  <c r="X34" i="39"/>
  <c r="Y34" i="39"/>
  <c r="W34" i="39"/>
  <c r="X32" i="11"/>
  <c r="Y32" i="11"/>
  <c r="W32" i="11"/>
  <c r="Y20" i="11"/>
  <c r="X20" i="11"/>
  <c r="W20" i="11"/>
  <c r="X74" i="11"/>
  <c r="Y23" i="39"/>
  <c r="W23" i="39"/>
  <c r="X23" i="39"/>
  <c r="C24" i="13"/>
  <c r="C7" i="18"/>
  <c r="W47" i="39"/>
  <c r="X47" i="39"/>
  <c r="Y47" i="39"/>
  <c r="Y33" i="39"/>
  <c r="W33" i="39"/>
  <c r="X33" i="39"/>
  <c r="W74" i="39"/>
  <c r="Y33" i="11"/>
  <c r="X33" i="11"/>
  <c r="W33" i="11"/>
  <c r="H30" i="12"/>
  <c r="F39" i="9"/>
  <c r="F59" i="9" s="1"/>
  <c r="C32" i="13"/>
  <c r="C12" i="18"/>
  <c r="Y46" i="11"/>
  <c r="X46" i="11"/>
  <c r="W46" i="11"/>
  <c r="Y34" i="11"/>
  <c r="W34" i="11"/>
  <c r="X34" i="11"/>
  <c r="F32" i="35"/>
  <c r="C30" i="37" l="1"/>
  <c r="F17" i="30"/>
  <c r="C17" i="30"/>
  <c r="D20" i="30"/>
  <c r="N10" i="37"/>
  <c r="F20" i="30"/>
  <c r="G16" i="27"/>
  <c r="E20" i="35"/>
  <c r="I20" i="35" s="1"/>
  <c r="F17" i="35"/>
  <c r="X62" i="38"/>
  <c r="X61" i="38"/>
  <c r="X60" i="38"/>
  <c r="X63" i="38"/>
  <c r="F19" i="12"/>
  <c r="K19" i="12" s="1"/>
  <c r="F20" i="13" s="1"/>
  <c r="G19" i="12"/>
  <c r="B20" i="13" s="1"/>
  <c r="H19" i="38"/>
  <c r="Q19" i="38" s="1"/>
  <c r="Z46" i="39"/>
  <c r="C36" i="38" s="1"/>
  <c r="L36" i="38" s="1"/>
  <c r="Z33" i="39"/>
  <c r="C23" i="38" s="1"/>
  <c r="L23" i="38" s="1"/>
  <c r="Z28" i="39"/>
  <c r="C18" i="38" s="1"/>
  <c r="L18" i="38" s="1"/>
  <c r="Z23" i="39"/>
  <c r="C13" i="38" s="1"/>
  <c r="L13" i="38" s="1"/>
  <c r="Z41" i="39"/>
  <c r="C31" i="38" s="1"/>
  <c r="L31" i="38" s="1"/>
  <c r="D22" i="38"/>
  <c r="M22" i="38" s="1"/>
  <c r="D36" i="38"/>
  <c r="M36" i="38" s="1"/>
  <c r="D24" i="38"/>
  <c r="M24" i="38" s="1"/>
  <c r="Z19" i="39"/>
  <c r="C9" i="38" s="1"/>
  <c r="L9" i="38" s="1"/>
  <c r="Z43" i="39"/>
  <c r="C33" i="38" s="1"/>
  <c r="L33" i="38" s="1"/>
  <c r="Z46" i="11"/>
  <c r="B36" i="12" s="1"/>
  <c r="F36" i="12" s="1"/>
  <c r="K36" i="12" s="1"/>
  <c r="F37" i="13" s="1"/>
  <c r="Z33" i="11"/>
  <c r="B23" i="12" s="1"/>
  <c r="G23" i="12" s="1"/>
  <c r="D10" i="38"/>
  <c r="M10" i="38" s="1"/>
  <c r="D26" i="38"/>
  <c r="M26" i="38" s="1"/>
  <c r="Z25" i="11"/>
  <c r="B15" i="12" s="1"/>
  <c r="Z23" i="11"/>
  <c r="B13" i="12" s="1"/>
  <c r="D30" i="38"/>
  <c r="M30" i="38" s="1"/>
  <c r="C72" i="12"/>
  <c r="H64" i="12"/>
  <c r="C65" i="13" s="1"/>
  <c r="Z37" i="39"/>
  <c r="C27" i="38" s="1"/>
  <c r="L27" i="38" s="1"/>
  <c r="Z41" i="11"/>
  <c r="B31" i="12" s="1"/>
  <c r="F31" i="12" s="1"/>
  <c r="K31" i="12" s="1"/>
  <c r="Z47" i="39"/>
  <c r="C37" i="38" s="1"/>
  <c r="L37" i="38" s="1"/>
  <c r="D64" i="38"/>
  <c r="T64" i="38" s="1"/>
  <c r="Z20" i="11"/>
  <c r="B10" i="12" s="1"/>
  <c r="G10" i="12" s="1"/>
  <c r="Z34" i="39"/>
  <c r="C24" i="38" s="1"/>
  <c r="L24" i="38" s="1"/>
  <c r="Z34" i="11"/>
  <c r="B24" i="12" s="1"/>
  <c r="Z47" i="11"/>
  <c r="B37" i="12" s="1"/>
  <c r="G37" i="12" s="1"/>
  <c r="Z37" i="11"/>
  <c r="B27" i="12" s="1"/>
  <c r="D31" i="38"/>
  <c r="M31" i="38" s="1"/>
  <c r="Z40" i="39"/>
  <c r="C30" i="38" s="1"/>
  <c r="L30" i="38" s="1"/>
  <c r="Z20" i="39"/>
  <c r="C10" i="38" s="1"/>
  <c r="L10" i="38" s="1"/>
  <c r="D33" i="38"/>
  <c r="M33" i="38" s="1"/>
  <c r="D15" i="38"/>
  <c r="M15" i="38" s="1"/>
  <c r="Z36" i="39"/>
  <c r="C26" i="38" s="1"/>
  <c r="L26" i="38" s="1"/>
  <c r="Z74" i="11"/>
  <c r="Z40" i="11"/>
  <c r="B30" i="12" s="1"/>
  <c r="D27" i="38"/>
  <c r="M27" i="38" s="1"/>
  <c r="E25" i="35"/>
  <c r="F28" i="4"/>
  <c r="E27" i="19"/>
  <c r="D23" i="38"/>
  <c r="M23" i="38" s="1"/>
  <c r="D9" i="38"/>
  <c r="M9" i="38" s="1"/>
  <c r="Z36" i="11"/>
  <c r="B26" i="12" s="1"/>
  <c r="D18" i="38"/>
  <c r="M18" i="38" s="1"/>
  <c r="Z19" i="11"/>
  <c r="E25" i="19"/>
  <c r="F26" i="4"/>
  <c r="C28" i="29"/>
  <c r="F49" i="9"/>
  <c r="C18" i="29" s="1"/>
  <c r="C8" i="29"/>
  <c r="G39" i="9"/>
  <c r="G59" i="9" s="1"/>
  <c r="C11" i="18"/>
  <c r="C31" i="13"/>
  <c r="D13" i="38"/>
  <c r="M13" i="38" s="1"/>
  <c r="D37" i="38"/>
  <c r="M37" i="38" s="1"/>
  <c r="Z43" i="11"/>
  <c r="B33" i="12" s="1"/>
  <c r="Z32" i="11"/>
  <c r="B22" i="12" s="1"/>
  <c r="Z28" i="11"/>
  <c r="B18" i="12" s="1"/>
  <c r="Z32" i="39"/>
  <c r="C22" i="38" s="1"/>
  <c r="L22" i="38" s="1"/>
  <c r="Z74" i="39"/>
  <c r="Z25" i="39"/>
  <c r="C15" i="38" s="1"/>
  <c r="L15" i="38" s="1"/>
  <c r="H9" i="12"/>
  <c r="C10" i="13" s="1"/>
  <c r="C45" i="12"/>
  <c r="E26" i="35" l="1"/>
  <c r="E29" i="35" s="1"/>
  <c r="E30" i="35" s="1"/>
  <c r="F20" i="35"/>
  <c r="B23" i="35"/>
  <c r="H22" i="38"/>
  <c r="Q22" i="38" s="1"/>
  <c r="G36" i="12"/>
  <c r="B37" i="13" s="1"/>
  <c r="H23" i="38"/>
  <c r="Q23" i="38" s="1"/>
  <c r="H31" i="38"/>
  <c r="Q31" i="38" s="1"/>
  <c r="H18" i="38"/>
  <c r="Q18" i="38" s="1"/>
  <c r="G31" i="12"/>
  <c r="B32" i="13" s="1"/>
  <c r="H36" i="38"/>
  <c r="Q36" i="38" s="1"/>
  <c r="H10" i="38"/>
  <c r="Q10" i="38" s="1"/>
  <c r="H24" i="38"/>
  <c r="Q24" i="38" s="1"/>
  <c r="H9" i="38"/>
  <c r="Q9" i="38" s="1"/>
  <c r="H37" i="38"/>
  <c r="Q37" i="38" s="1"/>
  <c r="F15" i="12"/>
  <c r="K15" i="12" s="1"/>
  <c r="F16" i="13" s="1"/>
  <c r="G15" i="12"/>
  <c r="B16" i="13" s="1"/>
  <c r="F27" i="12"/>
  <c r="K27" i="12" s="1"/>
  <c r="F28" i="13" s="1"/>
  <c r="G27" i="12"/>
  <c r="B28" i="13" s="1"/>
  <c r="F18" i="12"/>
  <c r="K18" i="12" s="1"/>
  <c r="F19" i="13" s="1"/>
  <c r="G18" i="12"/>
  <c r="B19" i="13" s="1"/>
  <c r="F13" i="12"/>
  <c r="K13" i="12" s="1"/>
  <c r="F14" i="13" s="1"/>
  <c r="G13" i="12"/>
  <c r="B14" i="13" s="1"/>
  <c r="F22" i="12"/>
  <c r="K22" i="12" s="1"/>
  <c r="F23" i="13" s="1"/>
  <c r="G22" i="12"/>
  <c r="B23" i="13" s="1"/>
  <c r="F33" i="12"/>
  <c r="K33" i="12" s="1"/>
  <c r="F34" i="13" s="1"/>
  <c r="G33" i="12"/>
  <c r="B34" i="13" s="1"/>
  <c r="F23" i="12"/>
  <c r="K23" i="12" s="1"/>
  <c r="F7" i="18" s="1"/>
  <c r="H33" i="38"/>
  <c r="Q33" i="38" s="1"/>
  <c r="H15" i="38"/>
  <c r="Q15" i="38" s="1"/>
  <c r="H13" i="38"/>
  <c r="Q13" i="38" s="1"/>
  <c r="F10" i="12"/>
  <c r="K10" i="12" s="1"/>
  <c r="F11" i="13" s="1"/>
  <c r="F26" i="12"/>
  <c r="K26" i="12" s="1"/>
  <c r="F27" i="13" s="1"/>
  <c r="G26" i="12"/>
  <c r="B27" i="13" s="1"/>
  <c r="H27" i="38"/>
  <c r="Q27" i="38" s="1"/>
  <c r="H30" i="38"/>
  <c r="Q30" i="38" s="1"/>
  <c r="C74" i="12"/>
  <c r="H26" i="38"/>
  <c r="Q26" i="38" s="1"/>
  <c r="F25" i="19"/>
  <c r="P16" i="27"/>
  <c r="B21" i="15"/>
  <c r="C17" i="27"/>
  <c r="B23" i="30"/>
  <c r="C23" i="30" s="1"/>
  <c r="B6" i="18"/>
  <c r="B11" i="13"/>
  <c r="F27" i="19"/>
  <c r="Y12" i="27"/>
  <c r="P18" i="27"/>
  <c r="B64" i="12"/>
  <c r="Z83" i="11"/>
  <c r="C64" i="38"/>
  <c r="S64" i="38" s="1"/>
  <c r="Z83" i="39"/>
  <c r="F37" i="12"/>
  <c r="K37" i="12" s="1"/>
  <c r="F38" i="13" s="1"/>
  <c r="B38" i="13"/>
  <c r="F24" i="12"/>
  <c r="K24" i="12" s="1"/>
  <c r="G24" i="12"/>
  <c r="F23" i="35"/>
  <c r="B24" i="13"/>
  <c r="B7" i="18"/>
  <c r="Z56" i="39"/>
  <c r="B9" i="12"/>
  <c r="G9" i="12" s="1"/>
  <c r="B10" i="13" s="1"/>
  <c r="Z56" i="11"/>
  <c r="D28" i="29"/>
  <c r="D8" i="29"/>
  <c r="G49" i="9"/>
  <c r="D18" i="29" s="1"/>
  <c r="F32" i="13"/>
  <c r="F12" i="18"/>
  <c r="G30" i="12"/>
  <c r="F30" i="12"/>
  <c r="K30" i="12" s="1"/>
  <c r="F38" i="9"/>
  <c r="F58" i="9" s="1"/>
  <c r="F25" i="35"/>
  <c r="F26" i="35" l="1"/>
  <c r="H64" i="38"/>
  <c r="X64" i="38" s="1"/>
  <c r="B12" i="18"/>
  <c r="F24" i="13"/>
  <c r="F6" i="18"/>
  <c r="F48" i="9"/>
  <c r="C17" i="29" s="1"/>
  <c r="C7" i="29"/>
  <c r="F43" i="9"/>
  <c r="C27" i="29"/>
  <c r="G38" i="9"/>
  <c r="G58" i="9" s="1"/>
  <c r="G20" i="27"/>
  <c r="K32" i="27"/>
  <c r="C30" i="27"/>
  <c r="C23" i="35"/>
  <c r="I23" i="35"/>
  <c r="B31" i="13"/>
  <c r="B11" i="18"/>
  <c r="Y56" i="11"/>
  <c r="X56" i="11"/>
  <c r="B25" i="13"/>
  <c r="B8" i="18"/>
  <c r="E48" i="4"/>
  <c r="E50" i="4" s="1"/>
  <c r="X83" i="11"/>
  <c r="Y83" i="11"/>
  <c r="F23" i="30"/>
  <c r="D23" i="30"/>
  <c r="G21" i="15"/>
  <c r="F9" i="12"/>
  <c r="B45" i="12"/>
  <c r="F8" i="18"/>
  <c r="F25" i="13"/>
  <c r="G64" i="12"/>
  <c r="B65" i="13" s="1"/>
  <c r="F64" i="12"/>
  <c r="B72" i="12"/>
  <c r="F31" i="13"/>
  <c r="F11" i="18"/>
  <c r="Y56" i="39"/>
  <c r="X56" i="39"/>
  <c r="AH15" i="27"/>
  <c r="Q16" i="27"/>
  <c r="Y83" i="39"/>
  <c r="X83" i="39"/>
  <c r="P27" i="27"/>
  <c r="P31" i="27" s="1"/>
  <c r="O31" i="27" s="1"/>
  <c r="Q18" i="27"/>
  <c r="S18" i="27" s="1"/>
  <c r="AH17" i="27"/>
  <c r="C18" i="37"/>
  <c r="H18" i="37" s="1"/>
  <c r="E33" i="35"/>
  <c r="F30" i="35"/>
  <c r="E36" i="35"/>
  <c r="F29" i="35"/>
  <c r="F36" i="35" s="1"/>
  <c r="F44" i="9" l="1"/>
  <c r="F64" i="9" s="1"/>
  <c r="C33" i="29" s="1"/>
  <c r="F63" i="9"/>
  <c r="C32" i="29" s="1"/>
  <c r="S16" i="27"/>
  <c r="K9" i="12"/>
  <c r="F10" i="13" s="1"/>
  <c r="F45" i="12"/>
  <c r="F48" i="4"/>
  <c r="E47" i="19"/>
  <c r="Q27" i="27"/>
  <c r="Q31" i="27" s="1"/>
  <c r="AH26" i="27"/>
  <c r="AI26" i="27" s="1"/>
  <c r="F53" i="9"/>
  <c r="C22" i="29" s="1"/>
  <c r="C12" i="29"/>
  <c r="G43" i="9"/>
  <c r="B74" i="12"/>
  <c r="K64" i="12"/>
  <c r="F65" i="13" s="1"/>
  <c r="F72" i="12"/>
  <c r="C31" i="37"/>
  <c r="G22" i="27"/>
  <c r="D27" i="29"/>
  <c r="D7" i="29"/>
  <c r="G48" i="9"/>
  <c r="D17" i="29" s="1"/>
  <c r="F33" i="35"/>
  <c r="F37" i="35" s="1"/>
  <c r="E34" i="35"/>
  <c r="E39" i="35" s="1"/>
  <c r="E37" i="35"/>
  <c r="F54" i="9" l="1"/>
  <c r="C23" i="29" s="1"/>
  <c r="C13" i="29"/>
  <c r="G44" i="9"/>
  <c r="G64" i="9" s="1"/>
  <c r="D33" i="29" s="1"/>
  <c r="G63" i="9"/>
  <c r="D32" i="29" s="1"/>
  <c r="Y15" i="27"/>
  <c r="B21" i="33"/>
  <c r="C25" i="27"/>
  <c r="F47" i="19"/>
  <c r="P32" i="27"/>
  <c r="D12" i="29"/>
  <c r="G53" i="9"/>
  <c r="D22" i="29" s="1"/>
  <c r="F74" i="12"/>
  <c r="S27" i="27"/>
  <c r="S31" i="27" s="1"/>
  <c r="E49" i="19"/>
  <c r="F50" i="4"/>
  <c r="F34" i="35"/>
  <c r="G69" i="9" l="1"/>
  <c r="G54" i="9"/>
  <c r="G70" i="9" s="1"/>
  <c r="D13" i="29"/>
  <c r="Y17" i="27"/>
  <c r="Z17" i="27" s="1"/>
  <c r="C27" i="27"/>
  <c r="P34" i="27"/>
  <c r="F49" i="19"/>
  <c r="C28" i="37" s="1"/>
  <c r="H26" i="37" s="1"/>
  <c r="K40" i="27"/>
  <c r="G27" i="27"/>
  <c r="F51" i="4"/>
  <c r="B32" i="35" s="1"/>
  <c r="Q32" i="27"/>
  <c r="AH31" i="27"/>
  <c r="C26" i="37"/>
  <c r="H25" i="37" s="1"/>
  <c r="D23" i="29" l="1"/>
  <c r="S32" i="27"/>
  <c r="AH33" i="27"/>
  <c r="AH36" i="27" s="1"/>
  <c r="Q34" i="27"/>
  <c r="S34" i="27" s="1"/>
  <c r="K42" i="27"/>
  <c r="K17" i="27" s="1"/>
  <c r="G28" i="27"/>
  <c r="P35" i="27"/>
  <c r="B32" i="30"/>
  <c r="B22" i="33"/>
  <c r="B29" i="15"/>
  <c r="F50" i="19"/>
  <c r="C33" i="37"/>
  <c r="C32" i="27"/>
  <c r="N18" i="37" l="1"/>
  <c r="C32" i="30"/>
  <c r="D32" i="30"/>
  <c r="F32" i="30"/>
  <c r="I32" i="35"/>
  <c r="C32" i="35"/>
  <c r="Q35" i="27"/>
  <c r="E4" i="17"/>
  <c r="E9" i="17" s="1"/>
  <c r="G29" i="15"/>
  <c r="S35" i="27"/>
  <c r="E15" i="17" l="1"/>
  <c r="O2429" i="34" l="1"/>
  <c r="O2438" i="34" s="1"/>
  <c r="G4" i="42" l="1"/>
  <c r="B25" i="30" l="1"/>
  <c r="D25" i="30" s="1"/>
  <c r="B25" i="35"/>
  <c r="I25" i="35" s="1"/>
  <c r="B23" i="15"/>
  <c r="G23" i="15" s="1"/>
  <c r="H10" i="15" s="1"/>
  <c r="F37" i="4"/>
  <c r="F45" i="4" s="1"/>
  <c r="E37" i="4"/>
  <c r="E36" i="19" s="1"/>
  <c r="I3" i="30"/>
  <c r="H11" i="15" l="1"/>
  <c r="C25" i="30"/>
  <c r="F46" i="4"/>
  <c r="F52" i="4"/>
  <c r="F53" i="4" s="1"/>
  <c r="B23" i="33" s="1"/>
  <c r="B20" i="33"/>
  <c r="C25" i="35"/>
  <c r="H9" i="15"/>
  <c r="F25" i="30"/>
  <c r="F36" i="19"/>
  <c r="C19" i="27"/>
  <c r="B24" i="15"/>
  <c r="B26" i="30"/>
  <c r="B26" i="35"/>
  <c r="Y7" i="27"/>
  <c r="Z13" i="27" s="1"/>
  <c r="C26" i="35" l="1"/>
  <c r="B29" i="35"/>
  <c r="I26" i="35"/>
  <c r="N11" i="37"/>
  <c r="N12" i="37" s="1"/>
  <c r="N14" i="37" s="1"/>
  <c r="C26" i="30"/>
  <c r="B29" i="30"/>
  <c r="F26" i="30"/>
  <c r="D26" i="30"/>
  <c r="B27" i="15"/>
  <c r="G24" i="15"/>
  <c r="F31" i="27"/>
  <c r="C31" i="27"/>
  <c r="C33" i="27" s="1"/>
  <c r="C34" i="27" s="1"/>
  <c r="K34" i="27"/>
  <c r="K11" i="27" s="1"/>
  <c r="K13" i="27" s="1"/>
  <c r="F44" i="19"/>
  <c r="C20" i="37"/>
  <c r="C32" i="37" s="1"/>
  <c r="C34" i="37" s="1"/>
  <c r="C35" i="37" s="1"/>
  <c r="B32" i="15" l="1"/>
  <c r="B4" i="17"/>
  <c r="B9" i="17" s="1"/>
  <c r="B30" i="15"/>
  <c r="G27" i="15"/>
  <c r="B28" i="15"/>
  <c r="B30" i="30"/>
  <c r="D29" i="30"/>
  <c r="D36" i="30" s="1"/>
  <c r="B36" i="30"/>
  <c r="B33" i="30"/>
  <c r="C29" i="30"/>
  <c r="N19" i="37"/>
  <c r="N21" i="37" s="1"/>
  <c r="N16" i="37"/>
  <c r="F51" i="19"/>
  <c r="F52" i="19" s="1"/>
  <c r="F45" i="19"/>
  <c r="B36" i="35"/>
  <c r="C29" i="35"/>
  <c r="C36" i="35" s="1"/>
  <c r="B33" i="35"/>
  <c r="I29" i="35"/>
  <c r="B30" i="35"/>
  <c r="K18" i="27"/>
  <c r="K20" i="27" s="1"/>
  <c r="K15" i="27"/>
  <c r="B37" i="30" l="1"/>
  <c r="C33" i="30"/>
  <c r="D33" i="30"/>
  <c r="D37" i="30" s="1"/>
  <c r="B34" i="30"/>
  <c r="C30" i="35"/>
  <c r="I30" i="35"/>
  <c r="D30" i="30"/>
  <c r="C30" i="30"/>
  <c r="I33" i="35"/>
  <c r="C33" i="35"/>
  <c r="C37" i="35" s="1"/>
  <c r="B34" i="35"/>
  <c r="B37" i="35"/>
  <c r="G28" i="15"/>
  <c r="D4" i="17"/>
  <c r="D9" i="17" s="1"/>
  <c r="B33" i="15"/>
  <c r="G30" i="15"/>
  <c r="B31" i="15"/>
  <c r="F4" i="17"/>
  <c r="F9" i="17" s="1"/>
  <c r="B15" i="17"/>
  <c r="C4" i="17"/>
  <c r="C9" i="17" s="1"/>
  <c r="G32" i="15"/>
  <c r="D15" i="17" l="1"/>
  <c r="F15" i="17"/>
  <c r="C34" i="35"/>
  <c r="I34" i="35"/>
  <c r="B39" i="35"/>
  <c r="C15" i="17"/>
  <c r="G4" i="17"/>
  <c r="G9" i="17" s="1"/>
  <c r="G31" i="15"/>
  <c r="D34" i="30"/>
  <c r="C34" i="30"/>
  <c r="G33" i="15"/>
  <c r="H4" i="17"/>
  <c r="H9" i="17" s="1"/>
  <c r="H15" i="17" l="1"/>
  <c r="G15" i="17"/>
</calcChain>
</file>

<file path=xl/sharedStrings.xml><?xml version="1.0" encoding="utf-8"?>
<sst xmlns="http://schemas.openxmlformats.org/spreadsheetml/2006/main" count="8711" uniqueCount="1245">
  <si>
    <t>Machinery and Equipment</t>
  </si>
  <si>
    <t>Crop Insurance</t>
  </si>
  <si>
    <t>Unit</t>
  </si>
  <si>
    <t>Price/Unit</t>
  </si>
  <si>
    <t>Acre</t>
  </si>
  <si>
    <t>Lbs</t>
  </si>
  <si>
    <t>Hrs</t>
  </si>
  <si>
    <t>Irrigation</t>
  </si>
  <si>
    <t>Repairs and Maintenance</t>
  </si>
  <si>
    <t>Boll Buggy</t>
  </si>
  <si>
    <t>Module Builder</t>
  </si>
  <si>
    <t>Gallons</t>
  </si>
  <si>
    <t>Quantity</t>
  </si>
  <si>
    <t>Revenue</t>
  </si>
  <si>
    <t>Costs</t>
  </si>
  <si>
    <t>Yield</t>
  </si>
  <si>
    <t>Cash Rent</t>
  </si>
  <si>
    <t xml:space="preserve">   Repairs and Maintenance, Harvest</t>
  </si>
  <si>
    <t>Herbicide Detail</t>
  </si>
  <si>
    <t>Other</t>
  </si>
  <si>
    <t>Insecticide Detail</t>
  </si>
  <si>
    <t>Price</t>
  </si>
  <si>
    <t>Total</t>
  </si>
  <si>
    <t>Scouting/Consultant Fee</t>
  </si>
  <si>
    <t xml:space="preserve">Expected </t>
  </si>
  <si>
    <t>No. Years</t>
  </si>
  <si>
    <t>to Use</t>
  </si>
  <si>
    <t>Value</t>
  </si>
  <si>
    <t>Interest</t>
  </si>
  <si>
    <t>Financing</t>
  </si>
  <si>
    <t>Amortization</t>
  </si>
  <si>
    <t>Factor</t>
  </si>
  <si>
    <t>Annual</t>
  </si>
  <si>
    <t>Capital</t>
  </si>
  <si>
    <t>Recovery</t>
  </si>
  <si>
    <t>Purchase</t>
  </si>
  <si>
    <t xml:space="preserve">Hours </t>
  </si>
  <si>
    <t>per Year</t>
  </si>
  <si>
    <t>per Hour</t>
  </si>
  <si>
    <t>Field Capacity</t>
  </si>
  <si>
    <t>Miles</t>
  </si>
  <si>
    <t xml:space="preserve">per </t>
  </si>
  <si>
    <t>Hour</t>
  </si>
  <si>
    <t>Width</t>
  </si>
  <si>
    <t>in Feet</t>
  </si>
  <si>
    <t>Field</t>
  </si>
  <si>
    <t>Efficiency</t>
  </si>
  <si>
    <t>Acres</t>
  </si>
  <si>
    <t>Hours</t>
  </si>
  <si>
    <t>per Acre</t>
  </si>
  <si>
    <t>Tractor</t>
  </si>
  <si>
    <t>No. Trips</t>
  </si>
  <si>
    <t>HP</t>
  </si>
  <si>
    <t>Fuel Gallons</t>
  </si>
  <si>
    <t>Fuel &amp; Lube</t>
  </si>
  <si>
    <t>Labor</t>
  </si>
  <si>
    <t>with Power</t>
  </si>
  <si>
    <t>Power</t>
  </si>
  <si>
    <t>Repair</t>
  </si>
  <si>
    <t>Drive of</t>
  </si>
  <si>
    <t>$/Hour =</t>
  </si>
  <si>
    <t>Labor Wages</t>
  </si>
  <si>
    <t>Maintenance</t>
  </si>
  <si>
    <t>Repairs &amp;</t>
  </si>
  <si>
    <t>Unit Acre</t>
  </si>
  <si>
    <t>Fuel Cost</t>
  </si>
  <si>
    <t>Lube Cost</t>
  </si>
  <si>
    <t>Labor Cost</t>
  </si>
  <si>
    <t>No.Wheel</t>
  </si>
  <si>
    <t>Tractor Acre</t>
  </si>
  <si>
    <t>Capital Recovery per Acre</t>
  </si>
  <si>
    <t>Diesel $/Gallon     =</t>
  </si>
  <si>
    <t>Power Unit Detail</t>
  </si>
  <si>
    <t>Cotton Picker</t>
  </si>
  <si>
    <t>Self-Propelled Pre-Harvest</t>
  </si>
  <si>
    <t xml:space="preserve">Implement </t>
  </si>
  <si>
    <t>Factor 1</t>
  </si>
  <si>
    <t>Factor 2</t>
  </si>
  <si>
    <t>Implement and Self-Propelled Detail</t>
  </si>
  <si>
    <t>Self-Propelled and Other Harvest</t>
  </si>
  <si>
    <t>Total Harvest</t>
  </si>
  <si>
    <t>Total Self-Propelled Pre-Harvest</t>
  </si>
  <si>
    <t>Total Implements, Including Post-Harvest</t>
  </si>
  <si>
    <t>Field Cultivator</t>
  </si>
  <si>
    <t>Planter</t>
  </si>
  <si>
    <t>Row Crop Planter</t>
  </si>
  <si>
    <t>Fertilizer Spreader</t>
  </si>
  <si>
    <t>Mower (Rotary)</t>
  </si>
  <si>
    <t>per</t>
  </si>
  <si>
    <t>Hooded Sprayer</t>
  </si>
  <si>
    <t>Type</t>
  </si>
  <si>
    <t>Other Chemicals</t>
  </si>
  <si>
    <t>Seed Detail</t>
  </si>
  <si>
    <t>Item</t>
  </si>
  <si>
    <t>Row Spacing Inches</t>
  </si>
  <si>
    <t xml:space="preserve">Diesel </t>
  </si>
  <si>
    <t>Electrical, Vertical Line Shaft Pump</t>
  </si>
  <si>
    <t>Electrical, Submersible Pump</t>
  </si>
  <si>
    <t>Natural Gas</t>
  </si>
  <si>
    <t>Liquid Petroleum (LP. Propane)</t>
  </si>
  <si>
    <t>Gasoline</t>
  </si>
  <si>
    <t>Head</t>
  </si>
  <si>
    <t>ft.</t>
  </si>
  <si>
    <t>Fuel Price</t>
  </si>
  <si>
    <t>$/unit of energy</t>
  </si>
  <si>
    <t>Engine Power Output</t>
  </si>
  <si>
    <t>hp-hr/unit of energy</t>
  </si>
  <si>
    <t>Pump Efficiency</t>
  </si>
  <si>
    <t>Gear Head Efficiency</t>
  </si>
  <si>
    <t>Energy Cost</t>
  </si>
  <si>
    <t>$/ac-in</t>
  </si>
  <si>
    <t>Routine Maintenance</t>
  </si>
  <si>
    <t>Operating Cost</t>
  </si>
  <si>
    <t>Desired Energy Cost</t>
  </si>
  <si>
    <t>Grower %</t>
  </si>
  <si>
    <t>Ac-In</t>
  </si>
  <si>
    <t>Purchase $</t>
  </si>
  <si>
    <t>Years</t>
  </si>
  <si>
    <t>Salvage %</t>
  </si>
  <si>
    <t>$/Acre</t>
  </si>
  <si>
    <t>Pivot ft.</t>
  </si>
  <si>
    <t>Pivot $/ft</t>
  </si>
  <si>
    <t>Total $</t>
  </si>
  <si>
    <t>Pre-Harvest and Harvest Machinery</t>
  </si>
  <si>
    <t>Pivot</t>
  </si>
  <si>
    <t>Discharge PSI (lbs.) at Pump</t>
  </si>
  <si>
    <t>Pivot is low pressure drizzle nozzle</t>
  </si>
  <si>
    <t>Combine</t>
  </si>
  <si>
    <t>Corn Head</t>
  </si>
  <si>
    <t>Soybean Head</t>
  </si>
  <si>
    <t>Rice Head</t>
  </si>
  <si>
    <t>Grain Cart</t>
  </si>
  <si>
    <t>Planter Twin Row</t>
  </si>
  <si>
    <t>Land Plane</t>
  </si>
  <si>
    <t>Roller-Packer</t>
  </si>
  <si>
    <t>Grain Drill</t>
  </si>
  <si>
    <t>Number of Rows</t>
  </si>
  <si>
    <t>Width in Feet</t>
  </si>
  <si>
    <t>ASABE</t>
  </si>
  <si>
    <t>Irrigation Type</t>
  </si>
  <si>
    <t>3 if None</t>
  </si>
  <si>
    <t>Power Unit, Pivot</t>
  </si>
  <si>
    <t>Power Unit, Furrow</t>
  </si>
  <si>
    <t>Center Pivot Towers</t>
  </si>
  <si>
    <t>PU Furrow</t>
  </si>
  <si>
    <t>Furrow, Flood</t>
  </si>
  <si>
    <t>Bedder, Hipper</t>
  </si>
  <si>
    <t>Chisel Plow</t>
  </si>
  <si>
    <t>Roller</t>
  </si>
  <si>
    <t>Ditcher</t>
  </si>
  <si>
    <t>Tandem Disk Harrow</t>
  </si>
  <si>
    <t>Coulter Chisel Plow</t>
  </si>
  <si>
    <t>Levee Pull</t>
  </si>
  <si>
    <t>Heavy-Duty Disk</t>
  </si>
  <si>
    <t>Boom Type Sprayer</t>
  </si>
  <si>
    <t>Real Rate</t>
  </si>
  <si>
    <t>Well Depth</t>
  </si>
  <si>
    <t>If Building Levees:</t>
  </si>
  <si>
    <t>Name, Description</t>
  </si>
  <si>
    <t>Name Applied</t>
  </si>
  <si>
    <t>Wheat/Sorghum Head</t>
  </si>
  <si>
    <t>Assistance in Converting Rows to Feet</t>
  </si>
  <si>
    <t>Do All, Seedbed Finisher</t>
  </si>
  <si>
    <t>Financing Interest Rate</t>
  </si>
  <si>
    <t>Machine Interest Rate</t>
  </si>
  <si>
    <t>Real Interest Rate</t>
  </si>
  <si>
    <t>Labor Hours</t>
  </si>
  <si>
    <t>OPERATING EXPENSES</t>
  </si>
  <si>
    <t>Total Operating Expenses</t>
  </si>
  <si>
    <t xml:space="preserve">   Ground Application: Fertilizer &amp; Chemical</t>
  </si>
  <si>
    <t xml:space="preserve">   Air Application: Fertilizer &amp; Chemical</t>
  </si>
  <si>
    <t>PreHarv</t>
  </si>
  <si>
    <t>Harv</t>
  </si>
  <si>
    <t xml:space="preserve"> </t>
  </si>
  <si>
    <t>Quantity/Ac</t>
  </si>
  <si>
    <t>New Unit</t>
  </si>
  <si>
    <t>Tractor Capital Recovey</t>
  </si>
  <si>
    <t>Cotton</t>
  </si>
  <si>
    <t>Corn</t>
  </si>
  <si>
    <t>Soybean</t>
  </si>
  <si>
    <t>Rice</t>
  </si>
  <si>
    <t>Wheat</t>
  </si>
  <si>
    <t>Sorghum</t>
  </si>
  <si>
    <t>Herbicide</t>
  </si>
  <si>
    <t>Insecticide</t>
  </si>
  <si>
    <t xml:space="preserve">Rice </t>
  </si>
  <si>
    <t>CROP VALUE</t>
  </si>
  <si>
    <t>with Unit</t>
  </si>
  <si>
    <t>Power Unit</t>
  </si>
  <si>
    <t>For Information Only, Does not Affect Calculations</t>
  </si>
  <si>
    <t>Polypipe; Roll Out, Punch, Take Up</t>
  </si>
  <si>
    <t>Irrigation Sweep</t>
  </si>
  <si>
    <t>1 if Diesel</t>
  </si>
  <si>
    <t>1 if Straight</t>
  </si>
  <si>
    <t>2 if Meandering or Contour</t>
  </si>
  <si>
    <t>2 if Center Pivot</t>
  </si>
  <si>
    <t>Irrigation Energy Cost</t>
  </si>
  <si>
    <t>Pump Power Type:</t>
  </si>
  <si>
    <t>Irrigation Indicater:</t>
  </si>
  <si>
    <t>Select Crop by</t>
  </si>
  <si>
    <t xml:space="preserve">All Other Crops </t>
  </si>
  <si>
    <t>MPH</t>
  </si>
  <si>
    <t>Ground</t>
  </si>
  <si>
    <t>Speed</t>
  </si>
  <si>
    <t>Electricity $/kwh</t>
  </si>
  <si>
    <t xml:space="preserve">Repairs </t>
  </si>
  <si>
    <t>Costs per Acre-Trip</t>
  </si>
  <si>
    <t xml:space="preserve">Total Field Trip Costs per Applied Acre </t>
  </si>
  <si>
    <t>Total Implements</t>
  </si>
  <si>
    <t>Self-Propelled &amp; Other Harvest</t>
  </si>
  <si>
    <t>Common Unit</t>
  </si>
  <si>
    <t>PU Pivot</t>
  </si>
  <si>
    <t>Name, Brand</t>
  </si>
  <si>
    <t>Schedule, Description</t>
  </si>
  <si>
    <t>Labor, Field Activities</t>
  </si>
  <si>
    <t>No. Field</t>
  </si>
  <si>
    <t>Trips</t>
  </si>
  <si>
    <t>Implement</t>
  </si>
  <si>
    <t>Details</t>
  </si>
  <si>
    <t>NA</t>
  </si>
  <si>
    <t>Feet,</t>
  </si>
  <si>
    <t>Costs per Acre-Trip, $ per Acre</t>
  </si>
  <si>
    <t>Application Method</t>
  </si>
  <si>
    <t>Seed</t>
  </si>
  <si>
    <t>Fertilizers &amp; Nutrients</t>
  </si>
  <si>
    <t>Custom Applications</t>
  </si>
  <si>
    <t>Repairs &amp; Maintenance</t>
  </si>
  <si>
    <t>Irrigation Energy Costs</t>
  </si>
  <si>
    <t>Post-harvest Expenses</t>
  </si>
  <si>
    <t>Operating Expenses</t>
  </si>
  <si>
    <t>Capital Recovery &amp; Fixed Costs</t>
  </si>
  <si>
    <t>Total Crop Revenue</t>
  </si>
  <si>
    <t>Mower, Stalk Shredder</t>
  </si>
  <si>
    <t>Returns to Operating Expenses</t>
  </si>
  <si>
    <t>Moldboard Plow</t>
  </si>
  <si>
    <t>Spring tooth harrow</t>
  </si>
  <si>
    <t>Harrow</t>
  </si>
  <si>
    <t>TOTAL SPECIFIED EXPENSES</t>
  </si>
  <si>
    <t>oz</t>
  </si>
  <si>
    <t>Liquid Fertilizer Applicator</t>
  </si>
  <si>
    <t>Harvest</t>
  </si>
  <si>
    <t>2 if Surface</t>
  </si>
  <si>
    <t>Water Source Type:</t>
  </si>
  <si>
    <t>Repairs</t>
  </si>
  <si>
    <t>Amoritazation</t>
  </si>
  <si>
    <t>%</t>
  </si>
  <si>
    <t>Bedder-Roller</t>
  </si>
  <si>
    <t>Paratill</t>
  </si>
  <si>
    <t>Operating</t>
  </si>
  <si>
    <t>Fixed Costs</t>
  </si>
  <si>
    <t>Total Costs</t>
  </si>
  <si>
    <t>Operating Costs</t>
  </si>
  <si>
    <t>Returns to</t>
  </si>
  <si>
    <t>Average</t>
  </si>
  <si>
    <t>Self-Propelled</t>
  </si>
  <si>
    <t>Disk</t>
  </si>
  <si>
    <t>Self-Propelled Sprayer</t>
  </si>
  <si>
    <t>Self-Prolled Sprayer</t>
  </si>
  <si>
    <t>Supplies (ex. polypipe, levee gates, other)</t>
  </si>
  <si>
    <t>ATV Spot or Levee Spray, Includes Boom</t>
  </si>
  <si>
    <t>Rotary Hoe</t>
  </si>
  <si>
    <t>Levee Roller-Packer-Shaper</t>
  </si>
  <si>
    <t>ATV with  Spot, Levee Sprayer</t>
  </si>
  <si>
    <t>Interest, Annual Rate for 6 Months</t>
  </si>
  <si>
    <t>Rate %</t>
  </si>
  <si>
    <t>NET RETURNS</t>
  </si>
  <si>
    <t>Row Crop Cultivator</t>
  </si>
  <si>
    <t>John Deere</t>
  </si>
  <si>
    <t xml:space="preserve">Tractors: Mechanical Front </t>
  </si>
  <si>
    <t>Wheel Drive (MFWD) is a</t>
  </si>
  <si>
    <t>Cotton Picker: Module-Building</t>
  </si>
  <si>
    <t>John Deere Module-Building Picker</t>
  </si>
  <si>
    <t>Pump</t>
  </si>
  <si>
    <t>Well</t>
  </si>
  <si>
    <t>Irrigation System Specifications</t>
  </si>
  <si>
    <t>Electricity Construction</t>
  </si>
  <si>
    <t>Center Pivot Length, ft</t>
  </si>
  <si>
    <t>Electric Construction</t>
  </si>
  <si>
    <t>1 if Well, Subsurface</t>
  </si>
  <si>
    <t>Repairs by Type</t>
  </si>
  <si>
    <t>Center Pivot Towers, $/ft</t>
  </si>
  <si>
    <t>3 if Electric, Submersible Pump</t>
  </si>
  <si>
    <t>4 if Natural Gas</t>
  </si>
  <si>
    <t>Energy Price</t>
  </si>
  <si>
    <t>PU Pivot, generator if not electric</t>
  </si>
  <si>
    <t>Four Wheel Drive Tractor</t>
  </si>
  <si>
    <t>Rate Applied to Capital Recovery</t>
  </si>
  <si>
    <t>Inflation Rate, GDP Price Deflator</t>
  </si>
  <si>
    <t>Maintenance/ Acre-In</t>
  </si>
  <si>
    <t xml:space="preserve">Note: Users should change installation costs to values that </t>
  </si>
  <si>
    <t>$/ac</t>
  </si>
  <si>
    <t>6 if Gasoline</t>
  </si>
  <si>
    <t>Gasoline $/gallon</t>
  </si>
  <si>
    <t>5 if Liquid Petroleum</t>
  </si>
  <si>
    <r>
      <t>Natural Gas $/ccf (100 ft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</si>
  <si>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>Irrigation System Repairs &amp; Maintenance</t>
  </si>
  <si>
    <r>
      <t>Pump</t>
    </r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, Subsurface Source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</si>
  <si>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Furrow, Flood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</si>
  <si>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Center Pivot</t>
    </r>
  </si>
  <si>
    <r>
      <t>Converting Generator</t>
    </r>
    <r>
      <rPr>
        <vertAlign val="superscript"/>
        <sz val="11"/>
        <rFont val="Times New Roman"/>
        <family val="1"/>
      </rPr>
      <t>3</t>
    </r>
  </si>
  <si>
    <t>Field 1</t>
  </si>
  <si>
    <t>2 if Electric, Vertical Line Shaft Pump</t>
  </si>
  <si>
    <t>Acre-Inches</t>
  </si>
  <si>
    <t>Irrigation Equipment</t>
  </si>
  <si>
    <t>Nitrogen</t>
  </si>
  <si>
    <t>Rotary Harrow</t>
  </si>
  <si>
    <t>to Appropriate</t>
  </si>
  <si>
    <t>Entering 1 Next</t>
  </si>
  <si>
    <t>Peanut</t>
  </si>
  <si>
    <t>= Yield</t>
  </si>
  <si>
    <t>Grower % Cottonseed Sold</t>
  </si>
  <si>
    <t>N%</t>
  </si>
  <si>
    <t>Category</t>
  </si>
  <si>
    <t>Selected Number of Years</t>
  </si>
  <si>
    <t>Percent</t>
  </si>
  <si>
    <t>Cottonseed Value</t>
  </si>
  <si>
    <t>Rebate $/bale</t>
  </si>
  <si>
    <t>Sell Seed $/ton</t>
  </si>
  <si>
    <t>Table 2. Operating Costs, Total Costs, and Returns</t>
  </si>
  <si>
    <t>Table 3. Summary of Revenue and Expenses per Acre</t>
  </si>
  <si>
    <t>Trade/Sell</t>
  </si>
  <si>
    <t>Trade/Sell %</t>
  </si>
  <si>
    <t>Tractors</t>
  </si>
  <si>
    <t>Implements/Self-Propelled Equipment</t>
  </si>
  <si>
    <t>Plows</t>
  </si>
  <si>
    <t>Other Tillage</t>
  </si>
  <si>
    <t>Sprayer</t>
  </si>
  <si>
    <t>Others</t>
  </si>
  <si>
    <t>Planter, Drill</t>
  </si>
  <si>
    <t>Vehicle</t>
  </si>
  <si>
    <t>Mower</t>
  </si>
  <si>
    <t>150+, 400 hrs</t>
  </si>
  <si>
    <t>correspond to their specific well depth, center pivot length,</t>
  </si>
  <si>
    <t>for center pivot.</t>
  </si>
  <si>
    <t>Relift Pipe, ft</t>
  </si>
  <si>
    <t>Surface Water</t>
  </si>
  <si>
    <t>for center pivot are diesel power units.</t>
  </si>
  <si>
    <t>source.</t>
  </si>
  <si>
    <t>pump, electricity construction, and power unit energy</t>
  </si>
  <si>
    <t>only. Does not affect calculations.</t>
  </si>
  <si>
    <t>$/Lb</t>
  </si>
  <si>
    <t xml:space="preserve">Installation Costs, Current $ for New Installation </t>
  </si>
  <si>
    <t>Current $</t>
  </si>
  <si>
    <t>Price,</t>
  </si>
  <si>
    <t>New Tractor</t>
  </si>
  <si>
    <t>Urea</t>
  </si>
  <si>
    <t>UAN</t>
  </si>
  <si>
    <t>to post-harvest expenses.</t>
  </si>
  <si>
    <t>Implements and Self-Propelled</t>
  </si>
  <si>
    <t>Combine, 300 hrs</t>
  </si>
  <si>
    <t>Rotary Harrow (ex. Phillips)</t>
  </si>
  <si>
    <t>Field Trip</t>
  </si>
  <si>
    <t>Activity</t>
  </si>
  <si>
    <t>B2RF</t>
  </si>
  <si>
    <t>Paratill, 1/3 of land</t>
  </si>
  <si>
    <t>6 Row</t>
  </si>
  <si>
    <t>Fall Tillage</t>
  </si>
  <si>
    <t>Hipper, 2/3 of land</t>
  </si>
  <si>
    <t>12 Row</t>
  </si>
  <si>
    <t>90 ft.</t>
  </si>
  <si>
    <t>Herbicide ( Burndown)</t>
  </si>
  <si>
    <t>Hipper</t>
  </si>
  <si>
    <t>Tillage</t>
  </si>
  <si>
    <t>60 ft.</t>
  </si>
  <si>
    <t>Fertilizer</t>
  </si>
  <si>
    <t>Mixed N,P,K,S,B (30-30-60-10-1)</t>
  </si>
  <si>
    <t>Do All (Seedbed Finisher)</t>
  </si>
  <si>
    <t>Knife Rig</t>
  </si>
  <si>
    <t>18 gal UAN 32%</t>
  </si>
  <si>
    <t>Herbicide, Insecticide</t>
  </si>
  <si>
    <t>Irrigation Polypipe Spool</t>
  </si>
  <si>
    <t xml:space="preserve"> Total Season Activities</t>
  </si>
  <si>
    <t>Insecticide, Growth Regulator</t>
  </si>
  <si>
    <t>0.75 lbs Acephate, 6 oz Mepex</t>
  </si>
  <si>
    <t>6 oz Bidrin, 8 oz Mepex</t>
  </si>
  <si>
    <t>0.75 lbs Acephate, 12 oz Mepex</t>
  </si>
  <si>
    <t>Defoliant</t>
  </si>
  <si>
    <t>2 oz Dropp, 6 oz Folex, 6 oz Prep</t>
  </si>
  <si>
    <t>8 oz Folex, 42 oz Prep</t>
  </si>
  <si>
    <t>Picker</t>
  </si>
  <si>
    <t>20 ft.</t>
  </si>
  <si>
    <t>Mow Stalks</t>
  </si>
  <si>
    <t>In the "Budget" worksheet, enter data in white cells only. All other cells are automatically updated.</t>
  </si>
  <si>
    <t xml:space="preserve">The worksheet "Trips" is a summary of all costs related to machinery activites entered in the "Machine" worksheet. </t>
  </si>
  <si>
    <t xml:space="preserve">Go to "Seed_Chemical" worksheet. Enter seed and chemical data in the white cells only. Verify that units for </t>
  </si>
  <si>
    <t>quantity and price correspond. Enter chemical or brand name. You can enter a chemical on a separate line for</t>
  </si>
  <si>
    <t>each time it is applied during the season. For example, a particular herbicide brand may be applied once prior to</t>
  </si>
  <si>
    <t>for chemical applications.</t>
  </si>
  <si>
    <t>Go to "Irrigation" worksheet. Enter irrigation type, power unit type, and levy type in the appropriate white cell. Enter</t>
  </si>
  <si>
    <t>a 3 in irrigation type if no irrigation water is applied. In cases of no irrigation, any entry in power unit type and levy</t>
  </si>
  <si>
    <t>Go to "Machine" worksheet. Enter number of trips through the field in the first column of white cells. For example, if</t>
  </si>
  <si>
    <t>a field is disked in the fall and again in the spring, the entry for disk should be 2. For building levees, each round-trip</t>
  </si>
  <si>
    <t>represents a field trip. If three round-trips are made to build a rice levee, the entry for levee pull should be 3. If one</t>
  </si>
  <si>
    <t>round-trip is made to build a soybean levy, each time levees are constructed is a field trip. If soybean levees are</t>
  </si>
  <si>
    <t>constructed four times during the season, the entry next to levee pull should be 4. For installing levee gates, field</t>
  </si>
  <si>
    <t>trips should be set equal to the number of times levees are constructed during the season. Rice entries for these</t>
  </si>
  <si>
    <t xml:space="preserve">activities will always be 1. Soybean entries will vary based on the number of times levees are constructed during </t>
  </si>
  <si>
    <t>the season. Other entries in the white cells for new purchase price, width, ground speed, drive type, and horse-</t>
  </si>
  <si>
    <t>power are based on a typical situation with 12-row equipment. These can be changed for alternative machinery</t>
  </si>
  <si>
    <t>Cooperative Extension Service</t>
  </si>
  <si>
    <t>Worksheets to the left of this "Guide" worksheet are for report writing.</t>
  </si>
  <si>
    <t>selections. Prices for machinery should represent new purchases expressed in current dollars.</t>
  </si>
  <si>
    <t>type will not affect the budget calculations. Enter energy prices in the appropriate white cell. Prices for irrigation</t>
  </si>
  <si>
    <t>equipment should represent new purchases expressed in current dollars. Equipment prices should be consistent</t>
  </si>
  <si>
    <t>with irrigation system specifications.</t>
  </si>
  <si>
    <t>Worksheets to the right of this "Guide" worksheet are for developing customized budgets.</t>
  </si>
  <si>
    <t xml:space="preserve">   Cotton Lint Turnout</t>
  </si>
  <si>
    <t>Levee Pull, Planter/Incorporate</t>
  </si>
  <si>
    <t>Sprayer, Tractor Mounted (ft)</t>
  </si>
  <si>
    <t>Sprayer, Tractor Mounted (row)</t>
  </si>
  <si>
    <t>Fertilizer, Broadcast Spreader</t>
  </si>
  <si>
    <t>Salvage</t>
  </si>
  <si>
    <t>Diesel $/gal</t>
  </si>
  <si>
    <t>pt</t>
  </si>
  <si>
    <t>Cotoran</t>
  </si>
  <si>
    <t>Dual</t>
  </si>
  <si>
    <t>Centric</t>
  </si>
  <si>
    <t>Acephate</t>
  </si>
  <si>
    <t>Bidrin</t>
  </si>
  <si>
    <t>Folex</t>
  </si>
  <si>
    <t>Fertilizers</t>
  </si>
  <si>
    <t>Other Inputs</t>
  </si>
  <si>
    <t>Irrigation Energy</t>
  </si>
  <si>
    <t xml:space="preserve">   Repairs and Maintenance, Pre-Post Harvest</t>
  </si>
  <si>
    <t xml:space="preserve">   Diesel Fuel, Pre-Post Harvest</t>
  </si>
  <si>
    <t xml:space="preserve">   Diesel Fuel, Harvest</t>
  </si>
  <si>
    <t>CottonSeed Messages</t>
  </si>
  <si>
    <t>Post-Harvest Messages</t>
  </si>
  <si>
    <t>Crop Indicator</t>
  </si>
  <si>
    <t>Messages</t>
  </si>
  <si>
    <t>are in</t>
  </si>
  <si>
    <t>Budget!J12:J14</t>
  </si>
  <si>
    <t>Budget!L12:L14</t>
  </si>
  <si>
    <t>Peanut Digger/Inverter</t>
  </si>
  <si>
    <t>Typical Harvest MPH</t>
  </si>
  <si>
    <t>Custom Harvest</t>
  </si>
  <si>
    <t>Peanut Conditioner</t>
  </si>
  <si>
    <t>Crop Only.</t>
  </si>
  <si>
    <t>Should be 0.</t>
  </si>
  <si>
    <t>Budget Line 39</t>
  </si>
  <si>
    <t>Budget Line 40</t>
  </si>
  <si>
    <t>Budget Line 41</t>
  </si>
  <si>
    <t>Per Acre</t>
  </si>
  <si>
    <t>Seed or Seed/Plant  Messages</t>
  </si>
  <si>
    <t>Seed/Plants</t>
  </si>
  <si>
    <t>Planting: Cell A6</t>
  </si>
  <si>
    <t>in Budget Sheet</t>
  </si>
  <si>
    <t>Names for Other Chemical Detail</t>
  </si>
  <si>
    <t>Other Chemical</t>
  </si>
  <si>
    <t>Budget!A15</t>
  </si>
  <si>
    <t>Budget!A16</t>
  </si>
  <si>
    <t>Years to</t>
  </si>
  <si>
    <t>Amortize</t>
  </si>
  <si>
    <t>Other Fixed Costs</t>
  </si>
  <si>
    <t>Other Irrigation Expenses, Current $ for New Installation</t>
  </si>
  <si>
    <t>Implements/</t>
  </si>
  <si>
    <t>$</t>
  </si>
  <si>
    <t xml:space="preserve">Total Costs, Include Installation </t>
  </si>
  <si>
    <t>Message</t>
  </si>
  <si>
    <t>is in</t>
  </si>
  <si>
    <t>Equipment Specs!A9</t>
  </si>
  <si>
    <t>Equipment Specs!F9</t>
  </si>
  <si>
    <t>Diesel Fuel</t>
  </si>
  <si>
    <t>Well Pumping Depth, ft</t>
  </si>
  <si>
    <t>Primary Note 1</t>
  </si>
  <si>
    <t>Cotton Note 2</t>
  </si>
  <si>
    <t>Cotton Note 3</t>
  </si>
  <si>
    <t>Cotton Note 4</t>
  </si>
  <si>
    <t>Equipment Specs Messages for Salvage Value</t>
  </si>
  <si>
    <t>Per Acre $</t>
  </si>
  <si>
    <t>Enter Line Title for Other Crop</t>
  </si>
  <si>
    <t>=Budget!D3</t>
  </si>
  <si>
    <t xml:space="preserve">    Expense</t>
  </si>
  <si>
    <t>Budget Line 42</t>
  </si>
  <si>
    <t>Peanuts Only</t>
  </si>
  <si>
    <t xml:space="preserve">For Other Crop Only </t>
  </si>
  <si>
    <t>Units</t>
  </si>
  <si>
    <t xml:space="preserve">Enter 1 to </t>
  </si>
  <si>
    <t>Charge</t>
  </si>
  <si>
    <t>Electric</t>
  </si>
  <si>
    <t>Sell Seed</t>
  </si>
  <si>
    <t>Seed, Includes All Fees; See Note 1</t>
  </si>
  <si>
    <t>Phosphate (P2O5)</t>
  </si>
  <si>
    <t>Potash (K2O)</t>
  </si>
  <si>
    <t>Other Nutrients</t>
  </si>
  <si>
    <t>Custom Chemical &amp; Fertilizer Applications</t>
  </si>
  <si>
    <t>Other Inputs, Survey Levees</t>
  </si>
  <si>
    <t>Boll Weevil Eradication Fee; See Note 2</t>
  </si>
  <si>
    <t xml:space="preserve">   Hauling, Ginning</t>
  </si>
  <si>
    <t xml:space="preserve">   Storage and Warehousing</t>
  </si>
  <si>
    <t xml:space="preserve">   Promotions, Boards, Classing</t>
  </si>
  <si>
    <t>Miscellaneous Overhead</t>
  </si>
  <si>
    <t>Yield (cotton-lb,other-bu)</t>
  </si>
  <si>
    <t>Price ($/yield unit)</t>
  </si>
  <si>
    <t>Chemicals</t>
  </si>
  <si>
    <t>Pre-Harvest Expense</t>
  </si>
  <si>
    <t>Marketing Expense</t>
  </si>
  <si>
    <t>Harvest Labor</t>
  </si>
  <si>
    <t>Misc. Overhead</t>
  </si>
  <si>
    <t>IMPLAN Code</t>
  </si>
  <si>
    <t>Retail-Building Materials</t>
  </si>
  <si>
    <t>Ag Support Services</t>
  </si>
  <si>
    <t>Industrial Machinery Repair</t>
  </si>
  <si>
    <t>Retail-Gasoline</t>
  </si>
  <si>
    <t>Warehousing and Storage</t>
  </si>
  <si>
    <t>Ag Chemical Manufacturing</t>
  </si>
  <si>
    <t>Fertilizer Manufacturing</t>
  </si>
  <si>
    <t>Margin</t>
  </si>
  <si>
    <t>Other Property Income</t>
  </si>
  <si>
    <t>Employee Compensation - Number?</t>
  </si>
  <si>
    <t>Indirect Business Tax</t>
  </si>
  <si>
    <t>Seed Treatment-Ag Chemical Manufacturing</t>
  </si>
  <si>
    <t xml:space="preserve">Technology Fee-Scientific R&amp;D Services </t>
  </si>
  <si>
    <t>Proprietor Income - Farmer</t>
  </si>
  <si>
    <t>Other Property Income - Landlord</t>
  </si>
  <si>
    <t>Other Property Income - Interest</t>
  </si>
  <si>
    <t>Expense</t>
  </si>
  <si>
    <t>Proprietor Income - Landlord</t>
  </si>
  <si>
    <t xml:space="preserve">Seed-Crop Farming </t>
  </si>
  <si>
    <t>Peanut Conditiner &amp; Lifter</t>
  </si>
  <si>
    <t>Farm Equipment &amp; Machinery Interest Rate</t>
  </si>
  <si>
    <t>UAEX Use Only - Production Function</t>
  </si>
  <si>
    <t>UAEX Use Only - Economic Impact</t>
  </si>
  <si>
    <t>Fuel</t>
  </si>
  <si>
    <t xml:space="preserve">2 pt Glyphosate Plus, 8 oz  Banvel </t>
  </si>
  <si>
    <t>2 pt Glyphosate Plus, 1 pt Dual</t>
  </si>
  <si>
    <t>2 pt Glyphosate Plus, 1 pt Dual, 2 oz Centric</t>
  </si>
  <si>
    <t>1.5 pt Glyphosate Plus, 2 oz Valor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</si>
  <si>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Default cost is for a vertical line shaft pump.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</si>
  <si>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Default cost for furrow or flood and</t>
    </r>
  </si>
  <si>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Default cost converts diesel power to electricity</t>
    </r>
  </si>
  <si>
    <t>UAEX Use Only - Simulation</t>
  </si>
  <si>
    <t>Check</t>
  </si>
  <si>
    <t>From ASAE, 1997 Table in Iowa State Publication, % by Years</t>
  </si>
  <si>
    <t>Common</t>
  </si>
  <si>
    <t>Name</t>
  </si>
  <si>
    <t>Module Handler</t>
  </si>
  <si>
    <t>Budget!A31</t>
  </si>
  <si>
    <t>Budget!A34</t>
  </si>
  <si>
    <t>Names for Other Inputs</t>
  </si>
  <si>
    <t>Names for Fertilizers</t>
  </si>
  <si>
    <t>Budget!A7</t>
  </si>
  <si>
    <t>Budget!A8</t>
  </si>
  <si>
    <t>Budget!A9</t>
  </si>
  <si>
    <t>Budget!A10</t>
  </si>
  <si>
    <t>Budget!A11</t>
  </si>
  <si>
    <t>Budget!A12</t>
  </si>
  <si>
    <t>Budget!A17</t>
  </si>
  <si>
    <t>Fungicide</t>
  </si>
  <si>
    <t>Budget!A19</t>
  </si>
  <si>
    <t>Budget!A20</t>
  </si>
  <si>
    <t>Budget!A21</t>
  </si>
  <si>
    <t>Budget!A22</t>
  </si>
  <si>
    <t>Names for Custom Applications, Skip Leading 3 Spaces</t>
  </si>
  <si>
    <t>Skip Leading 3 Spaces</t>
  </si>
  <si>
    <t>Budget!A18</t>
  </si>
  <si>
    <t>Pre-Harvest Custom Operations</t>
  </si>
  <si>
    <t>Alternative Name for Other Crop Custom Operations</t>
  </si>
  <si>
    <t>Budget!A36</t>
  </si>
  <si>
    <t>Interest Rate Months Applied</t>
  </si>
  <si>
    <t>Ex. 6/12</t>
  </si>
  <si>
    <t>Other Equipment</t>
  </si>
  <si>
    <t>Other Harvest</t>
  </si>
  <si>
    <t>Fixed Costs Details for Amoritazation</t>
  </si>
  <si>
    <t>Cotton Bale, lbs.</t>
  </si>
  <si>
    <t>Electric Indicator:</t>
  </si>
  <si>
    <t>Module-Building</t>
  </si>
  <si>
    <t>Next to Type</t>
  </si>
  <si>
    <t>Picker, Enter 1</t>
  </si>
  <si>
    <t>Case IH, Other Module-Building Picker</t>
  </si>
  <si>
    <t>Case IH, Other</t>
  </si>
  <si>
    <t>Enter 1 to</t>
  </si>
  <si>
    <t>Charge Repairs</t>
  </si>
  <si>
    <t>Applied</t>
  </si>
  <si>
    <t>Ac-Inch</t>
  </si>
  <si>
    <t>Cost</t>
  </si>
  <si>
    <t>Center Pivot</t>
  </si>
  <si>
    <t>Irrigation Labor</t>
  </si>
  <si>
    <t>Irrigation Labor per Ac-Inch</t>
  </si>
  <si>
    <t>Labor, Application Hours/Acre</t>
  </si>
  <si>
    <t>Irrigation Application</t>
  </si>
  <si>
    <t>Pump &amp; Intake, Surface Source</t>
  </si>
  <si>
    <t>Cottonseed Price</t>
  </si>
  <si>
    <t>Copy, then Paste Special-Value, Entire Section Block</t>
  </si>
  <si>
    <t>Machinery</t>
  </si>
  <si>
    <t>Overhead</t>
  </si>
  <si>
    <t>Season Total Machinery</t>
  </si>
  <si>
    <t>Inches</t>
  </si>
  <si>
    <t>1 if Furrow, Flood, or Other Surface Type</t>
  </si>
  <si>
    <t>Irrigation System Base Specifications</t>
  </si>
  <si>
    <t>Inches are for system expectations.</t>
  </si>
  <si>
    <t>Actual inches applied are entered in</t>
  </si>
  <si>
    <t>Budget sheet, cell D28.</t>
  </si>
  <si>
    <t>Crop Error Message for Budget Sheet</t>
  </si>
  <si>
    <t>Crop selections must sum to 1.</t>
  </si>
  <si>
    <t>This is the default for Budget!A6</t>
  </si>
  <si>
    <t>Footnote Messages for Budget Sheet</t>
  </si>
  <si>
    <t>Furrow, Other Surface</t>
  </si>
  <si>
    <t>Budget!C4</t>
  </si>
  <si>
    <t>Budget!D4</t>
  </si>
  <si>
    <t>Budget!M17 or Budget!M18</t>
  </si>
  <si>
    <t>Used in Budget!E4</t>
  </si>
  <si>
    <t>Error Indicator for Budget!M17 and Budget!M18</t>
  </si>
  <si>
    <t>Cotton Harvesting Machine Error Messages</t>
  </si>
  <si>
    <t>Machine!69</t>
  </si>
  <si>
    <t>Machine!70</t>
  </si>
  <si>
    <t>Machine!71</t>
  </si>
  <si>
    <t>Machine!72</t>
  </si>
  <si>
    <t>Flood Rice</t>
  </si>
  <si>
    <t>Levees per 100 Acres</t>
  </si>
  <si>
    <t>Straight</t>
  </si>
  <si>
    <t>Meandering or Contour</t>
  </si>
  <si>
    <t>System</t>
  </si>
  <si>
    <t>Activities</t>
  </si>
  <si>
    <t>Capital Recovery</t>
  </si>
  <si>
    <t>Fuel, Energy</t>
  </si>
  <si>
    <t>Annual Irrigation Expenses, Field</t>
  </si>
  <si>
    <t>Annual Inches</t>
  </si>
  <si>
    <t>Field Acres</t>
  </si>
  <si>
    <t>Install Gates &amp; Remove</t>
  </si>
  <si>
    <t>Insurance</t>
  </si>
  <si>
    <t>Returns to Irrigation per Acre</t>
  </si>
  <si>
    <t>Crop Price Received per Yield Unit</t>
  </si>
  <si>
    <t>Yield Increase over Non-irrigated</t>
  </si>
  <si>
    <t>Returns to Irrigation per Field</t>
  </si>
  <si>
    <t>Irrigation Supplies</t>
  </si>
  <si>
    <t>Budget!L15</t>
  </si>
  <si>
    <t>Returns to Irrigation System</t>
  </si>
  <si>
    <t>Costs for Irrigation System</t>
  </si>
  <si>
    <t xml:space="preserve">  Acres in Irrigation System:</t>
  </si>
  <si>
    <t>Irrigation Expenses per Acre</t>
  </si>
  <si>
    <t>Irrigation Expenses per Inch</t>
  </si>
  <si>
    <t>Insurance Premium, Percent of Value</t>
  </si>
  <si>
    <t>Pivot System</t>
  </si>
  <si>
    <t>Base</t>
  </si>
  <si>
    <t>Gramoxone</t>
  </si>
  <si>
    <t>Table 4-B. Cotton Field Activities, B2RF, Furrow Irrigation</t>
  </si>
  <si>
    <t>Plant</t>
  </si>
  <si>
    <t>Herbicide at Planting</t>
  </si>
  <si>
    <t>1.6 pt Cotoran, 32 oz Gramoxone</t>
  </si>
  <si>
    <t>Production Expenses</t>
  </si>
  <si>
    <t>Incorrect: No Cottonseed Value Allowed</t>
  </si>
  <si>
    <t>Farm Acres</t>
  </si>
  <si>
    <t>Production Expenses, $</t>
  </si>
  <si>
    <t>Nitrogen conversion is for information</t>
  </si>
  <si>
    <t>Lbs. (N units)</t>
  </si>
  <si>
    <t>Total N Units</t>
  </si>
  <si>
    <t>Unallocated Overhead</t>
  </si>
  <si>
    <t>Grower Share, %</t>
  </si>
  <si>
    <t>Farm</t>
  </si>
  <si>
    <t>Total Specified Expenses</t>
  </si>
  <si>
    <t>Expenses</t>
  </si>
  <si>
    <t>Interest, Annual Rate Applied for 6 Months</t>
  </si>
  <si>
    <t>If each = 0, value is set equal</t>
  </si>
  <si>
    <t>Field or Farm ID:</t>
  </si>
  <si>
    <t>Machine</t>
  </si>
  <si>
    <t>Corn, Furrow</t>
  </si>
  <si>
    <t>Corn, Pivot</t>
  </si>
  <si>
    <t>Irrigation Inches</t>
  </si>
  <si>
    <t>Post Harvest 1</t>
  </si>
  <si>
    <t>Post Harvest 2</t>
  </si>
  <si>
    <t>Post Harvest 3</t>
  </si>
  <si>
    <t>Post Harvest 4; see Program_Variables</t>
  </si>
  <si>
    <t>Indicator</t>
  </si>
  <si>
    <t>Summary of Revenue and Expenses</t>
  </si>
  <si>
    <t>cell Budget!A1</t>
  </si>
  <si>
    <t>Corn, No Irrigation</t>
  </si>
  <si>
    <t>cell Budget!H1</t>
  </si>
  <si>
    <t>Technology Fee - price</t>
  </si>
  <si>
    <t xml:space="preserve">Technology Fee - quantity </t>
  </si>
  <si>
    <t>Lookup</t>
  </si>
  <si>
    <t>cell Seed_Chemical!C3</t>
  </si>
  <si>
    <t>cell Seed_Chemical!C4</t>
  </si>
  <si>
    <t>Enter</t>
  </si>
  <si>
    <t xml:space="preserve">Budget </t>
  </si>
  <si>
    <t>Number</t>
  </si>
  <si>
    <t>Unit Seeding Rate</t>
  </si>
  <si>
    <t>Unit Technology Fee</t>
  </si>
  <si>
    <t>Error Message in Chem_Look_Up!B4</t>
  </si>
  <si>
    <t>Budget</t>
  </si>
  <si>
    <t>cell MachineReport!A1</t>
  </si>
  <si>
    <t>cell ChemicalReport!A1</t>
  </si>
  <si>
    <t>Command</t>
  </si>
  <si>
    <t>Axial</t>
  </si>
  <si>
    <t>Atrazine</t>
  </si>
  <si>
    <t>Newpath</t>
  </si>
  <si>
    <t>Harmony Extra XP</t>
  </si>
  <si>
    <t>Surfactant</t>
  </si>
  <si>
    <t>Prefix</t>
  </si>
  <si>
    <t>Aim</t>
  </si>
  <si>
    <t>Storm</t>
  </si>
  <si>
    <t>Liberty</t>
  </si>
  <si>
    <t>Grandstand</t>
  </si>
  <si>
    <t>Duet</t>
  </si>
  <si>
    <t>Regiment</t>
  </si>
  <si>
    <t>Growth Regulator</t>
  </si>
  <si>
    <t>Quadris</t>
  </si>
  <si>
    <t>Quilt</t>
  </si>
  <si>
    <t>Nematicide</t>
  </si>
  <si>
    <t>Crop</t>
  </si>
  <si>
    <t>unit</t>
  </si>
  <si>
    <t>price</t>
  </si>
  <si>
    <t>Grower Share</t>
  </si>
  <si>
    <t>Average Nitrogen per Acre</t>
  </si>
  <si>
    <t>Grower</t>
  </si>
  <si>
    <t>Land Owner</t>
  </si>
  <si>
    <t>Land Value per Acre, $/Acre</t>
  </si>
  <si>
    <t>Land Capitalization Rate, Percent</t>
  </si>
  <si>
    <t>Other Nitrogen</t>
  </si>
  <si>
    <t>Implements/Self-Propelled</t>
  </si>
  <si>
    <t>Error Message in Machine_Look_Up!B4</t>
  </si>
  <si>
    <t>Equipment List 1</t>
  </si>
  <si>
    <t>Equipment List 2</t>
  </si>
  <si>
    <t>Equipment List 3</t>
  </si>
  <si>
    <t>Equipment List 4</t>
  </si>
  <si>
    <t>Grain Sorghum, Furrow</t>
  </si>
  <si>
    <t>Grain Sorghum, Pivot</t>
  </si>
  <si>
    <t>Grain Sorghum, No Irrigation</t>
  </si>
  <si>
    <t>Rice, Conventional Seed</t>
  </si>
  <si>
    <t>Rice, Clearfield Seed</t>
  </si>
  <si>
    <t>Rice, Hybrid Seed</t>
  </si>
  <si>
    <t>Rice, Water Seeded</t>
  </si>
  <si>
    <t>Soybeans, Conventional, Furrow</t>
  </si>
  <si>
    <t>lb</t>
  </si>
  <si>
    <t>Custom Aerial Application</t>
  </si>
  <si>
    <t>Other4</t>
  </si>
  <si>
    <t>Select Equipment List Here</t>
  </si>
  <si>
    <t>Grain Sorghum, NonIrrigated</t>
  </si>
  <si>
    <t>Rice, Convent.</t>
  </si>
  <si>
    <t>Rice, Clearfield</t>
  </si>
  <si>
    <t>Rice, Hybrid</t>
  </si>
  <si>
    <t>Table 1. Details of Chemicals Applied, Corn,Furrow</t>
  </si>
  <si>
    <t>Table 2. Details of Chemicals Applied, Corn, Pivot</t>
  </si>
  <si>
    <t>Table 3. Details of Chemicals Applied, Corn, No Irrigation</t>
  </si>
  <si>
    <t>Table 1. Machinery Capital Recovery and Operating Costs, Corn, Furrow</t>
  </si>
  <si>
    <t>Table 2. Machinery Capital Recovery and Operating Costs, Corn, Pivot</t>
  </si>
  <si>
    <t>Table 3. Machinery Capital Recovery and Operating Costs, Corn, No Irrigation</t>
  </si>
  <si>
    <t>Housing</t>
  </si>
  <si>
    <t>Taxes</t>
  </si>
  <si>
    <r>
      <t xml:space="preserve">Enter a 1 to assess personal property tax to machinery </t>
    </r>
    <r>
      <rPr>
        <sz val="11"/>
        <rFont val="Calibri"/>
        <family val="2"/>
      </rPr>
      <t>→</t>
    </r>
  </si>
  <si>
    <t>Lb/Ac</t>
  </si>
  <si>
    <t>Program converts type to N units (Lb) by multiplying type</t>
  </si>
  <si>
    <t>User entries do not affect calculations. Enter results for</t>
  </si>
  <si>
    <t>Irrigation: 1=Surface 2=Pivot, 3=None</t>
  </si>
  <si>
    <t>Machinery &amp; Equipment</t>
  </si>
  <si>
    <t>Total Fixed Costs</t>
  </si>
  <si>
    <t>Net Returns</t>
  </si>
  <si>
    <t>Enter chemicals for each budget in these sections.</t>
  </si>
  <si>
    <t>Calculates Irrigation Costs for Land Owner when not the Grower</t>
  </si>
  <si>
    <t>Repairs &amp; Maintenance, Includes Employee Labor</t>
  </si>
  <si>
    <r>
      <t>Repairs &amp; Maintenance</t>
    </r>
    <r>
      <rPr>
        <vertAlign val="superscript"/>
        <sz val="11"/>
        <rFont val="Times New Roman"/>
        <family val="1"/>
      </rPr>
      <t>1,2</t>
    </r>
  </si>
  <si>
    <t>Share</t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</si>
  <si>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Does not include land costs, management, or other expenses and fees not associated with production.</t>
    </r>
  </si>
  <si>
    <r>
      <t>Total Specified Expenses</t>
    </r>
    <r>
      <rPr>
        <b/>
        <vertAlign val="superscript"/>
        <sz val="11"/>
        <rFont val="Times New Roman"/>
        <family val="1"/>
      </rPr>
      <t>2</t>
    </r>
  </si>
  <si>
    <r>
      <t>Repairs &amp; Maintenance</t>
    </r>
    <r>
      <rPr>
        <vertAlign val="superscript"/>
        <sz val="11"/>
        <rFont val="Times New Roman"/>
        <family val="1"/>
      </rPr>
      <t>1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</si>
  <si>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Includes employee labor allocated to repairs and maintenance.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</si>
  <si>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Includes employee labor allocated to repairs and maintenance for grower.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</si>
  <si>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Includes irrigation system above ground for grower, below ground for land owner.</t>
    </r>
  </si>
  <si>
    <t xml:space="preserve">   Air Application: Lbs.</t>
  </si>
  <si>
    <t>Cash Land Rent</t>
  </si>
  <si>
    <t>Check-offs, Board Fees</t>
  </si>
  <si>
    <t>Returns to Specified Expenses</t>
  </si>
  <si>
    <t xml:space="preserve">Print the "Print_Summary" worksheet. </t>
  </si>
  <si>
    <t>Insurance Coverage</t>
  </si>
  <si>
    <t xml:space="preserve">Enter a 1 by the </t>
  </si>
  <si>
    <t>Type of Center Pivot</t>
  </si>
  <si>
    <t>Yes Equals 1</t>
  </si>
  <si>
    <t>Replacement Cost</t>
  </si>
  <si>
    <t>Actual Cash Value</t>
  </si>
  <si>
    <t>Ownership</t>
  </si>
  <si>
    <t>Personal Property Tax Assessment</t>
  </si>
  <si>
    <t>Millage Rate</t>
  </si>
  <si>
    <t>Fixed</t>
  </si>
  <si>
    <t>Peanuts, Furrow</t>
  </si>
  <si>
    <t>Peanuts, Pivot</t>
  </si>
  <si>
    <t>Peanuts, No Irrigation</t>
  </si>
  <si>
    <t>Prowl</t>
  </si>
  <si>
    <t>Input Costs</t>
  </si>
  <si>
    <t>Fees</t>
  </si>
  <si>
    <t>Diesel Fuel, Field Activities</t>
  </si>
  <si>
    <t xml:space="preserve">Other Inputs </t>
  </si>
  <si>
    <t>Other3</t>
  </si>
  <si>
    <t>Column C is Data for Entry into Whole Farm Budgets</t>
  </si>
  <si>
    <t>Column G is Data for Entry into Mobile App File</t>
  </si>
  <si>
    <t>*Interest</t>
  </si>
  <si>
    <t>*Post-Harvest Expenses</t>
  </si>
  <si>
    <t xml:space="preserve">Yield </t>
  </si>
  <si>
    <t>Column K is Data for Entry into Comparative Summary</t>
  </si>
  <si>
    <t>Copy, then Paste Special-Value, Entire Section Blocks</t>
  </si>
  <si>
    <t>Other Operating Expenses</t>
  </si>
  <si>
    <t>Post-Harvest Expenses</t>
  </si>
  <si>
    <t>Projected Price</t>
  </si>
  <si>
    <t>Yr2/Yr1</t>
  </si>
  <si>
    <t>Land Cost/yield unit</t>
  </si>
  <si>
    <t>Land Cost/acre</t>
  </si>
  <si>
    <t xml:space="preserve">Total Field Trip Costs per Acre </t>
  </si>
  <si>
    <t>See cells I13, I14</t>
  </si>
  <si>
    <t>APH Yield</t>
  </si>
  <si>
    <t>MSMA 6</t>
  </si>
  <si>
    <t>qt</t>
  </si>
  <si>
    <t xml:space="preserve">Dual </t>
  </si>
  <si>
    <t>Diamond</t>
  </si>
  <si>
    <t>Transform</t>
  </si>
  <si>
    <t>Prevathon</t>
  </si>
  <si>
    <t>Envoke</t>
  </si>
  <si>
    <t>Caparol</t>
  </si>
  <si>
    <t>Bifenthrin</t>
  </si>
  <si>
    <t>CAPITAL RECOVERY &amp; FIXED COSTS</t>
  </si>
  <si>
    <t>Column H is Data for Entry into the Mobile App</t>
  </si>
  <si>
    <t>Customize the Mobile App with these costs.</t>
  </si>
  <si>
    <t xml:space="preserve">Taxes, Insurance, </t>
  </si>
  <si>
    <t>Harvest Fuel</t>
  </si>
  <si>
    <t>Harvest Repairs</t>
  </si>
  <si>
    <t>Harvest Repairs % is full service, not farm labor</t>
  </si>
  <si>
    <t>Paste Values to Compare</t>
  </si>
  <si>
    <t>Boron, $</t>
  </si>
  <si>
    <t>Zinc Sulfate, $</t>
  </si>
  <si>
    <t>Do Not Apply</t>
  </si>
  <si>
    <t>Sell Seed = Mkt. Expense</t>
  </si>
  <si>
    <t xml:space="preserve">Technology Fee </t>
  </si>
  <si>
    <t>Seed, Treatments</t>
  </si>
  <si>
    <t>Convert Liquid N to Lb/Ac (N units)</t>
  </si>
  <si>
    <t xml:space="preserve">N Price &amp; Lb: $/Lb and Lb/Ac are for type (ex. urea). </t>
  </si>
  <si>
    <t>Lb/Ac * N%. Conversion is for information only of each type.</t>
  </si>
  <si>
    <t>Item and Grower %</t>
  </si>
  <si>
    <t>Grower Percent</t>
  </si>
  <si>
    <t>Irrigation Overhead</t>
  </si>
  <si>
    <t xml:space="preserve">Print the "Print_Budget" worksheet. </t>
  </si>
  <si>
    <t xml:space="preserve">Print the "Print_Land_Capitalization" worksheet. </t>
  </si>
  <si>
    <t>Row Rice, Convent.</t>
  </si>
  <si>
    <t>Row Rice, Clearfield</t>
  </si>
  <si>
    <t>Row Rice, Hybrid</t>
  </si>
  <si>
    <t>Row Rice, Clearfield Hybrid</t>
  </si>
  <si>
    <t>Other 3</t>
  </si>
  <si>
    <t>Other 4</t>
  </si>
  <si>
    <t>Other 5</t>
  </si>
  <si>
    <t>Other 6</t>
  </si>
  <si>
    <t>Other 7</t>
  </si>
  <si>
    <t>Information</t>
  </si>
  <si>
    <t/>
  </si>
  <si>
    <t>Field Activity</t>
  </si>
  <si>
    <t>Total Tractor</t>
  </si>
  <si>
    <t>Other5</t>
  </si>
  <si>
    <t>Other6</t>
  </si>
  <si>
    <t>Other7</t>
  </si>
  <si>
    <t>Corn, Conventional, Pivot</t>
  </si>
  <si>
    <t>Corn, Conventional, Furrow</t>
  </si>
  <si>
    <t>Corn, Conventional, No Irrigation</t>
  </si>
  <si>
    <t>Soybeans, Conventional, Pivot</t>
  </si>
  <si>
    <t>Soybeans, Conventional, No Irrigation</t>
  </si>
  <si>
    <t>Soybeans, Conventional, Flood Irrigation</t>
  </si>
  <si>
    <t>Conventional Cotton, Pivot</t>
  </si>
  <si>
    <t>Conventional Cotton, No Irrigation</t>
  </si>
  <si>
    <t>Row Rice, Conventional Seed</t>
  </si>
  <si>
    <t>Row Rice, Clearfield Seed</t>
  </si>
  <si>
    <t>Row Rice, Hybrid Seed</t>
  </si>
  <si>
    <t>Table 42. Other3</t>
  </si>
  <si>
    <t>Table 43. Other4</t>
  </si>
  <si>
    <t>Table 44. Other5</t>
  </si>
  <si>
    <t>Table 45. Other6</t>
  </si>
  <si>
    <t>Table 46. Other7</t>
  </si>
  <si>
    <t>Table 5. Details of Chemicals Applied, Conventional Corn, Pivot</t>
  </si>
  <si>
    <t>Table 6. Details of Chemicals Applied, Conventional Corn, No Irrigation</t>
  </si>
  <si>
    <t>Table 4. Details of Chemicals Applied, Convenional Corn, Furrow</t>
  </si>
  <si>
    <t>Table RR1. Details of Chemicals Applied, Row Rice, Conventional Seed</t>
  </si>
  <si>
    <t>Table RR2. Details of Chemicals Applied, Row Rice, Clearfield Seed</t>
  </si>
  <si>
    <t>Table RR3. Details of Chemicals Applied, Row Rice, Hybrid Seed</t>
  </si>
  <si>
    <t>Table RR4. Details of Chemicals Applied, Row Rice, Clearfield Hybrid Seed</t>
  </si>
  <si>
    <t>Table 4. Machine Capital Recovery and Operating Costs, Convenional Corn, Furrow</t>
  </si>
  <si>
    <t>Table 5. Machine Capital Recovery and Operating Costs, Conventional Corn, Pivot</t>
  </si>
  <si>
    <t>Table 6. Machine Capital Recovery and Operating Costs, Conventional Corn, No Irrigation</t>
  </si>
  <si>
    <t>Table RR1. Machine Capital Recovery and Operating Costs, Row Rice, Conventional Seed</t>
  </si>
  <si>
    <t>Table RR2. Machine Capital Recovery and Operating Costs, Row Rice, Clearfield Seed</t>
  </si>
  <si>
    <t>Table RR3. Machine Capital Recovery and Operating Costs, Row Rice, Hybrid Seed</t>
  </si>
  <si>
    <t>Table RR4. Machine Capital Recovery and Operating Costs, Row Rice, Clearfield Hybrid Seed</t>
  </si>
  <si>
    <t>Bolero</t>
  </si>
  <si>
    <t>Ricestar HT</t>
  </si>
  <si>
    <t>Clearpath</t>
  </si>
  <si>
    <t>Accent Q</t>
  </si>
  <si>
    <t>Take Down Levees</t>
  </si>
  <si>
    <t xml:space="preserve">and parts expense </t>
  </si>
  <si>
    <t>0% indicates Harvest Repairs are a fixed expense</t>
  </si>
  <si>
    <t>Stubble Roller</t>
  </si>
  <si>
    <t>=&gt;200 - &lt;250</t>
  </si>
  <si>
    <t>Tractor Acres and Hours</t>
  </si>
  <si>
    <t>Unit Acres and Hours</t>
  </si>
  <si>
    <t>=&gt;250</t>
  </si>
  <si>
    <t>planting and a second time later during the season. Entries in the "Information" column will assist in record keeping</t>
  </si>
  <si>
    <t>"Budget" worksheet.</t>
  </si>
  <si>
    <t>Fertilizers entered in the white cells of columns A,B,C, and D in the "Fertilizer" worksheet are transferred to the</t>
  </si>
  <si>
    <t>Ounces</t>
  </si>
  <si>
    <t>Harvest Aid</t>
  </si>
  <si>
    <t>Liters</t>
  </si>
  <si>
    <t>Liters, Kg</t>
  </si>
  <si>
    <t xml:space="preserve">Carbon Equivalent per Input Unit, kg </t>
  </si>
  <si>
    <t>Carbon Equivalent</t>
  </si>
  <si>
    <t>Pounds</t>
  </si>
  <si>
    <t>Kg</t>
  </si>
  <si>
    <t>N</t>
  </si>
  <si>
    <t>P</t>
  </si>
  <si>
    <t>K</t>
  </si>
  <si>
    <t>Lime</t>
  </si>
  <si>
    <t>Ounces/L</t>
  </si>
  <si>
    <t>Pounds/Kg</t>
  </si>
  <si>
    <t xml:space="preserve">per Input </t>
  </si>
  <si>
    <t>Unit,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</si>
  <si>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Emissions from Soil/ Kg N Applied</t>
    </r>
  </si>
  <si>
    <t>Gallons/Liter</t>
  </si>
  <si>
    <t>Carbon-Equivalent Emissions</t>
  </si>
  <si>
    <t>Diesel</t>
  </si>
  <si>
    <t>Diesel,</t>
  </si>
  <si>
    <t>Fertilizer,</t>
  </si>
  <si>
    <t xml:space="preserve">Field 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</si>
  <si>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from paddy rice</t>
    </r>
  </si>
  <si>
    <t>Acres = 1 Hectare</t>
  </si>
  <si>
    <t>Carbon Equivalent, total chemicals, kg per acre</t>
  </si>
  <si>
    <t>Carbon Equivalent, total fertilizers, kg per acre</t>
  </si>
  <si>
    <t>Total, kg per acre</t>
  </si>
  <si>
    <t>Kg, Total Carbon Equivalent Emissions, per acre</t>
  </si>
  <si>
    <t>Kg, Total Carbon Equivalent Emissions, per hectare</t>
  </si>
  <si>
    <r>
      <t>Kg,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Emissions, per hectare</t>
    </r>
  </si>
  <si>
    <r>
      <t>Kg, Total Carbon Equivalent Emmissions, per hectare, without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</t>
    </r>
  </si>
  <si>
    <t>Kg Carbon Equivalent, per hectare</t>
  </si>
  <si>
    <t>Kg Carbon Equivalent, per acre</t>
  </si>
  <si>
    <t>Operating Expenses with Post-Harvest Expenses</t>
  </si>
  <si>
    <t>Table 7. Details of Chemicals Applied, Grain Sorghum, Furrow</t>
  </si>
  <si>
    <t>Table 8. Details of Chemicals Applied, Grain Sorghum, Pivot</t>
  </si>
  <si>
    <t>Table 9 Details of Chemicals Applied, Grain Sorghum, No Irrigation</t>
  </si>
  <si>
    <t>Table 10. Details of Chemicals Applied, Rice, Conventional Seed</t>
  </si>
  <si>
    <t>Table 11. Details of Chemicals Applied, Rice, Clearfield Seed</t>
  </si>
  <si>
    <t>Table 12. Details of Chemicals Applied, Rice, Hybrid Seed</t>
  </si>
  <si>
    <t>Table 14. Details of Chemicals Applied, Rice, Water Seeded</t>
  </si>
  <si>
    <t>Table 23. Details of Chemicals Applied, Conventional Soybeans, Furrow</t>
  </si>
  <si>
    <t>Table 30. Details of Chemicals Applied, Wheat</t>
  </si>
  <si>
    <t>Table 24. Details of Chemicals Applied, Conventional Soybeans, Pivot</t>
  </si>
  <si>
    <t>Table 25. Details of Chemicals Applied, Conventional Soybeans, No Irrigation</t>
  </si>
  <si>
    <t>Table 26. Details of Chemicals Applied, Conventional Soybeans, Flood Irrigaion</t>
  </si>
  <si>
    <t>Table 27. Details of Chemicals Applied, Peanuts, Furrow</t>
  </si>
  <si>
    <t>Table 28. Details of Chemicals Applied, Peanuts, Pivot</t>
  </si>
  <si>
    <t>Table 29. Details of Chemicals Applied, Peanuts, No Irrigation</t>
  </si>
  <si>
    <t>Table 39. Details of Chemicals Applied, Conventional Cotton, No Irrigation</t>
  </si>
  <si>
    <t>Table 7. Machinery Capital Recovery and Operating Costs, Grain Sorghum, Furrow</t>
  </si>
  <si>
    <t>Table 8. Machinery Capital Recovery and Operating Costs, Grain Sorghum, Pivot</t>
  </si>
  <si>
    <t>Table 9. Machinery Capital Recovery and Operating Costs, Grain Sorghum, No Irrigation</t>
  </si>
  <si>
    <t>Table 10. Machinery Capital Recovery and Operating Costs, Rice, Conventional Seed</t>
  </si>
  <si>
    <t>Table 11. Machinery Capital Recovery and Operating Costs, Rice, Clearfield Seed</t>
  </si>
  <si>
    <t>Table 12. Machinery Capital Recovery and Operating Costs, Rice, Hybrid Seed</t>
  </si>
  <si>
    <t>Table 14. Machinery Capital Recovery and Operating Costs, Rice, Water Seeded</t>
  </si>
  <si>
    <t>Table 23. Machinery Capital Recovery and Operating Costs, Conventional Soybeans, Furrow</t>
  </si>
  <si>
    <t>Table 30. Machinery Capital Recovery and Operating Costs, Wheat</t>
  </si>
  <si>
    <t>Table 27. Machinery Capital Recovery and Operating Costs, Peanuts, Furrow</t>
  </si>
  <si>
    <t>Table 28. Machinery Capital Recovery and Operating Costs, Peanuts, Pivot</t>
  </si>
  <si>
    <t>Table 29. Machinery Capital Recovery and Operating Costs, Peanuts, No Irrigation</t>
  </si>
  <si>
    <t>Table 24. Machine Capital Recovery and Operating Costs, Conventional Soybeans, Pivot</t>
  </si>
  <si>
    <t>Table 25. Machine Capital Recovery and Operating Costs, Conventional Soybeans, No Irrigation</t>
  </si>
  <si>
    <t>Table 26. Machine Capital Recovery and Operating Costs, Conventional Soybeans, Flood Irrigaion</t>
  </si>
  <si>
    <t>The "Field Activities" worksheet is the production program that corresponds to this budget.</t>
  </si>
  <si>
    <t>Halex GT</t>
  </si>
  <si>
    <t>Budget No.</t>
  </si>
  <si>
    <t>Turbo Tiller</t>
  </si>
  <si>
    <t>Fertilizer, Knife Rig 12 Row</t>
  </si>
  <si>
    <t>Convention. Cotton, Furrow</t>
  </si>
  <si>
    <t>Dry Box Spreader</t>
  </si>
  <si>
    <t>&lt;=170</t>
  </si>
  <si>
    <t>&gt;170 - &lt;200</t>
  </si>
  <si>
    <t>Row Crop Cultivator, Row Middles</t>
  </si>
  <si>
    <t>Salvage Value</t>
  </si>
  <si>
    <t>2,4-DB</t>
  </si>
  <si>
    <t>Admire Pro, furrow</t>
  </si>
  <si>
    <t>Convoy</t>
  </si>
  <si>
    <t>Proline, furrow</t>
  </si>
  <si>
    <t>Musle ADV</t>
  </si>
  <si>
    <t>Innoculant</t>
  </si>
  <si>
    <t>In-furrow</t>
  </si>
  <si>
    <t>Subsoiler, 25 ft.</t>
  </si>
  <si>
    <t>Subsoiler, 5 shank</t>
  </si>
  <si>
    <t>Innoculant, In-furrow</t>
  </si>
  <si>
    <t>Budget Line 38            Peanut Hauling $/Ton</t>
  </si>
  <si>
    <t>Budget Line 42            1 if NPB Assessment</t>
  </si>
  <si>
    <t>Combine with:</t>
  </si>
  <si>
    <t>Grain Cart with Tractor</t>
  </si>
  <si>
    <t>Peanut Harvester, with Tractor</t>
  </si>
  <si>
    <t>Module Handler with Tractor</t>
  </si>
  <si>
    <t>Module Builder with Tractor</t>
  </si>
  <si>
    <t>Boll Buggy with Tractor</t>
  </si>
  <si>
    <t>Peanut Dump Cart with Tractor</t>
  </si>
  <si>
    <t>Peanut Wagon, 28 ft., with Tractor</t>
  </si>
  <si>
    <t>Amount Added to Miscellaneous Overhead - An Example is Annual Amortized Value of Established Crop/Orchard</t>
  </si>
  <si>
    <t>Miscellaneous Overhead Percent Applied to                     Pre &amp; Post-Harvest and Harvest Machinery</t>
  </si>
  <si>
    <t xml:space="preserve">premium, purchase price is </t>
  </si>
  <si>
    <t>is multiplied by cell C51:C54.</t>
  </si>
  <si>
    <t>Note: For annual insurance</t>
  </si>
  <si>
    <t>divided by factor, and the result</t>
  </si>
  <si>
    <t>Loan Rate</t>
  </si>
  <si>
    <t>$/Ton</t>
  </si>
  <si>
    <t xml:space="preserve">Total N Units in cells D3 and E3. Example: </t>
  </si>
  <si>
    <t>for 100 lbs. urea (46%), enter 100 in cell J4.</t>
  </si>
  <si>
    <t>Equipment Costs</t>
  </si>
  <si>
    <t>2,4-D</t>
  </si>
  <si>
    <t>Select Max</t>
  </si>
  <si>
    <t>Belt</t>
  </si>
  <si>
    <t>Quadris Top</t>
  </si>
  <si>
    <t>Seed &amp; Treatments - price</t>
  </si>
  <si>
    <t>Seed &amp; Treatments - quantity</t>
  </si>
  <si>
    <t>Plant Grain Drill</t>
  </si>
  <si>
    <t>Plant No-Till Air Drill</t>
  </si>
  <si>
    <t>Table 1 &amp; Table 2</t>
  </si>
  <si>
    <t>Net Operating Expenses</t>
  </si>
  <si>
    <t>Bedder, Lister</t>
  </si>
  <si>
    <t>Bedder, Rip/Disk</t>
  </si>
  <si>
    <t>Percent of Revenue</t>
  </si>
  <si>
    <t>Goto Irrigation Worksheet</t>
  </si>
  <si>
    <t>Return to Budget Worksheet</t>
  </si>
  <si>
    <t>To Update Equipment Data, Locate at Cell B14</t>
  </si>
  <si>
    <r>
      <t xml:space="preserve">Crop Value, </t>
    </r>
    <r>
      <rPr>
        <u/>
        <sz val="11"/>
        <color rgb="FFC00000"/>
        <rFont val="Times New Roman"/>
        <family val="1"/>
      </rPr>
      <t>Enter Expected Farm Yield &amp; Price</t>
    </r>
  </si>
  <si>
    <t>Goto Budget Worksheet</t>
  </si>
  <si>
    <t>Goto Print_Summary</t>
  </si>
  <si>
    <t>Goto Print_Budget</t>
  </si>
  <si>
    <t>Goto Print_Land_Capitalization</t>
  </si>
  <si>
    <t>Enter Price for Farm</t>
  </si>
  <si>
    <t>Primary Note 2</t>
  </si>
  <si>
    <t>Note 2: Estimate based on machinery and equipment.</t>
  </si>
  <si>
    <t>Note 2: Estimate based on machinery and equipment plus annualized value of established crop.</t>
  </si>
  <si>
    <t>Alternative Note 2 Example for Other Crop with Revised Miscellaneous Overhead in Other!C50</t>
  </si>
  <si>
    <t>Cotton Note 5</t>
  </si>
  <si>
    <t>Note 5: Estimate based on machinery and equipment.</t>
  </si>
  <si>
    <t>Total Capital Recovery &amp; Fixed Costs</t>
  </si>
  <si>
    <t>Note 2: Technology fees vary by geographical location.</t>
  </si>
  <si>
    <t>Note 4: Cottonseed value deducted from post-harvest expenses for calculating operating expenses.</t>
  </si>
  <si>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Yield</t>
    </r>
  </si>
  <si>
    <t>Goto Fertilizer Applications in this Budget</t>
  </si>
  <si>
    <t>Return to Fertilizer Worksheet</t>
  </si>
  <si>
    <t>Goto Machinery and Equipment Applied in this Budget</t>
  </si>
  <si>
    <t>Return to Machine Worksheet</t>
  </si>
  <si>
    <t>Note 1: Yield and inputs are based on Extension research data. Enter expected farm yield and inputs.</t>
  </si>
  <si>
    <r>
      <t>Discharge PSI (lbs./in.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 at Pump</t>
    </r>
  </si>
  <si>
    <t>Goto Links Worksheet</t>
  </si>
  <si>
    <t>Crop Enterprise Budget Calculator, University of Arkansas System Division of Agriculture,</t>
  </si>
  <si>
    <t>$/Farm</t>
  </si>
  <si>
    <t>Click for Budget Worksheet</t>
  </si>
  <si>
    <t>Other Seed Cost</t>
  </si>
  <si>
    <t>Supplies (ex. polypipe)</t>
  </si>
  <si>
    <t>Peanuts, Nonirrigated</t>
  </si>
  <si>
    <t>Fertilizer per Acre</t>
  </si>
  <si>
    <t>Ammonium Sulfate (21-0-0-24)</t>
  </si>
  <si>
    <t>DAP (18-46-0)</t>
  </si>
  <si>
    <t xml:space="preserve">   Other Custom Hire, Air Seeding</t>
  </si>
  <si>
    <t>W10=0 indicates Harvest Labor is a fixed expense</t>
  </si>
  <si>
    <t>W10=1 indicates Harvest Labor varies with yield</t>
  </si>
  <si>
    <t>Rice, Provisia Seed</t>
  </si>
  <si>
    <t>Rice, MaxAce Seed</t>
  </si>
  <si>
    <t>Table 40. Details of Chemicals Applied, Rice, Provisia Seed</t>
  </si>
  <si>
    <t>Table 41. Details of Chemicals Applied, Rice, MaxAce Seed</t>
  </si>
  <si>
    <t>Table 41. Machine Capital Recovery and Operating Costs, Rice, MaxAce Seed</t>
  </si>
  <si>
    <t>Table 40. Machine Capital Recovery and Operating Costs, Rice, Provisia Seed</t>
  </si>
  <si>
    <t>Rice, Provisia</t>
  </si>
  <si>
    <t>Rice, MaxAce</t>
  </si>
  <si>
    <t>Phosphate (0-46-0)</t>
  </si>
  <si>
    <t>Potash (0-0-60)</t>
  </si>
  <si>
    <t>Rice, FullPage Hybrid</t>
  </si>
  <si>
    <t>Rice, FullPage Hybrid Seed</t>
  </si>
  <si>
    <t>Row Rice, FullPage Hybrid Seed</t>
  </si>
  <si>
    <t>Sharpen</t>
  </si>
  <si>
    <t>Provisia</t>
  </si>
  <si>
    <t>Rice Beaux</t>
  </si>
  <si>
    <t>Loyant</t>
  </si>
  <si>
    <t>Tenchu</t>
  </si>
  <si>
    <t>Aframe Plus</t>
  </si>
  <si>
    <t>Zidua SC</t>
  </si>
  <si>
    <t>Xtendimax</t>
  </si>
  <si>
    <t>Outlook</t>
  </si>
  <si>
    <t>Metolachlor</t>
  </si>
  <si>
    <t>Direx</t>
  </si>
  <si>
    <t>Dicamba</t>
  </si>
  <si>
    <t>Propanil</t>
  </si>
  <si>
    <t>Highcard</t>
  </si>
  <si>
    <t>Basagran</t>
  </si>
  <si>
    <t>Facet L</t>
  </si>
  <si>
    <t>Corn Stacked, Furrow</t>
  </si>
  <si>
    <t>Corn Stacked, Pivot</t>
  </si>
  <si>
    <t>Corn Stacked, NonIrrigated</t>
  </si>
  <si>
    <t>Fomesafen</t>
  </si>
  <si>
    <t>Staple</t>
  </si>
  <si>
    <t>Assure II</t>
  </si>
  <si>
    <t>Brake</t>
  </si>
  <si>
    <t>Authority MAX</t>
  </si>
  <si>
    <t>Ultra Blazer</t>
  </si>
  <si>
    <t>s-Metolachlor</t>
  </si>
  <si>
    <t>Enlist Duo</t>
  </si>
  <si>
    <t>Enlist One</t>
  </si>
  <si>
    <t>Metribuzin</t>
  </si>
  <si>
    <t>Lambda-cyhalothrine</t>
  </si>
  <si>
    <t>Blackhawk</t>
  </si>
  <si>
    <t>Sivanto Prime</t>
  </si>
  <si>
    <t>Lambda-cyhalothrin</t>
  </si>
  <si>
    <t>Besiege</t>
  </si>
  <si>
    <t>Quilt Xcel</t>
  </si>
  <si>
    <t>Optimize LIFT</t>
  </si>
  <si>
    <t>Tavium</t>
  </si>
  <si>
    <t>Flexstar</t>
  </si>
  <si>
    <t>First Rate</t>
  </si>
  <si>
    <t>Python</t>
  </si>
  <si>
    <t>Anthem Maxx</t>
  </si>
  <si>
    <t>Cotton B3XF, Furrow</t>
  </si>
  <si>
    <t>Cotton B3XF, NonIrrigated</t>
  </si>
  <si>
    <t>Soybeans Enlist E3,     Furrow</t>
  </si>
  <si>
    <t>Soybeans EnlistE3,       Pivot</t>
  </si>
  <si>
    <t>Soybeans EnlistE3, Nonirrigated</t>
  </si>
  <si>
    <t>Soybeans EnlistE3,       Flood</t>
  </si>
  <si>
    <t>Conventional Corn, NonIrrigated</t>
  </si>
  <si>
    <t>Boundary</t>
  </si>
  <si>
    <t>RR2XtendFlex Soybeans, Furrow</t>
  </si>
  <si>
    <t>Table 15. Details of Chemicals Applied, RR2XtendFlex Soybeans, Furrow</t>
  </si>
  <si>
    <t>Table 15. Machinery Capital Recovery and Operating Costs, RR2XtendFlex Soybeans, Furrow</t>
  </si>
  <si>
    <t>RR2XtendFlex Soybeans, Pivot</t>
  </si>
  <si>
    <t>RR2XtendFlex Soybeans, No Irrigation</t>
  </si>
  <si>
    <t>RR2XtendFlex Soybeans, Flood</t>
  </si>
  <si>
    <t>Table 16. Details of Chemicals Applied, RR2Xtend Soybeans, Pivot</t>
  </si>
  <si>
    <t>Table 16. Machinery Capital Recovery and Operating Costs, RR2XtendFlex Soybeans, Pivot</t>
  </si>
  <si>
    <t>Table 17. Details of Chemicals Applied, RR2XtendFlex Soybeans, No Irrigation</t>
  </si>
  <si>
    <t>Table 17. Machinery Capital Recovery and Operating Costs, RR2XtendFlex Soybeans, No Irrigation</t>
  </si>
  <si>
    <t>Table 18. Details of Chemicals Applied, RR2XtendFlex Soybeans, Flood</t>
  </si>
  <si>
    <t>Table 18. Machinery Capital Recovery and Operating Costs, RR2XtendFlex Soybeans, Flood</t>
  </si>
  <si>
    <t>Table 19. Details of Chemicals Applied, EnlistE3 Soybeans, Furrow</t>
  </si>
  <si>
    <t>Table 20. Details of Chemicals Applied, EnlistE3 Soybeans, Pivot</t>
  </si>
  <si>
    <t>Table 21. Details of Chemicals Applied, EnlistE3 Soybeans, No Irrigation</t>
  </si>
  <si>
    <t>Table 22. Details of Chemicals Applied, EnlistE3 Soybeans, Flood</t>
  </si>
  <si>
    <t>Table 19. Machinery Capital Recovery and Operating Costs, EnlistE3 Soybeans, Furrow</t>
  </si>
  <si>
    <t>Table 20. Machinery Capital Recovery and Operating Costs, EnlistE3 Soybeans, Pivot</t>
  </si>
  <si>
    <t>Table 21. Machinery Capital Recovery and Operating Costs, EnlistE3 Soybeans, No Irrigation</t>
  </si>
  <si>
    <t>Table 22. Machinery Capital Recovery and Operating Costs, EnlistE3 Soybeans, Flood</t>
  </si>
  <si>
    <t>Table 13. Machinery Capital Recovery and Operating Costs, Rice, FullPage Hybrid Seed</t>
  </si>
  <si>
    <t>Table 13. Details of Chemicals Applied, Rice, FullPage Hybrid Seed</t>
  </si>
  <si>
    <t>EnlistE3 Soybeans, Furrow</t>
  </si>
  <si>
    <t>EnlistE3 Soybeans, Pivot</t>
  </si>
  <si>
    <t>EnlistE3 Soybeans, No Irrigation</t>
  </si>
  <si>
    <t>EnlistE3 Soybeans, Flood</t>
  </si>
  <si>
    <t>Table 37. Machinery Capital Recovery and Operating Costs, ThriveOn Cotton, Furrow</t>
  </si>
  <si>
    <t>Table 38. Machine Capital Recovery and Operating Costs, ThriveOn Cotton, Pivot</t>
  </si>
  <si>
    <t>Table 39. Machine Capital Recovery and Operating Costs, ThriveOn Cotton, No Irrigation</t>
  </si>
  <si>
    <t>B3XF Cotton, Furrow</t>
  </si>
  <si>
    <t>B3XF Cotton, Pivot</t>
  </si>
  <si>
    <t>B3XF Cotton, No Irrigation</t>
  </si>
  <si>
    <t>Table 31. Details of Chemicals Applied, B3XF Cotton, Furrow</t>
  </si>
  <si>
    <t>Table 32. Details of Chemicals Applied, B3XF Cotton, Pivot</t>
  </si>
  <si>
    <t>Table 33. Details of Chemicals Applied, B3XF Cotton, No Irrigation</t>
  </si>
  <si>
    <t>Table 31. Machinery Capital Recovery and Operating Costs, B3XF Cotton, Furrow</t>
  </si>
  <si>
    <t>Table 32. Machinery Capital Recovery and Operating Costs, B3XF Cotton, Pivot</t>
  </si>
  <si>
    <t>Table 33. Machinery Capital Recovery and Operating Costs, B3XF Cotton, No Irrigation</t>
  </si>
  <si>
    <t>Table 34. Machinery Capital Recovery and Operating Costs, W3FE Cotton, Furrow</t>
  </si>
  <si>
    <t>Table 35. Machinery Capital Recovery and Operating Costs, W3FE Cotton, Pivot</t>
  </si>
  <si>
    <t>Table 36. Machinery Capital Recovery and Operating Costs, W3FE Cotton, No Irrigation</t>
  </si>
  <si>
    <t>Gambit</t>
  </si>
  <si>
    <t>Permit Plus</t>
  </si>
  <si>
    <t>Beyond</t>
  </si>
  <si>
    <t>Warrior</t>
  </si>
  <si>
    <t>Mepiquat</t>
  </si>
  <si>
    <t>Prowl H20</t>
  </si>
  <si>
    <t>Tilt 3.6 EC</t>
  </si>
  <si>
    <t xml:space="preserve">Urea (46-0-0), </t>
  </si>
  <si>
    <t>Conventional Soybeans,      Pivot</t>
  </si>
  <si>
    <t>Conventional Soybeans, Nonirrigated</t>
  </si>
  <si>
    <t>Conventional Soybeans,     Flood</t>
  </si>
  <si>
    <t>Conventional Cotton, NonIrrigated</t>
  </si>
  <si>
    <t>Conventional Soybeans, Furrow</t>
  </si>
  <si>
    <t>Soybeans RR2XtendFlex Flood</t>
  </si>
  <si>
    <t>Soybeans RR2XtendFlex Nonirrigated</t>
  </si>
  <si>
    <t>Soybeans RR2XtendFlex Pivot</t>
  </si>
  <si>
    <t>Soybeans RR2XtendFlex Furrow</t>
  </si>
  <si>
    <t>Conventional Corn,  Furrow</t>
  </si>
  <si>
    <t>Conventional Corn,      Pivot</t>
  </si>
  <si>
    <t>Preface</t>
  </si>
  <si>
    <t>Postscript</t>
  </si>
  <si>
    <t>Labor, Field Activities and Irrigation</t>
  </si>
  <si>
    <t>Thous</t>
  </si>
  <si>
    <t>Survey and Mark Levees (Rice)</t>
  </si>
  <si>
    <t>Propane $/gallon</t>
  </si>
  <si>
    <t>Roundup Powermax 3</t>
  </si>
  <si>
    <t>Cotton ThriveOn, Furrow</t>
  </si>
  <si>
    <t>Cotton ThriveOn,        Pivot</t>
  </si>
  <si>
    <t>Cotton ThriveOn, NonIrrigated</t>
  </si>
  <si>
    <t>Table 1. 2026 Corn Enterprise Budget, Stacked Gene, Furrow Irrigation</t>
  </si>
  <si>
    <t>Table 2. 2026 Corn Enterprise Budget, Stacked Gene, Center Pivot Irrigation</t>
  </si>
  <si>
    <t>Table 3. 2026 Corn Enterprise Budget, Stacked Gene, No Irrigation</t>
  </si>
  <si>
    <t>Table 31. 2026 Cotton Enterprise Budget, B3XF, Furrow Irrigation</t>
  </si>
  <si>
    <t>Table 32. 2026 Cotton Enterprise Budget, B3XF, Center Pivot Irrigation</t>
  </si>
  <si>
    <t>Table 33. 2026 Cotton Enterprise Budget, B3XF, No Irrigation</t>
  </si>
  <si>
    <t>Table 7. 2026 Grain Sorghum Enterprise Budget, Furrow Irrigation</t>
  </si>
  <si>
    <t>Table 8. 2026 Grain Sorghum Enterprise Budget, Center Pivot Irrigation</t>
  </si>
  <si>
    <t>Table 9. 2026 Grain Sorghum Enterprise Budget, No Irrigation</t>
  </si>
  <si>
    <t>Table 10. 2026 Rice Enterprise Budget, Conventional Seed</t>
  </si>
  <si>
    <t>Table 11. 2026 Rice Enterprise Budget, Clearfield Seed</t>
  </si>
  <si>
    <t>Table 12. 2026 Rice Enterprise Budget, Hybrid Seed</t>
  </si>
  <si>
    <t>Table 13. 2026 Rice Enterprise Budget, FullPage Hybrid Seed</t>
  </si>
  <si>
    <t>Table 14. 2026 Rice Enterprise Budget, Conventional Seed, Water Seeded</t>
  </si>
  <si>
    <t>Table 15. 2026 Soybean Enterprise Budget, RR2XtendFlex, Furrow Irrigation</t>
  </si>
  <si>
    <t>Table 16. 2026 Soybean Enterprise Budget, RR2XtendFlex, Center Pivot Irrigation</t>
  </si>
  <si>
    <t>Table 17. 2026 Soybean Enterprise Budget, RR2XtendFlex, No Irrigation</t>
  </si>
  <si>
    <t>Table 18. 2026 Soybean Enterprise Budget, RR2XtendFlex, Flood Irrigation</t>
  </si>
  <si>
    <t>Table 19. 2026 Soybean Enterprise Budget, EnlistE3, Furrow Irrigation</t>
  </si>
  <si>
    <t>Table 20. 2026 Soybean Enterprise Budget, EnlistE3, Center Pivot Irrigation</t>
  </si>
  <si>
    <t>Table 21. 2026 Soybean Enterprise Budget, EnlistE3, No Irrigation</t>
  </si>
  <si>
    <t>Table 22. 2026 Soybean Enterprise Budget, EnlistE3, Flood Irrigation</t>
  </si>
  <si>
    <t>Table 23. 2026 Soybean Enterprise Budget, Conventional, Furrow Irrigation</t>
  </si>
  <si>
    <t>Table 30. 2026 Wheat Enterprise Budget</t>
  </si>
  <si>
    <t>Table 27. 2026 Peanut Enterprise Budget, Furrow Irrigation</t>
  </si>
  <si>
    <t>Table 28. 2026 Peanut Enterprise Budget, Center Pivot Irrigation</t>
  </si>
  <si>
    <t>Table 29. 2026 Peanut Enterprise Budget, No Irrigation</t>
  </si>
  <si>
    <t xml:space="preserve">Table 4. 2026 Corn Enterprise Budget, Conventional, Furrow Irrigation </t>
  </si>
  <si>
    <t xml:space="preserve">Table 5. 2026 Corn Enterprise Budget, Conventional, Center Pivot Irrigation </t>
  </si>
  <si>
    <t xml:space="preserve">Table 6. 2026 Corn Enterprise Budget, Conventional, No Irrigation </t>
  </si>
  <si>
    <t>Table 24. 2026 Soybean Enterprise Budget, Conventional, Center Pivot Irrigation</t>
  </si>
  <si>
    <t xml:space="preserve">Table 25. 2026 Soybean Enterprise Budget, Conventional, No Irrigation </t>
  </si>
  <si>
    <t>Table 26. 2026 Soybean Enterprise Budget, Conventional, Flood Irrigation</t>
  </si>
  <si>
    <t>Table 38. 2026 Cotton Enterprise Budget, Conventional, Center Pivot Irrigation</t>
  </si>
  <si>
    <t>Table 39. 2026 Cotton Enterprise Budget, Conventional, No Irrigation</t>
  </si>
  <si>
    <t>Table RR1. 2026 Row Rice Enterprise Budget, Conventional Seed</t>
  </si>
  <si>
    <t>Table RR2. 2026 Row Rice Enterprise Budget, Clearfield Seed</t>
  </si>
  <si>
    <t>Table RR3. 2026 Row Rice Enterprise Budget, Hybrid Seed</t>
  </si>
  <si>
    <t>Table RR4. 2026 Row Rice Enterprise Budget, Clearfield Hybrid Seed</t>
  </si>
  <si>
    <t>Table 40. 2026 Rice Enterprise Budget, Provisia Seed</t>
  </si>
  <si>
    <t>Table 41. 2026 Rice Enterprise Budget, MaxAce Seed</t>
  </si>
  <si>
    <t>Cotton B3XF,   Pivot</t>
  </si>
  <si>
    <t>Table 34. 2026 Cotton Enterprise Budget, ThryvOn, Furrow Irrigation</t>
  </si>
  <si>
    <t>Table 36. 2026 Cotton Enterprise Budget, ThyrvOn, No Irrigation</t>
  </si>
  <si>
    <t>Conventional Cotton, Furrow</t>
  </si>
  <si>
    <t>Table 37. 2026 Cotton Enterprise Budget, Conventional, Furrow Irrigation</t>
  </si>
  <si>
    <t>ThyrvOn Cotton, Furrow</t>
  </si>
  <si>
    <t>ThyrvOn Cotton, Pivot</t>
  </si>
  <si>
    <t>ThryvOn Cotton, No Irrigation</t>
  </si>
  <si>
    <t>Table 34. Details of Chemicals Applied, ThryvOn Cotton, Furrow</t>
  </si>
  <si>
    <t>Table 35. Details of Chemicals Applied, ThryvOn Cotton, Pivot</t>
  </si>
  <si>
    <t>Table 36. Details of Chemicals Applied, ThyrvOn Cotton, No Irrigation</t>
  </si>
  <si>
    <t>Table 37. Details of Chemicals Applied, Conventional Cotton, Furrow</t>
  </si>
  <si>
    <t>Table 38. Details of Chemicals Applied, Conventional Cotton, Pivot</t>
  </si>
  <si>
    <t>Table 35. 2026 Cotton Enterprise Budget, ThryvOn, Center Pivot Irrigation</t>
  </si>
  <si>
    <t>Dual Magnum</t>
  </si>
  <si>
    <t>Valor</t>
  </si>
  <si>
    <t>Zidua</t>
  </si>
  <si>
    <t>Select</t>
  </si>
  <si>
    <t>Note 3: Boll weevil eradication fee is $3 in Arkansas.</t>
  </si>
  <si>
    <t>Nitrogen Stabilizer (such as Agrotain)</t>
  </si>
  <si>
    <t>Gal</t>
  </si>
  <si>
    <t>Dropp</t>
  </si>
  <si>
    <t>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</si>
</sst>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"/>
    <numFmt numFmtId="166" formatCode="&quot;$&quot;#,##0.00"/>
    <numFmt numFmtId="167" formatCode="&quot;$&quot;#,##0"/>
    <numFmt numFmtId="168" formatCode="0.0000"/>
    <numFmt numFmtId="169" formatCode="0.00000"/>
    <numFmt numFmtId="170" formatCode="#,##0.000"/>
    <numFmt numFmtId="171" formatCode="0.0%"/>
    <numFmt numFmtId="172" formatCode="#,##0.0"/>
  </numFmts>
  <fonts count="6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3" tint="0.79998168889431442"/>
      <name val="Arial"/>
      <family val="2"/>
    </font>
    <font>
      <sz val="11"/>
      <color theme="1"/>
      <name val="Arial"/>
      <family val="2"/>
    </font>
    <font>
      <b/>
      <sz val="12"/>
      <name val="Times New Roman"/>
      <family val="1"/>
    </font>
    <font>
      <sz val="11"/>
      <name val="Calibri"/>
      <family val="2"/>
    </font>
    <font>
      <b/>
      <sz val="11"/>
      <color rgb="FFC00000"/>
      <name val="Times New Roman"/>
      <family val="1"/>
    </font>
    <font>
      <sz val="10"/>
      <color rgb="FFC00000"/>
      <name val="Arial"/>
      <family val="2"/>
    </font>
    <font>
      <vertAlign val="subscript"/>
      <sz val="11"/>
      <name val="Times New Roman"/>
      <family val="1"/>
    </font>
    <font>
      <b/>
      <vertAlign val="subscript"/>
      <sz val="11"/>
      <name val="Times New Roman"/>
      <family val="1"/>
    </font>
    <font>
      <u/>
      <sz val="11"/>
      <color rgb="FFC00000"/>
      <name val="Times New Roman"/>
      <family val="1"/>
    </font>
    <font>
      <u/>
      <sz val="10"/>
      <color theme="10"/>
      <name val="Arial"/>
      <family val="2"/>
    </font>
    <font>
      <b/>
      <u/>
      <sz val="11"/>
      <name val="Times New Roman"/>
      <family val="1"/>
    </font>
    <font>
      <u/>
      <sz val="11"/>
      <color theme="10"/>
      <name val="Times New Roman"/>
      <family val="1"/>
    </font>
    <font>
      <u/>
      <sz val="11"/>
      <color rgb="FF0000FF"/>
      <name val="Times New Roman"/>
      <family val="1"/>
    </font>
    <font>
      <b/>
      <sz val="11"/>
      <color theme="3"/>
      <name val="Times New Roman"/>
      <family val="1"/>
    </font>
    <font>
      <b/>
      <sz val="14"/>
      <name val="Times New Roman"/>
      <family val="1"/>
    </font>
    <font>
      <sz val="11"/>
      <color rgb="FF9D9D9D"/>
      <name val="Times New Roman"/>
      <family val="1"/>
    </font>
    <font>
      <u/>
      <sz val="11"/>
      <name val="Times New Roman"/>
      <family val="1"/>
    </font>
    <font>
      <u/>
      <sz val="10"/>
      <color indexed="12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4B23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E7E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2B1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0" borderId="0"/>
    <xf numFmtId="0" fontId="30" fillId="0" borderId="0" applyNumberFormat="0" applyFill="0" applyBorder="0" applyAlignment="0" applyProtection="0"/>
    <xf numFmtId="0" fontId="31" fillId="0" borderId="71" applyNumberFormat="0" applyFill="0" applyAlignment="0" applyProtection="0"/>
    <xf numFmtId="0" fontId="32" fillId="0" borderId="72" applyNumberFormat="0" applyFill="0" applyAlignment="0" applyProtection="0"/>
    <xf numFmtId="0" fontId="33" fillId="0" borderId="73" applyNumberFormat="0" applyFill="0" applyAlignment="0" applyProtection="0"/>
    <xf numFmtId="0" fontId="33" fillId="0" borderId="0" applyNumberFormat="0" applyFill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74" applyNumberFormat="0" applyAlignment="0" applyProtection="0"/>
    <xf numFmtId="0" fontId="38" fillId="31" borderId="75" applyNumberFormat="0" applyAlignment="0" applyProtection="0"/>
    <xf numFmtId="0" fontId="39" fillId="31" borderId="74" applyNumberFormat="0" applyAlignment="0" applyProtection="0"/>
    <xf numFmtId="0" fontId="40" fillId="0" borderId="76" applyNumberFormat="0" applyFill="0" applyAlignment="0" applyProtection="0"/>
    <xf numFmtId="0" fontId="41" fillId="32" borderId="77" applyNumberFormat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79" applyNumberFormat="0" applyFill="0" applyAlignment="0" applyProtection="0"/>
    <xf numFmtId="0" fontId="20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20" fillId="57" borderId="0" applyNumberFormat="0" applyBorder="0" applyAlignment="0" applyProtection="0"/>
    <xf numFmtId="0" fontId="5" fillId="0" borderId="0"/>
    <xf numFmtId="0" fontId="5" fillId="33" borderId="78" applyNumberFormat="0" applyFont="0" applyAlignment="0" applyProtection="0"/>
    <xf numFmtId="0" fontId="6" fillId="0" borderId="0"/>
    <xf numFmtId="0" fontId="54" fillId="0" borderId="0" applyNumberFormat="0" applyFill="0" applyBorder="0" applyAlignment="0" applyProtection="0"/>
    <xf numFmtId="0" fontId="62" fillId="0" borderId="0" applyNumberFormat="0" applyFill="0" applyBorder="0" applyAlignment="0" applyProtection="0"/>
  </cellStyleXfs>
  <cellXfs count="1994">
    <xf numFmtId="0" fontId="0" fillId="0" borderId="0" xfId="0"/>
    <xf numFmtId="0" fontId="0" fillId="2" borderId="0" xfId="0" applyFill="1"/>
    <xf numFmtId="2" fontId="11" fillId="2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1" fillId="3" borderId="0" xfId="0" applyFont="1" applyFill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right"/>
    </xf>
    <xf numFmtId="4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 applyAlignment="1">
      <alignment horizontal="right"/>
    </xf>
    <xf numFmtId="0" fontId="11" fillId="5" borderId="0" xfId="0" applyFont="1" applyFill="1"/>
    <xf numFmtId="166" fontId="10" fillId="5" borderId="0" xfId="0" applyNumberFormat="1" applyFont="1" applyFill="1" applyAlignment="1">
      <alignment horizontal="right"/>
    </xf>
    <xf numFmtId="166" fontId="10" fillId="5" borderId="0" xfId="0" applyNumberFormat="1" applyFont="1" applyFill="1"/>
    <xf numFmtId="3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/>
    <xf numFmtId="0" fontId="10" fillId="8" borderId="0" xfId="0" applyFont="1" applyFill="1"/>
    <xf numFmtId="0" fontId="7" fillId="8" borderId="0" xfId="0" applyFont="1" applyFill="1"/>
    <xf numFmtId="2" fontId="11" fillId="3" borderId="0" xfId="0" applyNumberFormat="1" applyFont="1" applyFill="1" applyAlignment="1" applyProtection="1">
      <alignment horizontal="right"/>
      <protection locked="0"/>
    </xf>
    <xf numFmtId="0" fontId="10" fillId="5" borderId="0" xfId="0" applyFont="1" applyFill="1" applyAlignment="1">
      <alignment horizontal="center"/>
    </xf>
    <xf numFmtId="0" fontId="0" fillId="7" borderId="0" xfId="0" applyFill="1"/>
    <xf numFmtId="0" fontId="11" fillId="9" borderId="6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0" xfId="0" applyFont="1" applyFill="1" applyAlignment="1" applyProtection="1">
      <alignment horizontal="center"/>
      <protection locked="0"/>
    </xf>
    <xf numFmtId="0" fontId="11" fillId="9" borderId="25" xfId="0" applyFont="1" applyFill="1" applyBorder="1" applyAlignment="1">
      <alignment horizontal="center"/>
    </xf>
    <xf numFmtId="0" fontId="11" fillId="5" borderId="12" xfId="0" applyFont="1" applyFill="1" applyBorder="1"/>
    <xf numFmtId="0" fontId="11" fillId="5" borderId="6" xfId="0" applyFont="1" applyFill="1" applyBorder="1"/>
    <xf numFmtId="0" fontId="11" fillId="5" borderId="5" xfId="0" applyFont="1" applyFill="1" applyBorder="1"/>
    <xf numFmtId="0" fontId="0" fillId="9" borderId="33" xfId="0" applyFill="1" applyBorder="1" applyAlignment="1">
      <alignment horizontal="centerContinuous"/>
    </xf>
    <xf numFmtId="0" fontId="0" fillId="9" borderId="34" xfId="0" applyFill="1" applyBorder="1" applyAlignment="1">
      <alignment horizontal="centerContinuous"/>
    </xf>
    <xf numFmtId="0" fontId="11" fillId="9" borderId="24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0" fillId="5" borderId="1" xfId="0" applyFont="1" applyFill="1" applyBorder="1"/>
    <xf numFmtId="9" fontId="11" fillId="2" borderId="0" xfId="0" applyNumberFormat="1" applyFont="1" applyFill="1" applyAlignment="1" applyProtection="1">
      <alignment horizontal="right"/>
      <protection locked="0"/>
    </xf>
    <xf numFmtId="1" fontId="11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right"/>
      <protection locked="0"/>
    </xf>
    <xf numFmtId="165" fontId="11" fillId="5" borderId="0" xfId="0" applyNumberFormat="1" applyFont="1" applyFill="1" applyAlignment="1">
      <alignment horizontal="right"/>
    </xf>
    <xf numFmtId="0" fontId="11" fillId="9" borderId="24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0" fillId="0" borderId="2" xfId="0" applyBorder="1" applyAlignment="1">
      <alignment horizontal="centerContinuous"/>
    </xf>
    <xf numFmtId="0" fontId="6" fillId="3" borderId="0" xfId="0" applyFont="1" applyFill="1" applyAlignment="1">
      <alignment horizontal="center"/>
    </xf>
    <xf numFmtId="0" fontId="16" fillId="11" borderId="21" xfId="0" applyFont="1" applyFill="1" applyBorder="1"/>
    <xf numFmtId="0" fontId="16" fillId="11" borderId="22" xfId="0" applyFont="1" applyFill="1" applyBorder="1" applyAlignment="1">
      <alignment horizontal="center"/>
    </xf>
    <xf numFmtId="0" fontId="16" fillId="11" borderId="23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/>
    </xf>
    <xf numFmtId="164" fontId="16" fillId="11" borderId="20" xfId="0" applyNumberFormat="1" applyFont="1" applyFill="1" applyBorder="1" applyAlignment="1">
      <alignment horizontal="center"/>
    </xf>
    <xf numFmtId="164" fontId="16" fillId="11" borderId="18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2" fontId="12" fillId="12" borderId="0" xfId="0" applyNumberFormat="1" applyFont="1" applyFill="1" applyProtection="1">
      <protection hidden="1"/>
    </xf>
    <xf numFmtId="0" fontId="12" fillId="12" borderId="0" xfId="0" applyFont="1" applyFill="1" applyProtection="1">
      <protection hidden="1"/>
    </xf>
    <xf numFmtId="0" fontId="15" fillId="9" borderId="2" xfId="0" applyFont="1" applyFill="1" applyBorder="1" applyAlignment="1">
      <alignment horizontal="centerContinuous"/>
    </xf>
    <xf numFmtId="0" fontId="15" fillId="9" borderId="8" xfId="0" applyFont="1" applyFill="1" applyBorder="1" applyAlignment="1">
      <alignment horizontal="centerContinuous"/>
    </xf>
    <xf numFmtId="0" fontId="12" fillId="9" borderId="9" xfId="0" applyFont="1" applyFill="1" applyBorder="1" applyAlignment="1">
      <alignment horizontal="center"/>
    </xf>
    <xf numFmtId="2" fontId="12" fillId="12" borderId="4" xfId="0" applyNumberFormat="1" applyFont="1" applyFill="1" applyBorder="1" applyProtection="1">
      <protection hidden="1"/>
    </xf>
    <xf numFmtId="0" fontId="12" fillId="5" borderId="12" xfId="0" applyFont="1" applyFill="1" applyBorder="1" applyProtection="1">
      <protection locked="0" hidden="1"/>
    </xf>
    <xf numFmtId="0" fontId="12" fillId="5" borderId="6" xfId="0" applyFont="1" applyFill="1" applyBorder="1" applyProtection="1">
      <protection locked="0" hidden="1"/>
    </xf>
    <xf numFmtId="0" fontId="12" fillId="5" borderId="5" xfId="0" applyFont="1" applyFill="1" applyBorder="1" applyProtection="1">
      <protection locked="0" hidden="1"/>
    </xf>
    <xf numFmtId="0" fontId="15" fillId="8" borderId="6" xfId="0" applyFont="1" applyFill="1" applyBorder="1" applyProtection="1">
      <protection locked="0" hidden="1"/>
    </xf>
    <xf numFmtId="0" fontId="15" fillId="9" borderId="6" xfId="0" applyFont="1" applyFill="1" applyBorder="1" applyProtection="1">
      <protection locked="0" hidden="1"/>
    </xf>
    <xf numFmtId="0" fontId="6" fillId="9" borderId="6" xfId="0" applyFont="1" applyFill="1" applyBorder="1" applyProtection="1">
      <protection locked="0" hidden="1"/>
    </xf>
    <xf numFmtId="0" fontId="15" fillId="9" borderId="7" xfId="0" applyFont="1" applyFill="1" applyBorder="1" applyAlignment="1">
      <alignment horizontal="centerContinuous"/>
    </xf>
    <xf numFmtId="0" fontId="12" fillId="9" borderId="5" xfId="0" applyFont="1" applyFill="1" applyBorder="1" applyAlignment="1">
      <alignment horizontal="center"/>
    </xf>
    <xf numFmtId="2" fontId="12" fillId="12" borderId="6" xfId="0" applyNumberFormat="1" applyFont="1" applyFill="1" applyBorder="1" applyProtection="1">
      <protection hidden="1"/>
    </xf>
    <xf numFmtId="0" fontId="12" fillId="9" borderId="5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5" borderId="14" xfId="0" applyFont="1" applyFill="1" applyBorder="1" applyProtection="1">
      <protection locked="0" hidden="1"/>
    </xf>
    <xf numFmtId="0" fontId="12" fillId="5" borderId="49" xfId="0" applyFont="1" applyFill="1" applyBorder="1" applyProtection="1">
      <protection locked="0" hidden="1"/>
    </xf>
    <xf numFmtId="0" fontId="12" fillId="5" borderId="10" xfId="0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hidden="1"/>
    </xf>
    <xf numFmtId="2" fontId="12" fillId="12" borderId="1" xfId="0" applyNumberFormat="1" applyFont="1" applyFill="1" applyBorder="1" applyProtection="1">
      <protection hidden="1"/>
    </xf>
    <xf numFmtId="2" fontId="12" fillId="12" borderId="9" xfId="0" applyNumberFormat="1" applyFont="1" applyFill="1" applyBorder="1" applyProtection="1">
      <protection hidden="1"/>
    </xf>
    <xf numFmtId="2" fontId="12" fillId="12" borderId="12" xfId="0" applyNumberFormat="1" applyFont="1" applyFill="1" applyBorder="1" applyProtection="1">
      <protection hidden="1"/>
    </xf>
    <xf numFmtId="2" fontId="12" fillId="12" borderId="11" xfId="0" applyNumberFormat="1" applyFont="1" applyFill="1" applyBorder="1" applyProtection="1">
      <protection hidden="1"/>
    </xf>
    <xf numFmtId="2" fontId="12" fillId="12" borderId="13" xfId="0" applyNumberFormat="1" applyFont="1" applyFill="1" applyBorder="1" applyProtection="1">
      <protection hidden="1"/>
    </xf>
    <xf numFmtId="2" fontId="15" fillId="8" borderId="0" xfId="0" applyNumberFormat="1" applyFont="1" applyFill="1" applyProtection="1">
      <protection hidden="1"/>
    </xf>
    <xf numFmtId="0" fontId="10" fillId="4" borderId="0" xfId="0" applyFont="1" applyFill="1" applyAlignment="1">
      <alignment horizontal="centerContinuous"/>
    </xf>
    <xf numFmtId="0" fontId="11" fillId="4" borderId="0" xfId="0" applyFont="1" applyFill="1" applyAlignment="1">
      <alignment horizontal="centerContinuous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/>
    <xf numFmtId="2" fontId="11" fillId="4" borderId="0" xfId="0" applyNumberFormat="1" applyFont="1" applyFill="1"/>
    <xf numFmtId="0" fontId="11" fillId="6" borderId="0" xfId="0" applyFont="1" applyFill="1"/>
    <xf numFmtId="165" fontId="11" fillId="6" borderId="0" xfId="0" applyNumberFormat="1" applyFont="1" applyFill="1"/>
    <xf numFmtId="165" fontId="11" fillId="4" borderId="0" xfId="0" applyNumberFormat="1" applyFont="1" applyFill="1" applyAlignment="1">
      <alignment horizontal="centerContinuous"/>
    </xf>
    <xf numFmtId="0" fontId="10" fillId="4" borderId="0" xfId="0" applyFont="1" applyFill="1"/>
    <xf numFmtId="165" fontId="11" fillId="4" borderId="0" xfId="0" applyNumberFormat="1" applyFont="1" applyFill="1"/>
    <xf numFmtId="2" fontId="10" fillId="4" borderId="0" xfId="0" applyNumberFormat="1" applyFont="1" applyFill="1"/>
    <xf numFmtId="2" fontId="11" fillId="6" borderId="0" xfId="0" applyNumberFormat="1" applyFont="1" applyFill="1"/>
    <xf numFmtId="0" fontId="0" fillId="0" borderId="1" xfId="0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0" xfId="0" applyNumberFormat="1" applyFont="1" applyProtection="1">
      <protection hidden="1"/>
    </xf>
    <xf numFmtId="164" fontId="11" fillId="0" borderId="0" xfId="0" applyNumberFormat="1" applyFont="1"/>
    <xf numFmtId="2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/>
    <xf numFmtId="0" fontId="11" fillId="0" borderId="1" xfId="0" applyFont="1" applyBorder="1" applyAlignment="1">
      <alignment horizontal="centerContinuous"/>
    </xf>
    <xf numFmtId="2" fontId="11" fillId="0" borderId="0" xfId="0" applyNumberFormat="1" applyFont="1" applyAlignment="1" applyProtection="1">
      <alignment horizontal="center"/>
      <protection hidden="1"/>
    </xf>
    <xf numFmtId="2" fontId="11" fillId="0" borderId="1" xfId="0" applyNumberFormat="1" applyFont="1" applyBorder="1" applyAlignment="1" applyProtection="1">
      <alignment horizontal="center"/>
      <protection hidden="1"/>
    </xf>
    <xf numFmtId="164" fontId="11" fillId="0" borderId="0" xfId="0" applyNumberFormat="1" applyFont="1" applyAlignment="1">
      <alignment horizontal="center"/>
    </xf>
    <xf numFmtId="0" fontId="10" fillId="0" borderId="0" xfId="0" applyFont="1"/>
    <xf numFmtId="2" fontId="10" fillId="0" borderId="0" xfId="0" applyNumberFormat="1" applyFont="1" applyProtection="1"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164" fontId="10" fillId="0" borderId="0" xfId="0" applyNumberFormat="1" applyFont="1"/>
    <xf numFmtId="0" fontId="10" fillId="0" borderId="1" xfId="0" applyFont="1" applyBorder="1"/>
    <xf numFmtId="2" fontId="10" fillId="0" borderId="1" xfId="0" applyNumberFormat="1" applyFont="1" applyBorder="1" applyProtection="1">
      <protection hidden="1"/>
    </xf>
    <xf numFmtId="1" fontId="11" fillId="0" borderId="0" xfId="0" applyNumberFormat="1" applyFont="1" applyProtection="1">
      <protection hidden="1"/>
    </xf>
    <xf numFmtId="2" fontId="10" fillId="0" borderId="0" xfId="0" applyNumberFormat="1" applyFont="1"/>
    <xf numFmtId="164" fontId="0" fillId="0" borderId="1" xfId="0" applyNumberFormat="1" applyBorder="1"/>
    <xf numFmtId="164" fontId="0" fillId="0" borderId="2" xfId="0" applyNumberFormat="1" applyBorder="1" applyAlignment="1">
      <alignment horizontal="centerContinuous"/>
    </xf>
    <xf numFmtId="164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164" fontId="0" fillId="0" borderId="0" xfId="0" applyNumberFormat="1"/>
    <xf numFmtId="1" fontId="11" fillId="0" borderId="0" xfId="0" applyNumberFormat="1" applyFont="1" applyAlignment="1" applyProtection="1">
      <alignment horizontal="center"/>
      <protection hidden="1"/>
    </xf>
    <xf numFmtId="2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>
      <alignment horizontal="centerContinuous"/>
    </xf>
    <xf numFmtId="1" fontId="11" fillId="3" borderId="44" xfId="0" applyNumberFormat="1" applyFont="1" applyFill="1" applyBorder="1" applyAlignment="1" applyProtection="1">
      <alignment horizontal="center"/>
      <protection locked="0"/>
    </xf>
    <xf numFmtId="1" fontId="11" fillId="3" borderId="30" xfId="0" applyNumberFormat="1" applyFont="1" applyFill="1" applyBorder="1" applyAlignment="1" applyProtection="1">
      <alignment horizontal="center"/>
      <protection locked="0"/>
    </xf>
    <xf numFmtId="2" fontId="11" fillId="2" borderId="38" xfId="0" applyNumberFormat="1" applyFont="1" applyFill="1" applyBorder="1" applyProtection="1">
      <protection locked="0"/>
    </xf>
    <xf numFmtId="2" fontId="11" fillId="2" borderId="41" xfId="0" applyNumberFormat="1" applyFont="1" applyFill="1" applyBorder="1" applyProtection="1">
      <protection locked="0"/>
    </xf>
    <xf numFmtId="3" fontId="11" fillId="3" borderId="1" xfId="0" applyNumberFormat="1" applyFont="1" applyFill="1" applyBorder="1" applyProtection="1">
      <protection locked="0"/>
    </xf>
    <xf numFmtId="3" fontId="11" fillId="3" borderId="2" xfId="0" applyNumberFormat="1" applyFont="1" applyFill="1" applyBorder="1" applyProtection="1">
      <protection locked="0"/>
    </xf>
    <xf numFmtId="2" fontId="11" fillId="2" borderId="48" xfId="0" applyNumberFormat="1" applyFont="1" applyFill="1" applyBorder="1" applyProtection="1">
      <protection locked="0"/>
    </xf>
    <xf numFmtId="164" fontId="11" fillId="2" borderId="39" xfId="0" applyNumberFormat="1" applyFont="1" applyFill="1" applyBorder="1" applyProtection="1">
      <protection locked="0"/>
    </xf>
    <xf numFmtId="164" fontId="11" fillId="2" borderId="10" xfId="0" applyNumberFormat="1" applyFont="1" applyFill="1" applyBorder="1" applyProtection="1">
      <protection locked="0"/>
    </xf>
    <xf numFmtId="164" fontId="11" fillId="2" borderId="27" xfId="0" applyNumberFormat="1" applyFont="1" applyFill="1" applyBorder="1" applyProtection="1">
      <protection locked="0"/>
    </xf>
    <xf numFmtId="164" fontId="11" fillId="2" borderId="37" xfId="0" applyNumberFormat="1" applyFont="1" applyFill="1" applyBorder="1" applyProtection="1">
      <protection locked="0"/>
    </xf>
    <xf numFmtId="3" fontId="11" fillId="3" borderId="21" xfId="0" applyNumberFormat="1" applyFont="1" applyFill="1" applyBorder="1" applyProtection="1">
      <protection locked="0"/>
    </xf>
    <xf numFmtId="0" fontId="11" fillId="3" borderId="39" xfId="0" applyFont="1" applyFill="1" applyBorder="1" applyProtection="1">
      <protection locked="0"/>
    </xf>
    <xf numFmtId="3" fontId="11" fillId="2" borderId="46" xfId="0" applyNumberFormat="1" applyFont="1" applyFill="1" applyBorder="1" applyProtection="1">
      <protection locked="0"/>
    </xf>
    <xf numFmtId="3" fontId="11" fillId="3" borderId="26" xfId="0" applyNumberFormat="1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3" fontId="11" fillId="2" borderId="44" xfId="0" applyNumberFormat="1" applyFont="1" applyFill="1" applyBorder="1" applyProtection="1">
      <protection locked="0"/>
    </xf>
    <xf numFmtId="3" fontId="11" fillId="3" borderId="43" xfId="0" applyNumberFormat="1" applyFont="1" applyFill="1" applyBorder="1" applyProtection="1">
      <protection locked="0"/>
    </xf>
    <xf numFmtId="3" fontId="11" fillId="2" borderId="30" xfId="0" applyNumberFormat="1" applyFont="1" applyFill="1" applyBorder="1" applyProtection="1">
      <protection locked="0"/>
    </xf>
    <xf numFmtId="3" fontId="11" fillId="3" borderId="17" xfId="0" applyNumberFormat="1" applyFont="1" applyFill="1" applyBorder="1" applyProtection="1">
      <protection locked="0"/>
    </xf>
    <xf numFmtId="0" fontId="11" fillId="3" borderId="29" xfId="0" applyFont="1" applyFill="1" applyBorder="1" applyProtection="1">
      <protection locked="0"/>
    </xf>
    <xf numFmtId="3" fontId="11" fillId="2" borderId="45" xfId="0" applyNumberFormat="1" applyFont="1" applyFill="1" applyBorder="1" applyProtection="1">
      <protection locked="0"/>
    </xf>
    <xf numFmtId="2" fontId="11" fillId="2" borderId="21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2" fontId="11" fillId="2" borderId="26" xfId="0" applyNumberFormat="1" applyFont="1" applyFill="1" applyBorder="1" applyProtection="1">
      <protection locked="0"/>
    </xf>
    <xf numFmtId="3" fontId="11" fillId="3" borderId="3" xfId="0" applyNumberFormat="1" applyFont="1" applyFill="1" applyBorder="1" applyProtection="1">
      <protection locked="0"/>
    </xf>
    <xf numFmtId="2" fontId="11" fillId="2" borderId="43" xfId="0" applyNumberFormat="1" applyFont="1" applyFill="1" applyBorder="1" applyProtection="1">
      <protection locked="0"/>
    </xf>
    <xf numFmtId="3" fontId="11" fillId="3" borderId="29" xfId="0" applyNumberFormat="1" applyFont="1" applyFill="1" applyBorder="1" applyProtection="1">
      <protection locked="0"/>
    </xf>
    <xf numFmtId="164" fontId="11" fillId="2" borderId="46" xfId="0" applyNumberFormat="1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3" fontId="11" fillId="3" borderId="44" xfId="0" applyNumberFormat="1" applyFont="1" applyFill="1" applyBorder="1" applyProtection="1">
      <protection locked="0"/>
    </xf>
    <xf numFmtId="3" fontId="11" fillId="2" borderId="31" xfId="0" applyNumberFormat="1" applyFont="1" applyFill="1" applyBorder="1" applyProtection="1">
      <protection locked="0"/>
    </xf>
    <xf numFmtId="0" fontId="11" fillId="3" borderId="0" xfId="0" applyFont="1" applyFill="1" applyProtection="1">
      <protection locked="0"/>
    </xf>
    <xf numFmtId="165" fontId="11" fillId="3" borderId="0" xfId="0" applyNumberFormat="1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 applyProtection="1">
      <protection locked="0"/>
    </xf>
    <xf numFmtId="2" fontId="11" fillId="3" borderId="0" xfId="0" applyNumberFormat="1" applyFont="1" applyFill="1" applyAlignment="1" applyProtection="1">
      <alignment horizontal="center"/>
      <protection locked="0"/>
    </xf>
    <xf numFmtId="1" fontId="11" fillId="3" borderId="0" xfId="0" applyNumberFormat="1" applyFont="1" applyFill="1" applyAlignment="1" applyProtection="1">
      <alignment horizontal="right"/>
      <protection locked="0"/>
    </xf>
    <xf numFmtId="1" fontId="11" fillId="5" borderId="0" xfId="0" applyNumberFormat="1" applyFont="1" applyFill="1" applyAlignment="1">
      <alignment horizontal="right"/>
    </xf>
    <xf numFmtId="164" fontId="11" fillId="0" borderId="0" xfId="0" applyNumberFormat="1" applyFont="1" applyProtection="1">
      <protection hidden="1"/>
    </xf>
    <xf numFmtId="0" fontId="11" fillId="0" borderId="2" xfId="0" applyFont="1" applyBorder="1" applyAlignment="1">
      <alignment horizontal="center"/>
    </xf>
    <xf numFmtId="16" fontId="11" fillId="3" borderId="0" xfId="0" applyNumberFormat="1" applyFont="1" applyFill="1" applyAlignment="1" applyProtection="1">
      <alignment horizontal="center"/>
      <protection locked="0"/>
    </xf>
    <xf numFmtId="0" fontId="22" fillId="3" borderId="0" xfId="0" applyFont="1" applyFill="1"/>
    <xf numFmtId="0" fontId="6" fillId="3" borderId="0" xfId="0" applyFont="1" applyFill="1"/>
    <xf numFmtId="2" fontId="11" fillId="2" borderId="0" xfId="0" applyNumberFormat="1" applyFont="1" applyFill="1"/>
    <xf numFmtId="0" fontId="10" fillId="3" borderId="0" xfId="0" applyFont="1" applyFill="1" applyProtection="1">
      <protection locked="0"/>
    </xf>
    <xf numFmtId="0" fontId="10" fillId="9" borderId="32" xfId="0" applyFont="1" applyFill="1" applyBorder="1" applyAlignment="1">
      <alignment horizontal="centerContinuous"/>
    </xf>
    <xf numFmtId="2" fontId="10" fillId="9" borderId="33" xfId="0" applyNumberFormat="1" applyFont="1" applyFill="1" applyBorder="1" applyAlignment="1">
      <alignment horizontal="centerContinuous"/>
    </xf>
    <xf numFmtId="2" fontId="10" fillId="9" borderId="34" xfId="0" applyNumberFormat="1" applyFont="1" applyFill="1" applyBorder="1" applyAlignment="1">
      <alignment horizontal="centerContinuous"/>
    </xf>
    <xf numFmtId="2" fontId="10" fillId="3" borderId="0" xfId="0" applyNumberFormat="1" applyFont="1" applyFill="1"/>
    <xf numFmtId="0" fontId="11" fillId="3" borderId="23" xfId="0" applyFont="1" applyFill="1" applyBorder="1"/>
    <xf numFmtId="0" fontId="11" fillId="3" borderId="24" xfId="0" applyFont="1" applyFill="1" applyBorder="1"/>
    <xf numFmtId="0" fontId="11" fillId="3" borderId="21" xfId="0" applyFont="1" applyFill="1" applyBorder="1" applyAlignment="1">
      <alignment horizontal="centerContinuous"/>
    </xf>
    <xf numFmtId="0" fontId="11" fillId="3" borderId="22" xfId="0" applyFont="1" applyFill="1" applyBorder="1" applyAlignment="1">
      <alignment horizontal="centerContinuous"/>
    </xf>
    <xf numFmtId="0" fontId="10" fillId="3" borderId="0" xfId="0" applyFont="1" applyFill="1" applyAlignment="1" applyProtection="1">
      <alignment horizontal="center"/>
      <protection locked="0"/>
    </xf>
    <xf numFmtId="2" fontId="11" fillId="9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11" fillId="9" borderId="25" xfId="0" applyFont="1" applyFill="1" applyBorder="1"/>
    <xf numFmtId="2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0" fontId="11" fillId="3" borderId="17" xfId="0" applyFont="1" applyFill="1" applyBorder="1"/>
    <xf numFmtId="0" fontId="11" fillId="3" borderId="20" xfId="0" applyFont="1" applyFill="1" applyBorder="1"/>
    <xf numFmtId="1" fontId="6" fillId="3" borderId="0" xfId="0" applyNumberFormat="1" applyFont="1" applyFill="1" applyAlignment="1">
      <alignment horizontal="left" indent="2"/>
    </xf>
    <xf numFmtId="3" fontId="11" fillId="3" borderId="20" xfId="0" applyNumberFormat="1" applyFont="1" applyFill="1" applyBorder="1"/>
    <xf numFmtId="2" fontId="11" fillId="3" borderId="20" xfId="0" applyNumberFormat="1" applyFont="1" applyFill="1" applyBorder="1"/>
    <xf numFmtId="0" fontId="0" fillId="3" borderId="20" xfId="0" applyFill="1" applyBorder="1"/>
    <xf numFmtId="0" fontId="10" fillId="9" borderId="7" xfId="0" applyFont="1" applyFill="1" applyBorder="1" applyAlignment="1">
      <alignment horizontal="centerContinuous"/>
    </xf>
    <xf numFmtId="0" fontId="10" fillId="9" borderId="32" xfId="0" applyFont="1" applyFill="1" applyBorder="1" applyProtection="1">
      <protection locked="0"/>
    </xf>
    <xf numFmtId="0" fontId="10" fillId="9" borderId="33" xfId="0" applyFont="1" applyFill="1" applyBorder="1"/>
    <xf numFmtId="2" fontId="10" fillId="9" borderId="33" xfId="0" applyNumberFormat="1" applyFont="1" applyFill="1" applyBorder="1"/>
    <xf numFmtId="2" fontId="10" fillId="9" borderId="36" xfId="0" applyNumberFormat="1" applyFont="1" applyFill="1" applyBorder="1"/>
    <xf numFmtId="0" fontId="10" fillId="9" borderId="53" xfId="0" applyFont="1" applyFill="1" applyBorder="1" applyAlignment="1">
      <alignment horizontal="centerContinuous"/>
    </xf>
    <xf numFmtId="0" fontId="11" fillId="9" borderId="33" xfId="0" applyFont="1" applyFill="1" applyBorder="1" applyAlignment="1">
      <alignment horizontal="centerContinuous"/>
    </xf>
    <xf numFmtId="0" fontId="10" fillId="9" borderId="33" xfId="0" applyFont="1" applyFill="1" applyBorder="1" applyAlignment="1">
      <alignment horizontal="centerContinuous"/>
    </xf>
    <xf numFmtId="0" fontId="10" fillId="9" borderId="36" xfId="0" applyFont="1" applyFill="1" applyBorder="1" applyAlignment="1">
      <alignment horizontal="centerContinuous"/>
    </xf>
    <xf numFmtId="0" fontId="10" fillId="9" borderId="53" xfId="0" applyFont="1" applyFill="1" applyBorder="1" applyAlignment="1">
      <alignment horizontal="left"/>
    </xf>
    <xf numFmtId="0" fontId="10" fillId="9" borderId="33" xfId="0" applyFont="1" applyFill="1" applyBorder="1" applyAlignment="1">
      <alignment horizontal="center"/>
    </xf>
    <xf numFmtId="0" fontId="11" fillId="9" borderId="53" xfId="0" applyFont="1" applyFill="1" applyBorder="1" applyAlignment="1">
      <alignment horizontal="centerContinuous"/>
    </xf>
    <xf numFmtId="0" fontId="11" fillId="9" borderId="12" xfId="0" applyFont="1" applyFill="1" applyBorder="1" applyAlignment="1">
      <alignment horizontal="center"/>
    </xf>
    <xf numFmtId="0" fontId="11" fillId="9" borderId="47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Alignment="1" applyProtection="1">
      <alignment horizontal="center"/>
      <protection locked="0"/>
    </xf>
    <xf numFmtId="2" fontId="11" fillId="9" borderId="19" xfId="0" applyNumberFormat="1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1" fillId="9" borderId="19" xfId="0" applyFont="1" applyFill="1" applyBorder="1"/>
    <xf numFmtId="168" fontId="11" fillId="9" borderId="19" xfId="0" applyNumberFormat="1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Continuous"/>
    </xf>
    <xf numFmtId="0" fontId="11" fillId="9" borderId="55" xfId="0" applyFont="1" applyFill="1" applyBorder="1" applyAlignment="1">
      <alignment horizontal="center"/>
    </xf>
    <xf numFmtId="0" fontId="11" fillId="9" borderId="56" xfId="0" applyFont="1" applyFill="1" applyBorder="1"/>
    <xf numFmtId="0" fontId="0" fillId="9" borderId="22" xfId="0" applyFill="1" applyBorder="1"/>
    <xf numFmtId="0" fontId="11" fillId="9" borderId="56" xfId="0" applyFont="1" applyFill="1" applyBorder="1" applyAlignment="1">
      <alignment horizontal="center"/>
    </xf>
    <xf numFmtId="0" fontId="0" fillId="9" borderId="23" xfId="0" applyFill="1" applyBorder="1"/>
    <xf numFmtId="0" fontId="11" fillId="9" borderId="6" xfId="0" applyFont="1" applyFill="1" applyBorder="1" applyAlignment="1" applyProtection="1">
      <alignment horizontal="center"/>
      <protection locked="0"/>
    </xf>
    <xf numFmtId="0" fontId="11" fillId="9" borderId="4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5" borderId="11" xfId="0" applyFont="1" applyFill="1" applyBorder="1"/>
    <xf numFmtId="1" fontId="11" fillId="13" borderId="0" xfId="0" applyNumberFormat="1" applyFont="1" applyFill="1"/>
    <xf numFmtId="9" fontId="11" fillId="13" borderId="0" xfId="0" applyNumberFormat="1" applyFont="1" applyFill="1"/>
    <xf numFmtId="3" fontId="11" fillId="6" borderId="0" xfId="0" applyNumberFormat="1" applyFont="1" applyFill="1"/>
    <xf numFmtId="168" fontId="11" fillId="6" borderId="0" xfId="0" applyNumberFormat="1" applyFont="1" applyFill="1"/>
    <xf numFmtId="2" fontId="11" fillId="13" borderId="0" xfId="0" applyNumberFormat="1" applyFont="1" applyFill="1"/>
    <xf numFmtId="164" fontId="11" fillId="13" borderId="0" xfId="0" applyNumberFormat="1" applyFont="1" applyFill="1"/>
    <xf numFmtId="164" fontId="11" fillId="6" borderId="0" xfId="0" applyNumberFormat="1" applyFont="1" applyFill="1"/>
    <xf numFmtId="2" fontId="11" fillId="6" borderId="25" xfId="0" applyNumberFormat="1" applyFont="1" applyFill="1" applyBorder="1"/>
    <xf numFmtId="0" fontId="11" fillId="5" borderId="1" xfId="0" applyFont="1" applyFill="1" applyBorder="1"/>
    <xf numFmtId="1" fontId="11" fillId="13" borderId="1" xfId="0" applyNumberFormat="1" applyFont="1" applyFill="1" applyBorder="1"/>
    <xf numFmtId="9" fontId="11" fillId="13" borderId="1" xfId="0" applyNumberFormat="1" applyFont="1" applyFill="1" applyBorder="1"/>
    <xf numFmtId="3" fontId="11" fillId="6" borderId="1" xfId="0" applyNumberFormat="1" applyFont="1" applyFill="1" applyBorder="1"/>
    <xf numFmtId="2" fontId="11" fillId="6" borderId="1" xfId="0" applyNumberFormat="1" applyFont="1" applyFill="1" applyBorder="1"/>
    <xf numFmtId="168" fontId="11" fillId="6" borderId="1" xfId="0" applyNumberFormat="1" applyFont="1" applyFill="1" applyBorder="1"/>
    <xf numFmtId="2" fontId="11" fillId="13" borderId="1" xfId="0" applyNumberFormat="1" applyFont="1" applyFill="1" applyBorder="1"/>
    <xf numFmtId="164" fontId="11" fillId="13" borderId="1" xfId="0" applyNumberFormat="1" applyFont="1" applyFill="1" applyBorder="1"/>
    <xf numFmtId="165" fontId="11" fillId="6" borderId="1" xfId="0" applyNumberFormat="1" applyFont="1" applyFill="1" applyBorder="1"/>
    <xf numFmtId="164" fontId="11" fillId="6" borderId="1" xfId="0" applyNumberFormat="1" applyFont="1" applyFill="1" applyBorder="1"/>
    <xf numFmtId="2" fontId="11" fillId="6" borderId="27" xfId="0" applyNumberFormat="1" applyFont="1" applyFill="1" applyBorder="1"/>
    <xf numFmtId="164" fontId="11" fillId="15" borderId="6" xfId="0" applyNumberFormat="1" applyFont="1" applyFill="1" applyBorder="1"/>
    <xf numFmtId="1" fontId="11" fillId="13" borderId="19" xfId="0" applyNumberFormat="1" applyFont="1" applyFill="1" applyBorder="1"/>
    <xf numFmtId="9" fontId="11" fillId="13" borderId="19" xfId="0" applyNumberFormat="1" applyFont="1" applyFill="1" applyBorder="1"/>
    <xf numFmtId="3" fontId="11" fillId="6" borderId="19" xfId="0" applyNumberFormat="1" applyFont="1" applyFill="1" applyBorder="1"/>
    <xf numFmtId="2" fontId="11" fillId="6" borderId="19" xfId="0" applyNumberFormat="1" applyFont="1" applyFill="1" applyBorder="1"/>
    <xf numFmtId="168" fontId="11" fillId="6" borderId="19" xfId="0" applyNumberFormat="1" applyFont="1" applyFill="1" applyBorder="1"/>
    <xf numFmtId="2" fontId="11" fillId="13" borderId="19" xfId="0" applyNumberFormat="1" applyFont="1" applyFill="1" applyBorder="1"/>
    <xf numFmtId="164" fontId="11" fillId="13" borderId="19" xfId="0" applyNumberFormat="1" applyFont="1" applyFill="1" applyBorder="1"/>
    <xf numFmtId="165" fontId="11" fillId="6" borderId="19" xfId="0" applyNumberFormat="1" applyFont="1" applyFill="1" applyBorder="1"/>
    <xf numFmtId="164" fontId="11" fillId="6" borderId="19" xfId="0" applyNumberFormat="1" applyFont="1" applyFill="1" applyBorder="1"/>
    <xf numFmtId="2" fontId="11" fillId="6" borderId="16" xfId="0" applyNumberFormat="1" applyFont="1" applyFill="1" applyBorder="1"/>
    <xf numFmtId="0" fontId="0" fillId="9" borderId="6" xfId="0" applyFill="1" applyBorder="1"/>
    <xf numFmtId="0" fontId="0" fillId="9" borderId="24" xfId="0" applyFill="1" applyBorder="1"/>
    <xf numFmtId="0" fontId="0" fillId="9" borderId="25" xfId="0" applyFill="1" applyBorder="1"/>
    <xf numFmtId="0" fontId="7" fillId="8" borderId="24" xfId="0" applyFont="1" applyFill="1" applyBorder="1"/>
    <xf numFmtId="2" fontId="10" fillId="8" borderId="0" xfId="0" applyNumberFormat="1" applyFont="1" applyFill="1"/>
    <xf numFmtId="0" fontId="24" fillId="8" borderId="0" xfId="0" applyFont="1" applyFill="1"/>
    <xf numFmtId="168" fontId="10" fillId="8" borderId="0" xfId="0" applyNumberFormat="1" applyFont="1" applyFill="1"/>
    <xf numFmtId="2" fontId="10" fillId="8" borderId="25" xfId="0" applyNumberFormat="1" applyFont="1" applyFill="1" applyBorder="1"/>
    <xf numFmtId="0" fontId="11" fillId="9" borderId="0" xfId="0" applyFont="1" applyFill="1"/>
    <xf numFmtId="0" fontId="6" fillId="9" borderId="6" xfId="0" applyFont="1" applyFill="1" applyBorder="1"/>
    <xf numFmtId="0" fontId="6" fillId="9" borderId="0" xfId="0" applyFont="1" applyFill="1"/>
    <xf numFmtId="1" fontId="11" fillId="13" borderId="11" xfId="0" applyNumberFormat="1" applyFont="1" applyFill="1" applyBorder="1"/>
    <xf numFmtId="3" fontId="11" fillId="6" borderId="11" xfId="0" applyNumberFormat="1" applyFont="1" applyFill="1" applyBorder="1"/>
    <xf numFmtId="2" fontId="11" fillId="7" borderId="11" xfId="0" applyNumberFormat="1" applyFont="1" applyFill="1" applyBorder="1"/>
    <xf numFmtId="165" fontId="11" fillId="7" borderId="11" xfId="0" applyNumberFormat="1" applyFont="1" applyFill="1" applyBorder="1"/>
    <xf numFmtId="164" fontId="11" fillId="7" borderId="11" xfId="0" applyNumberFormat="1" applyFont="1" applyFill="1" applyBorder="1"/>
    <xf numFmtId="2" fontId="11" fillId="7" borderId="0" xfId="0" applyNumberFormat="1" applyFont="1" applyFill="1"/>
    <xf numFmtId="3" fontId="11" fillId="7" borderId="0" xfId="0" applyNumberFormat="1" applyFont="1" applyFill="1"/>
    <xf numFmtId="165" fontId="11" fillId="7" borderId="0" xfId="0" applyNumberFormat="1" applyFont="1" applyFill="1"/>
    <xf numFmtId="164" fontId="11" fillId="7" borderId="0" xfId="0" applyNumberFormat="1" applyFont="1" applyFill="1"/>
    <xf numFmtId="0" fontId="11" fillId="7" borderId="0" xfId="0" applyFont="1" applyFill="1"/>
    <xf numFmtId="0" fontId="11" fillId="13" borderId="5" xfId="0" applyFont="1" applyFill="1" applyBorder="1"/>
    <xf numFmtId="0" fontId="7" fillId="9" borderId="0" xfId="0" applyFont="1" applyFill="1"/>
    <xf numFmtId="0" fontId="23" fillId="9" borderId="0" xfId="0" applyFont="1" applyFill="1"/>
    <xf numFmtId="168" fontId="0" fillId="9" borderId="0" xfId="0" applyNumberFormat="1" applyFill="1"/>
    <xf numFmtId="0" fontId="0" fillId="9" borderId="1" xfId="0" applyFill="1" applyBorder="1"/>
    <xf numFmtId="0" fontId="0" fillId="9" borderId="5" xfId="0" applyFill="1" applyBorder="1"/>
    <xf numFmtId="0" fontId="0" fillId="16" borderId="11" xfId="0" applyFill="1" applyBorder="1"/>
    <xf numFmtId="0" fontId="0" fillId="16" borderId="13" xfId="0" applyFill="1" applyBorder="1"/>
    <xf numFmtId="0" fontId="0" fillId="16" borderId="0" xfId="0" applyFill="1"/>
    <xf numFmtId="0" fontId="6" fillId="16" borderId="0" xfId="0" applyFont="1" applyFill="1" applyAlignment="1">
      <alignment horizontal="center"/>
    </xf>
    <xf numFmtId="0" fontId="0" fillId="16" borderId="4" xfId="0" applyFill="1" applyBorder="1"/>
    <xf numFmtId="0" fontId="6" fillId="16" borderId="1" xfId="0" applyFont="1" applyFill="1" applyBorder="1" applyAlignment="1">
      <alignment horizontal="center"/>
    </xf>
    <xf numFmtId="0" fontId="6" fillId="16" borderId="0" xfId="0" applyFont="1" applyFill="1"/>
    <xf numFmtId="3" fontId="6" fillId="6" borderId="0" xfId="0" applyNumberFormat="1" applyFont="1" applyFill="1"/>
    <xf numFmtId="4" fontId="0" fillId="6" borderId="0" xfId="0" applyNumberFormat="1" applyFill="1"/>
    <xf numFmtId="3" fontId="0" fillId="6" borderId="0" xfId="0" applyNumberFormat="1" applyFill="1"/>
    <xf numFmtId="0" fontId="0" fillId="16" borderId="1" xfId="0" applyFill="1" applyBorder="1"/>
    <xf numFmtId="4" fontId="7" fillId="6" borderId="1" xfId="0" applyNumberFormat="1" applyFont="1" applyFill="1" applyBorder="1"/>
    <xf numFmtId="0" fontId="0" fillId="16" borderId="9" xfId="0" applyFill="1" applyBorder="1"/>
    <xf numFmtId="3" fontId="6" fillId="16" borderId="0" xfId="0" applyNumberFormat="1" applyFont="1" applyFill="1" applyAlignment="1">
      <alignment horizontal="center"/>
    </xf>
    <xf numFmtId="0" fontId="0" fillId="16" borderId="0" xfId="0" applyFill="1" applyAlignment="1">
      <alignment horizontal="center"/>
    </xf>
    <xf numFmtId="167" fontId="6" fillId="16" borderId="0" xfId="0" applyNumberFormat="1" applyFont="1" applyFill="1" applyAlignment="1">
      <alignment horizontal="center"/>
    </xf>
    <xf numFmtId="3" fontId="6" fillId="16" borderId="6" xfId="0" applyNumberFormat="1" applyFont="1" applyFill="1" applyBorder="1" applyAlignment="1">
      <alignment horizontal="center"/>
    </xf>
    <xf numFmtId="0" fontId="6" fillId="16" borderId="6" xfId="0" applyFont="1" applyFill="1" applyBorder="1"/>
    <xf numFmtId="0" fontId="25" fillId="16" borderId="1" xfId="0" applyFont="1" applyFill="1" applyBorder="1"/>
    <xf numFmtId="0" fontId="6" fillId="7" borderId="0" xfId="0" applyFont="1" applyFill="1"/>
    <xf numFmtId="0" fontId="6" fillId="17" borderId="0" xfId="0" applyFont="1" applyFill="1"/>
    <xf numFmtId="0" fontId="0" fillId="17" borderId="0" xfId="0" applyFill="1"/>
    <xf numFmtId="0" fontId="6" fillId="17" borderId="0" xfId="0" applyFont="1" applyFill="1" applyAlignment="1">
      <alignment horizontal="center"/>
    </xf>
    <xf numFmtId="3" fontId="0" fillId="6" borderId="3" xfId="0" applyNumberFormat="1" applyFill="1" applyBorder="1" applyAlignment="1">
      <alignment horizontal="center"/>
    </xf>
    <xf numFmtId="2" fontId="6" fillId="17" borderId="0" xfId="0" applyNumberFormat="1" applyFont="1" applyFill="1"/>
    <xf numFmtId="1" fontId="6" fillId="6" borderId="3" xfId="0" applyNumberFormat="1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4" fontId="11" fillId="3" borderId="0" xfId="0" applyNumberFormat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2" fontId="11" fillId="3" borderId="0" xfId="0" applyNumberFormat="1" applyFont="1" applyFill="1" applyAlignment="1">
      <alignment horizontal="right"/>
    </xf>
    <xf numFmtId="166" fontId="10" fillId="3" borderId="0" xfId="0" applyNumberFormat="1" applyFont="1" applyFill="1" applyAlignment="1">
      <alignment horizontal="right"/>
    </xf>
    <xf numFmtId="166" fontId="10" fillId="3" borderId="0" xfId="0" applyNumberFormat="1" applyFont="1" applyFill="1"/>
    <xf numFmtId="0" fontId="10" fillId="3" borderId="1" xfId="0" applyFont="1" applyFill="1" applyBorder="1"/>
    <xf numFmtId="166" fontId="10" fillId="3" borderId="1" xfId="0" applyNumberFormat="1" applyFont="1" applyFill="1" applyBorder="1"/>
    <xf numFmtId="4" fontId="11" fillId="3" borderId="0" xfId="0" applyNumberFormat="1" applyFont="1" applyFill="1" applyAlignment="1" applyProtection="1">
      <alignment horizontal="right"/>
      <protection locked="0"/>
    </xf>
    <xf numFmtId="164" fontId="11" fillId="2" borderId="44" xfId="0" applyNumberFormat="1" applyFont="1" applyFill="1" applyBorder="1" applyProtection="1">
      <protection locked="0"/>
    </xf>
    <xf numFmtId="0" fontId="10" fillId="18" borderId="0" xfId="0" applyFont="1" applyFill="1" applyAlignment="1">
      <alignment horizontal="center"/>
    </xf>
    <xf numFmtId="164" fontId="16" fillId="11" borderId="0" xfId="0" applyNumberFormat="1" applyFont="1" applyFill="1" applyAlignment="1">
      <alignment horizontal="center"/>
    </xf>
    <xf numFmtId="0" fontId="0" fillId="5" borderId="1" xfId="0" applyFill="1" applyBorder="1"/>
    <xf numFmtId="0" fontId="10" fillId="18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7" fillId="16" borderId="12" xfId="0" applyFont="1" applyFill="1" applyBorder="1"/>
    <xf numFmtId="0" fontId="0" fillId="16" borderId="6" xfId="0" applyFill="1" applyBorder="1"/>
    <xf numFmtId="0" fontId="6" fillId="16" borderId="5" xfId="0" applyFont="1" applyFill="1" applyBorder="1" applyAlignment="1">
      <alignment horizontal="center"/>
    </xf>
    <xf numFmtId="0" fontId="7" fillId="16" borderId="5" xfId="0" applyFont="1" applyFill="1" applyBorder="1"/>
    <xf numFmtId="0" fontId="6" fillId="16" borderId="6" xfId="0" applyFont="1" applyFill="1" applyBorder="1" applyAlignment="1">
      <alignment horizontal="center"/>
    </xf>
    <xf numFmtId="0" fontId="25" fillId="16" borderId="5" xfId="0" applyFont="1" applyFill="1" applyBorder="1"/>
    <xf numFmtId="10" fontId="11" fillId="6" borderId="19" xfId="0" applyNumberFormat="1" applyFont="1" applyFill="1" applyBorder="1"/>
    <xf numFmtId="10" fontId="11" fillId="6" borderId="0" xfId="0" applyNumberFormat="1" applyFont="1" applyFill="1"/>
    <xf numFmtId="10" fontId="11" fillId="6" borderId="1" xfId="0" applyNumberFormat="1" applyFont="1" applyFill="1" applyBorder="1"/>
    <xf numFmtId="169" fontId="11" fillId="6" borderId="19" xfId="0" applyNumberFormat="1" applyFont="1" applyFill="1" applyBorder="1"/>
    <xf numFmtId="169" fontId="11" fillId="6" borderId="0" xfId="0" applyNumberFormat="1" applyFont="1" applyFill="1"/>
    <xf numFmtId="169" fontId="11" fillId="6" borderId="1" xfId="0" applyNumberFormat="1" applyFont="1" applyFill="1" applyBorder="1"/>
    <xf numFmtId="164" fontId="11" fillId="15" borderId="19" xfId="0" applyNumberFormat="1" applyFont="1" applyFill="1" applyBorder="1"/>
    <xf numFmtId="164" fontId="11" fillId="15" borderId="0" xfId="0" applyNumberFormat="1" applyFont="1" applyFill="1"/>
    <xf numFmtId="164" fontId="11" fillId="15" borderId="1" xfId="0" applyNumberFormat="1" applyFont="1" applyFill="1" applyBorder="1"/>
    <xf numFmtId="164" fontId="11" fillId="15" borderId="11" xfId="0" applyNumberFormat="1" applyFont="1" applyFill="1" applyBorder="1"/>
    <xf numFmtId="3" fontId="11" fillId="15" borderId="0" xfId="0" applyNumberFormat="1" applyFont="1" applyFill="1"/>
    <xf numFmtId="0" fontId="11" fillId="15" borderId="0" xfId="0" applyFont="1" applyFill="1"/>
    <xf numFmtId="3" fontId="11" fillId="15" borderId="1" xfId="0" applyNumberFormat="1" applyFont="1" applyFill="1" applyBorder="1"/>
    <xf numFmtId="0" fontId="11" fillId="15" borderId="1" xfId="0" applyFont="1" applyFill="1" applyBorder="1"/>
    <xf numFmtId="9" fontId="11" fillId="13" borderId="11" xfId="0" applyNumberFormat="1" applyFont="1" applyFill="1" applyBorder="1"/>
    <xf numFmtId="3" fontId="11" fillId="15" borderId="15" xfId="0" applyNumberFormat="1" applyFont="1" applyFill="1" applyBorder="1"/>
    <xf numFmtId="3" fontId="11" fillId="15" borderId="26" xfId="0" applyNumberFormat="1" applyFont="1" applyFill="1" applyBorder="1"/>
    <xf numFmtId="0" fontId="11" fillId="13" borderId="54" xfId="0" applyFont="1" applyFill="1" applyBorder="1"/>
    <xf numFmtId="0" fontId="11" fillId="13" borderId="6" xfId="0" applyFont="1" applyFill="1" applyBorder="1"/>
    <xf numFmtId="3" fontId="11" fillId="15" borderId="24" xfId="0" applyNumberFormat="1" applyFont="1" applyFill="1" applyBorder="1"/>
    <xf numFmtId="0" fontId="11" fillId="13" borderId="12" xfId="0" applyFont="1" applyFill="1" applyBorder="1"/>
    <xf numFmtId="164" fontId="11" fillId="15" borderId="54" xfId="0" applyNumberFormat="1" applyFont="1" applyFill="1" applyBorder="1"/>
    <xf numFmtId="3" fontId="11" fillId="15" borderId="19" xfId="0" applyNumberFormat="1" applyFont="1" applyFill="1" applyBorder="1"/>
    <xf numFmtId="0" fontId="10" fillId="21" borderId="0" xfId="0" applyFont="1" applyFill="1"/>
    <xf numFmtId="2" fontId="7" fillId="21" borderId="0" xfId="0" applyNumberFormat="1" applyFont="1" applyFill="1"/>
    <xf numFmtId="0" fontId="7" fillId="21" borderId="0" xfId="0" applyFont="1" applyFill="1"/>
    <xf numFmtId="0" fontId="10" fillId="22" borderId="15" xfId="0" applyFont="1" applyFill="1" applyBorder="1"/>
    <xf numFmtId="0" fontId="10" fillId="22" borderId="19" xfId="0" applyFont="1" applyFill="1" applyBorder="1"/>
    <xf numFmtId="0" fontId="7" fillId="22" borderId="19" xfId="0" applyFont="1" applyFill="1" applyBorder="1"/>
    <xf numFmtId="0" fontId="0" fillId="22" borderId="16" xfId="0" applyFill="1" applyBorder="1"/>
    <xf numFmtId="0" fontId="10" fillId="22" borderId="26" xfId="0" applyFont="1" applyFill="1" applyBorder="1"/>
    <xf numFmtId="0" fontId="10" fillId="22" borderId="1" xfId="0" applyFont="1" applyFill="1" applyBorder="1"/>
    <xf numFmtId="0" fontId="7" fillId="22" borderId="1" xfId="0" applyFont="1" applyFill="1" applyBorder="1"/>
    <xf numFmtId="0" fontId="0" fillId="22" borderId="27" xfId="0" applyFill="1" applyBorder="1"/>
    <xf numFmtId="0" fontId="11" fillId="22" borderId="24" xfId="0" applyFont="1" applyFill="1" applyBorder="1"/>
    <xf numFmtId="0" fontId="11" fillId="22" borderId="0" xfId="0" applyFont="1" applyFill="1"/>
    <xf numFmtId="0" fontId="0" fillId="22" borderId="0" xfId="0" applyFill="1"/>
    <xf numFmtId="2" fontId="11" fillId="22" borderId="24" xfId="0" applyNumberFormat="1" applyFont="1" applyFill="1" applyBorder="1"/>
    <xf numFmtId="2" fontId="11" fillId="22" borderId="0" xfId="0" applyNumberFormat="1" applyFont="1" applyFill="1"/>
    <xf numFmtId="0" fontId="11" fillId="22" borderId="17" xfId="0" applyFont="1" applyFill="1" applyBorder="1"/>
    <xf numFmtId="0" fontId="11" fillId="22" borderId="20" xfId="0" applyFont="1" applyFill="1" applyBorder="1"/>
    <xf numFmtId="0" fontId="0" fillId="22" borderId="20" xfId="0" applyFill="1" applyBorder="1"/>
    <xf numFmtId="2" fontId="0" fillId="22" borderId="0" xfId="0" applyNumberFormat="1" applyFill="1"/>
    <xf numFmtId="0" fontId="10" fillId="22" borderId="0" xfId="0" applyFont="1" applyFill="1"/>
    <xf numFmtId="0" fontId="10" fillId="22" borderId="32" xfId="0" applyFont="1" applyFill="1" applyBorder="1" applyAlignment="1">
      <alignment horizontal="centerContinuous"/>
    </xf>
    <xf numFmtId="0" fontId="0" fillId="22" borderId="33" xfId="0" applyFill="1" applyBorder="1" applyAlignment="1">
      <alignment horizontal="centerContinuous"/>
    </xf>
    <xf numFmtId="0" fontId="0" fillId="22" borderId="34" xfId="0" applyFill="1" applyBorder="1" applyAlignment="1">
      <alignment horizontal="centerContinuous"/>
    </xf>
    <xf numFmtId="0" fontId="11" fillId="22" borderId="6" xfId="0" applyFont="1" applyFill="1" applyBorder="1" applyAlignment="1">
      <alignment horizontal="center"/>
    </xf>
    <xf numFmtId="0" fontId="11" fillId="22" borderId="47" xfId="0" applyFont="1" applyFill="1" applyBorder="1" applyAlignment="1">
      <alignment horizontal="center"/>
    </xf>
    <xf numFmtId="0" fontId="11" fillId="22" borderId="49" xfId="0" applyFont="1" applyFill="1" applyBorder="1" applyAlignment="1" applyProtection="1">
      <alignment horizontal="center"/>
      <protection locked="0"/>
    </xf>
    <xf numFmtId="0" fontId="11" fillId="22" borderId="25" xfId="0" applyFont="1" applyFill="1" applyBorder="1" applyAlignment="1" applyProtection="1">
      <alignment horizontal="center"/>
      <protection locked="0"/>
    </xf>
    <xf numFmtId="0" fontId="11" fillId="22" borderId="24" xfId="0" applyFont="1" applyFill="1" applyBorder="1" applyAlignment="1" applyProtection="1">
      <alignment horizontal="center"/>
      <protection locked="0"/>
    </xf>
    <xf numFmtId="0" fontId="11" fillId="22" borderId="0" xfId="0" applyFont="1" applyFill="1" applyAlignment="1">
      <alignment horizontal="center"/>
    </xf>
    <xf numFmtId="0" fontId="11" fillId="22" borderId="25" xfId="0" applyFont="1" applyFill="1" applyBorder="1" applyAlignment="1">
      <alignment horizontal="center"/>
    </xf>
    <xf numFmtId="0" fontId="11" fillId="22" borderId="49" xfId="0" applyFont="1" applyFill="1" applyBorder="1" applyAlignment="1">
      <alignment horizontal="center"/>
    </xf>
    <xf numFmtId="0" fontId="6" fillId="17" borderId="3" xfId="0" applyFont="1" applyFill="1" applyBorder="1"/>
    <xf numFmtId="0" fontId="7" fillId="17" borderId="8" xfId="0" applyFont="1" applyFill="1" applyBorder="1"/>
    <xf numFmtId="0" fontId="7" fillId="17" borderId="3" xfId="0" applyFont="1" applyFill="1" applyBorder="1"/>
    <xf numFmtId="166" fontId="22" fillId="6" borderId="3" xfId="0" applyNumberFormat="1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20" fillId="17" borderId="0" xfId="0" applyFont="1" applyFill="1"/>
    <xf numFmtId="0" fontId="22" fillId="17" borderId="0" xfId="0" applyFont="1" applyFill="1"/>
    <xf numFmtId="0" fontId="11" fillId="24" borderId="0" xfId="0" applyFont="1" applyFill="1" applyAlignment="1">
      <alignment horizontal="centerContinuous"/>
    </xf>
    <xf numFmtId="0" fontId="10" fillId="24" borderId="20" xfId="0" applyFont="1" applyFill="1" applyBorder="1" applyAlignment="1">
      <alignment horizontal="centerContinuous"/>
    </xf>
    <xf numFmtId="0" fontId="11" fillId="24" borderId="18" xfId="0" applyFont="1" applyFill="1" applyBorder="1" applyAlignment="1">
      <alignment horizontal="centerContinuous"/>
    </xf>
    <xf numFmtId="1" fontId="10" fillId="24" borderId="31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center"/>
      <protection locked="0"/>
    </xf>
    <xf numFmtId="4" fontId="11" fillId="3" borderId="3" xfId="0" applyNumberFormat="1" applyFont="1" applyFill="1" applyBorder="1" applyProtection="1">
      <protection locked="0"/>
    </xf>
    <xf numFmtId="0" fontId="0" fillId="3" borderId="1" xfId="0" applyFill="1" applyBorder="1"/>
    <xf numFmtId="4" fontId="11" fillId="2" borderId="0" xfId="0" applyNumberFormat="1" applyFont="1" applyFill="1" applyAlignment="1" applyProtection="1">
      <alignment horizontal="right" vertical="center"/>
      <protection locked="0"/>
    </xf>
    <xf numFmtId="0" fontId="15" fillId="9" borderId="3" xfId="0" applyFont="1" applyFill="1" applyBorder="1" applyAlignment="1">
      <alignment horizontal="center"/>
    </xf>
    <xf numFmtId="0" fontId="14" fillId="22" borderId="0" xfId="0" applyFont="1" applyFill="1"/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59" xfId="0" applyFont="1" applyFill="1" applyBorder="1" applyAlignment="1" applyProtection="1">
      <alignment horizontal="center"/>
      <protection locked="0"/>
    </xf>
    <xf numFmtId="9" fontId="11" fillId="3" borderId="0" xfId="0" applyNumberFormat="1" applyFont="1" applyFill="1" applyAlignment="1">
      <alignment horizontal="right"/>
    </xf>
    <xf numFmtId="9" fontId="10" fillId="3" borderId="0" xfId="0" applyNumberFormat="1" applyFont="1" applyFill="1" applyAlignment="1">
      <alignment horizontal="right"/>
    </xf>
    <xf numFmtId="9" fontId="11" fillId="3" borderId="0" xfId="0" applyNumberFormat="1" applyFont="1" applyFill="1"/>
    <xf numFmtId="3" fontId="11" fillId="3" borderId="0" xfId="0" applyNumberFormat="1" applyFont="1" applyFill="1" applyAlignment="1">
      <alignment horizontal="right"/>
    </xf>
    <xf numFmtId="170" fontId="11" fillId="3" borderId="0" xfId="0" applyNumberFormat="1" applyFont="1" applyFill="1" applyAlignment="1">
      <alignment horizontal="right"/>
    </xf>
    <xf numFmtId="1" fontId="11" fillId="3" borderId="0" xfId="0" applyNumberFormat="1" applyFont="1" applyFill="1" applyAlignment="1">
      <alignment horizontal="right"/>
    </xf>
    <xf numFmtId="0" fontId="11" fillId="3" borderId="1" xfId="0" applyFont="1" applyFill="1" applyBorder="1" applyAlignment="1">
      <alignment horizontal="centerContinuous"/>
    </xf>
    <xf numFmtId="0" fontId="8" fillId="3" borderId="0" xfId="0" applyFont="1" applyFill="1"/>
    <xf numFmtId="4" fontId="10" fillId="3" borderId="0" xfId="0" applyNumberFormat="1" applyFont="1" applyFill="1" applyAlignment="1">
      <alignment horizontal="right"/>
    </xf>
    <xf numFmtId="0" fontId="7" fillId="22" borderId="0" xfId="0" applyFont="1" applyFill="1"/>
    <xf numFmtId="2" fontId="10" fillId="22" borderId="0" xfId="0" applyNumberFormat="1" applyFont="1" applyFill="1"/>
    <xf numFmtId="0" fontId="11" fillId="9" borderId="5" xfId="0" applyFont="1" applyFill="1" applyBorder="1" applyAlignment="1">
      <alignment horizontal="centerContinuous"/>
    </xf>
    <xf numFmtId="0" fontId="11" fillId="9" borderId="1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>
      <alignment horizontal="center"/>
    </xf>
    <xf numFmtId="0" fontId="13" fillId="3" borderId="0" xfId="0" applyFont="1" applyFill="1"/>
    <xf numFmtId="0" fontId="13" fillId="9" borderId="1" xfId="0" applyFont="1" applyFill="1" applyBorder="1" applyAlignment="1">
      <alignment horizontal="centerContinuous"/>
    </xf>
    <xf numFmtId="0" fontId="13" fillId="9" borderId="2" xfId="0" applyFont="1" applyFill="1" applyBorder="1"/>
    <xf numFmtId="9" fontId="13" fillId="17" borderId="0" xfId="0" applyNumberFormat="1" applyFont="1" applyFill="1"/>
    <xf numFmtId="9" fontId="13" fillId="9" borderId="0" xfId="0" applyNumberFormat="1" applyFont="1" applyFill="1"/>
    <xf numFmtId="0" fontId="13" fillId="3" borderId="1" xfId="0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Continuous"/>
    </xf>
    <xf numFmtId="0" fontId="13" fillId="17" borderId="2" xfId="0" applyFont="1" applyFill="1" applyBorder="1"/>
    <xf numFmtId="9" fontId="13" fillId="25" borderId="0" xfId="0" applyNumberFormat="1" applyFont="1" applyFill="1"/>
    <xf numFmtId="0" fontId="13" fillId="25" borderId="1" xfId="0" applyFont="1" applyFill="1" applyBorder="1"/>
    <xf numFmtId="2" fontId="11" fillId="9" borderId="16" xfId="0" applyNumberFormat="1" applyFont="1" applyFill="1" applyBorder="1" applyAlignment="1">
      <alignment horizontal="center"/>
    </xf>
    <xf numFmtId="0" fontId="17" fillId="3" borderId="0" xfId="0" applyFont="1" applyFill="1"/>
    <xf numFmtId="0" fontId="13" fillId="9" borderId="1" xfId="0" applyFont="1" applyFill="1" applyBorder="1"/>
    <xf numFmtId="9" fontId="13" fillId="3" borderId="0" xfId="0" applyNumberFormat="1" applyFont="1" applyFill="1"/>
    <xf numFmtId="10" fontId="11" fillId="14" borderId="0" xfId="0" applyNumberFormat="1" applyFont="1" applyFill="1"/>
    <xf numFmtId="0" fontId="28" fillId="9" borderId="32" xfId="0" applyFont="1" applyFill="1" applyBorder="1" applyAlignment="1">
      <alignment horizontal="centerContinuous"/>
    </xf>
    <xf numFmtId="0" fontId="28" fillId="9" borderId="33" xfId="0" applyFont="1" applyFill="1" applyBorder="1" applyAlignment="1">
      <alignment horizontal="centerContinuous"/>
    </xf>
    <xf numFmtId="2" fontId="28" fillId="9" borderId="33" xfId="0" applyNumberFormat="1" applyFont="1" applyFill="1" applyBorder="1" applyAlignment="1">
      <alignment horizontal="centerContinuous"/>
    </xf>
    <xf numFmtId="2" fontId="28" fillId="9" borderId="34" xfId="0" applyNumberFormat="1" applyFont="1" applyFill="1" applyBorder="1" applyAlignment="1">
      <alignment horizontal="centerContinuous"/>
    </xf>
    <xf numFmtId="0" fontId="11" fillId="13" borderId="0" xfId="0" applyFont="1" applyFill="1"/>
    <xf numFmtId="169" fontId="11" fillId="6" borderId="25" xfId="0" applyNumberFormat="1" applyFont="1" applyFill="1" applyBorder="1"/>
    <xf numFmtId="3" fontId="11" fillId="13" borderId="24" xfId="0" applyNumberFormat="1" applyFont="1" applyFill="1" applyBorder="1"/>
    <xf numFmtId="3" fontId="11" fillId="13" borderId="15" xfId="0" applyNumberFormat="1" applyFont="1" applyFill="1" applyBorder="1"/>
    <xf numFmtId="9" fontId="11" fillId="6" borderId="16" xfId="0" applyNumberFormat="1" applyFont="1" applyFill="1" applyBorder="1"/>
    <xf numFmtId="9" fontId="11" fillId="6" borderId="25" xfId="0" applyNumberFormat="1" applyFont="1" applyFill="1" applyBorder="1"/>
    <xf numFmtId="9" fontId="11" fillId="6" borderId="18" xfId="0" applyNumberFormat="1" applyFont="1" applyFill="1" applyBorder="1"/>
    <xf numFmtId="3" fontId="11" fillId="6" borderId="25" xfId="0" applyNumberFormat="1" applyFont="1" applyFill="1" applyBorder="1"/>
    <xf numFmtId="3" fontId="11" fillId="6" borderId="18" xfId="0" applyNumberFormat="1" applyFont="1" applyFill="1" applyBorder="1"/>
    <xf numFmtId="9" fontId="13" fillId="25" borderId="11" xfId="0" applyNumberFormat="1" applyFont="1" applyFill="1" applyBorder="1"/>
    <xf numFmtId="9" fontId="13" fillId="17" borderId="11" xfId="0" applyNumberFormat="1" applyFont="1" applyFill="1" applyBorder="1"/>
    <xf numFmtId="0" fontId="13" fillId="3" borderId="0" xfId="0" applyFont="1" applyFill="1" applyAlignment="1">
      <alignment horizontal="center"/>
    </xf>
    <xf numFmtId="0" fontId="13" fillId="7" borderId="0" xfId="0" applyFont="1" applyFill="1"/>
    <xf numFmtId="9" fontId="11" fillId="6" borderId="19" xfId="0" applyNumberFormat="1" applyFont="1" applyFill="1" applyBorder="1"/>
    <xf numFmtId="9" fontId="11" fillId="6" borderId="0" xfId="0" applyNumberFormat="1" applyFont="1" applyFill="1"/>
    <xf numFmtId="3" fontId="11" fillId="13" borderId="26" xfId="0" applyNumberFormat="1" applyFont="1" applyFill="1" applyBorder="1"/>
    <xf numFmtId="9" fontId="11" fillId="6" borderId="1" xfId="0" applyNumberFormat="1" applyFont="1" applyFill="1" applyBorder="1"/>
    <xf numFmtId="3" fontId="11" fillId="6" borderId="27" xfId="0" applyNumberFormat="1" applyFont="1" applyFill="1" applyBorder="1"/>
    <xf numFmtId="0" fontId="11" fillId="13" borderId="19" xfId="0" applyFont="1" applyFill="1" applyBorder="1"/>
    <xf numFmtId="10" fontId="11" fillId="14" borderId="19" xfId="0" applyNumberFormat="1" applyFont="1" applyFill="1" applyBorder="1"/>
    <xf numFmtId="169" fontId="11" fillId="6" borderId="16" xfId="0" applyNumberFormat="1" applyFont="1" applyFill="1" applyBorder="1"/>
    <xf numFmtId="0" fontId="11" fillId="13" borderId="11" xfId="0" applyFont="1" applyFill="1" applyBorder="1"/>
    <xf numFmtId="10" fontId="11" fillId="14" borderId="11" xfId="0" applyNumberFormat="1" applyFont="1" applyFill="1" applyBorder="1"/>
    <xf numFmtId="0" fontId="11" fillId="13" borderId="1" xfId="0" applyFont="1" applyFill="1" applyBorder="1"/>
    <xf numFmtId="10" fontId="11" fillId="14" borderId="1" xfId="0" applyNumberFormat="1" applyFont="1" applyFill="1" applyBorder="1"/>
    <xf numFmtId="0" fontId="22" fillId="3" borderId="24" xfId="0" applyFont="1" applyFill="1" applyBorder="1"/>
    <xf numFmtId="0" fontId="22" fillId="3" borderId="25" xfId="0" applyFont="1" applyFill="1" applyBorder="1"/>
    <xf numFmtId="3" fontId="11" fillId="13" borderId="52" xfId="0" applyNumberFormat="1" applyFont="1" applyFill="1" applyBorder="1"/>
    <xf numFmtId="169" fontId="11" fillId="6" borderId="51" xfId="0" applyNumberFormat="1" applyFont="1" applyFill="1" applyBorder="1"/>
    <xf numFmtId="169" fontId="11" fillId="6" borderId="27" xfId="0" applyNumberFormat="1" applyFont="1" applyFill="1" applyBorder="1"/>
    <xf numFmtId="0" fontId="7" fillId="8" borderId="25" xfId="0" applyFont="1" applyFill="1" applyBorder="1"/>
    <xf numFmtId="0" fontId="13" fillId="3" borderId="0" xfId="0" applyFont="1" applyFill="1" applyAlignment="1">
      <alignment horizontal="centerContinuous"/>
    </xf>
    <xf numFmtId="1" fontId="11" fillId="3" borderId="0" xfId="0" applyNumberFormat="1" applyFont="1" applyFill="1"/>
    <xf numFmtId="0" fontId="10" fillId="5" borderId="11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0" xfId="0" applyFill="1"/>
    <xf numFmtId="0" fontId="0" fillId="5" borderId="4" xfId="0" applyFill="1" applyBorder="1"/>
    <xf numFmtId="0" fontId="0" fillId="5" borderId="9" xfId="0" applyFill="1" applyBorder="1"/>
    <xf numFmtId="0" fontId="11" fillId="16" borderId="52" xfId="0" applyFont="1" applyFill="1" applyBorder="1"/>
    <xf numFmtId="0" fontId="11" fillId="16" borderId="24" xfId="0" applyFont="1" applyFill="1" applyBorder="1"/>
    <xf numFmtId="0" fontId="11" fillId="16" borderId="26" xfId="0" applyFont="1" applyFill="1" applyBorder="1"/>
    <xf numFmtId="0" fontId="10" fillId="16" borderId="24" xfId="0" applyFont="1" applyFill="1" applyBorder="1"/>
    <xf numFmtId="0" fontId="11" fillId="5" borderId="24" xfId="0" applyFont="1" applyFill="1" applyBorder="1"/>
    <xf numFmtId="0" fontId="11" fillId="5" borderId="17" xfId="0" applyFont="1" applyFill="1" applyBorder="1"/>
    <xf numFmtId="0" fontId="11" fillId="3" borderId="0" xfId="0" applyFont="1" applyFill="1" applyAlignment="1">
      <alignment horizontal="right"/>
    </xf>
    <xf numFmtId="0" fontId="0" fillId="4" borderId="0" xfId="0" applyFill="1"/>
    <xf numFmtId="0" fontId="11" fillId="5" borderId="26" xfId="0" applyFont="1" applyFill="1" applyBorder="1"/>
    <xf numFmtId="0" fontId="28" fillId="3" borderId="0" xfId="0" applyFont="1" applyFill="1"/>
    <xf numFmtId="9" fontId="11" fillId="3" borderId="19" xfId="0" applyNumberFormat="1" applyFont="1" applyFill="1" applyBorder="1"/>
    <xf numFmtId="1" fontId="11" fillId="3" borderId="19" xfId="0" applyNumberFormat="1" applyFont="1" applyFill="1" applyBorder="1"/>
    <xf numFmtId="1" fontId="11" fillId="3" borderId="20" xfId="0" applyNumberFormat="1" applyFont="1" applyFill="1" applyBorder="1"/>
    <xf numFmtId="9" fontId="11" fillId="3" borderId="20" xfId="0" applyNumberFormat="1" applyFont="1" applyFill="1" applyBorder="1"/>
    <xf numFmtId="3" fontId="11" fillId="3" borderId="15" xfId="0" applyNumberFormat="1" applyFont="1" applyFill="1" applyBorder="1"/>
    <xf numFmtId="3" fontId="11" fillId="3" borderId="19" xfId="0" applyNumberFormat="1" applyFont="1" applyFill="1" applyBorder="1"/>
    <xf numFmtId="3" fontId="11" fillId="3" borderId="24" xfId="0" applyNumberFormat="1" applyFont="1" applyFill="1" applyBorder="1"/>
    <xf numFmtId="3" fontId="11" fillId="3" borderId="0" xfId="0" applyNumberFormat="1" applyFont="1" applyFill="1"/>
    <xf numFmtId="3" fontId="11" fillId="3" borderId="17" xfId="0" applyNumberFormat="1" applyFont="1" applyFill="1" applyBorder="1"/>
    <xf numFmtId="1" fontId="11" fillId="3" borderId="1" xfId="0" applyNumberFormat="1" applyFont="1" applyFill="1" applyBorder="1"/>
    <xf numFmtId="3" fontId="11" fillId="3" borderId="26" xfId="0" applyNumberFormat="1" applyFont="1" applyFill="1" applyBorder="1"/>
    <xf numFmtId="3" fontId="11" fillId="3" borderId="1" xfId="0" applyNumberFormat="1" applyFont="1" applyFill="1" applyBorder="1"/>
    <xf numFmtId="9" fontId="13" fillId="26" borderId="0" xfId="0" applyNumberFormat="1" applyFont="1" applyFill="1"/>
    <xf numFmtId="9" fontId="13" fillId="7" borderId="0" xfId="0" applyNumberFormat="1" applyFont="1" applyFill="1"/>
    <xf numFmtId="0" fontId="10" fillId="4" borderId="15" xfId="0" applyFont="1" applyFill="1" applyBorder="1"/>
    <xf numFmtId="0" fontId="10" fillId="4" borderId="16" xfId="0" applyFont="1" applyFill="1" applyBorder="1"/>
    <xf numFmtId="0" fontId="10" fillId="4" borderId="24" xfId="0" applyFont="1" applyFill="1" applyBorder="1"/>
    <xf numFmtId="0" fontId="10" fillId="4" borderId="25" xfId="0" applyFont="1" applyFill="1" applyBorder="1"/>
    <xf numFmtId="0" fontId="10" fillId="4" borderId="25" xfId="0" applyFont="1" applyFill="1" applyBorder="1" applyAlignment="1">
      <alignment horizontal="centerContinuous"/>
    </xf>
    <xf numFmtId="0" fontId="10" fillId="4" borderId="17" xfId="0" applyFont="1" applyFill="1" applyBorder="1"/>
    <xf numFmtId="0" fontId="11" fillId="4" borderId="28" xfId="0" applyFont="1" applyFill="1" applyBorder="1"/>
    <xf numFmtId="0" fontId="11" fillId="4" borderId="40" xfId="0" applyFont="1" applyFill="1" applyBorder="1"/>
    <xf numFmtId="0" fontId="29" fillId="3" borderId="0" xfId="0" applyFont="1" applyFill="1"/>
    <xf numFmtId="0" fontId="29" fillId="3" borderId="63" xfId="0" applyFont="1" applyFill="1" applyBorder="1" applyAlignment="1">
      <alignment horizontal="center"/>
    </xf>
    <xf numFmtId="0" fontId="29" fillId="3" borderId="64" xfId="0" applyFont="1" applyFill="1" applyBorder="1" applyAlignment="1">
      <alignment horizontal="center"/>
    </xf>
    <xf numFmtId="0" fontId="29" fillId="3" borderId="2" xfId="0" applyFont="1" applyFill="1" applyBorder="1"/>
    <xf numFmtId="0" fontId="29" fillId="3" borderId="26" xfId="0" applyFont="1" applyFill="1" applyBorder="1" applyAlignment="1">
      <alignment horizontal="center"/>
    </xf>
    <xf numFmtId="0" fontId="29" fillId="3" borderId="65" xfId="0" applyFont="1" applyFill="1" applyBorder="1"/>
    <xf numFmtId="0" fontId="29" fillId="3" borderId="66" xfId="0" applyFont="1" applyFill="1" applyBorder="1"/>
    <xf numFmtId="0" fontId="29" fillId="3" borderId="66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29" fillId="3" borderId="43" xfId="0" applyFont="1" applyFill="1" applyBorder="1" applyAlignment="1">
      <alignment horizontal="center"/>
    </xf>
    <xf numFmtId="0" fontId="29" fillId="3" borderId="67" xfId="0" applyFont="1" applyFill="1" applyBorder="1"/>
    <xf numFmtId="0" fontId="29" fillId="3" borderId="42" xfId="0" applyFont="1" applyFill="1" applyBorder="1" applyAlignment="1">
      <alignment horizontal="center"/>
    </xf>
    <xf numFmtId="0" fontId="29" fillId="3" borderId="68" xfId="0" applyFont="1" applyFill="1" applyBorder="1" applyAlignment="1">
      <alignment horizontal="center"/>
    </xf>
    <xf numFmtId="0" fontId="29" fillId="3" borderId="68" xfId="0" applyFont="1" applyFill="1" applyBorder="1"/>
    <xf numFmtId="0" fontId="29" fillId="3" borderId="20" xfId="0" applyFont="1" applyFill="1" applyBorder="1"/>
    <xf numFmtId="0" fontId="29" fillId="3" borderId="63" xfId="0" applyFont="1" applyFill="1" applyBorder="1"/>
    <xf numFmtId="0" fontId="29" fillId="3" borderId="24" xfId="0" applyFont="1" applyFill="1" applyBorder="1"/>
    <xf numFmtId="0" fontId="29" fillId="3" borderId="21" xfId="0" applyFont="1" applyFill="1" applyBorder="1"/>
    <xf numFmtId="0" fontId="29" fillId="3" borderId="43" xfId="0" applyFont="1" applyFill="1" applyBorder="1"/>
    <xf numFmtId="0" fontId="29" fillId="3" borderId="42" xfId="0" applyFont="1" applyFill="1" applyBorder="1"/>
    <xf numFmtId="0" fontId="29" fillId="3" borderId="17" xfId="0" applyFont="1" applyFill="1" applyBorder="1"/>
    <xf numFmtId="2" fontId="11" fillId="0" borderId="0" xfId="0" applyNumberFormat="1" applyFont="1"/>
    <xf numFmtId="0" fontId="10" fillId="3" borderId="0" xfId="0" applyFont="1" applyFill="1" applyAlignment="1">
      <alignment horizontal="centerContinuous"/>
    </xf>
    <xf numFmtId="0" fontId="11" fillId="3" borderId="1" xfId="0" applyFont="1" applyFill="1" applyBorder="1" applyAlignment="1">
      <alignment horizontal="center"/>
    </xf>
    <xf numFmtId="168" fontId="11" fillId="6" borderId="18" xfId="0" applyNumberFormat="1" applyFont="1" applyFill="1" applyBorder="1"/>
    <xf numFmtId="0" fontId="11" fillId="3" borderId="0" xfId="0" applyFont="1" applyFill="1" applyAlignment="1">
      <alignment horizontal="centerContinuous"/>
    </xf>
    <xf numFmtId="166" fontId="0" fillId="3" borderId="0" xfId="0" applyNumberFormat="1" applyFill="1"/>
    <xf numFmtId="0" fontId="8" fillId="3" borderId="0" xfId="0" applyFont="1" applyFill="1" applyAlignment="1">
      <alignment horizontal="centerContinuous"/>
    </xf>
    <xf numFmtId="0" fontId="11" fillId="3" borderId="37" xfId="0" applyFont="1" applyFill="1" applyBorder="1" applyProtection="1">
      <protection locked="0"/>
    </xf>
    <xf numFmtId="9" fontId="11" fillId="6" borderId="20" xfId="0" applyNumberFormat="1" applyFont="1" applyFill="1" applyBorder="1"/>
    <xf numFmtId="0" fontId="12" fillId="3" borderId="0" xfId="0" applyFont="1" applyFill="1"/>
    <xf numFmtId="164" fontId="11" fillId="2" borderId="3" xfId="0" applyNumberFormat="1" applyFont="1" applyFill="1" applyBorder="1" applyProtection="1">
      <protection locked="0"/>
    </xf>
    <xf numFmtId="2" fontId="11" fillId="2" borderId="28" xfId="0" applyNumberFormat="1" applyFont="1" applyFill="1" applyBorder="1" applyProtection="1">
      <protection locked="0"/>
    </xf>
    <xf numFmtId="2" fontId="11" fillId="2" borderId="50" xfId="0" applyNumberFormat="1" applyFont="1" applyFill="1" applyBorder="1" applyProtection="1">
      <protection locked="0"/>
    </xf>
    <xf numFmtId="0" fontId="16" fillId="11" borderId="17" xfId="0" applyFont="1" applyFill="1" applyBorder="1" applyAlignment="1">
      <alignment horizontal="left"/>
    </xf>
    <xf numFmtId="0" fontId="12" fillId="12" borderId="11" xfId="0" applyFont="1" applyFill="1" applyBorder="1" applyProtection="1">
      <protection locked="0" hidden="1"/>
    </xf>
    <xf numFmtId="10" fontId="11" fillId="6" borderId="11" xfId="0" applyNumberFormat="1" applyFont="1" applyFill="1" applyBorder="1"/>
    <xf numFmtId="169" fontId="11" fillId="6" borderId="11" xfId="0" applyNumberFormat="1" applyFont="1" applyFill="1" applyBorder="1"/>
    <xf numFmtId="2" fontId="11" fillId="6" borderId="13" xfId="0" applyNumberFormat="1" applyFont="1" applyFill="1" applyBorder="1"/>
    <xf numFmtId="2" fontId="11" fillId="6" borderId="4" xfId="0" applyNumberFormat="1" applyFont="1" applyFill="1" applyBorder="1"/>
    <xf numFmtId="2" fontId="11" fillId="6" borderId="9" xfId="0" applyNumberFormat="1" applyFont="1" applyFill="1" applyBorder="1"/>
    <xf numFmtId="0" fontId="11" fillId="4" borderId="48" xfId="0" applyFont="1" applyFill="1" applyBorder="1"/>
    <xf numFmtId="0" fontId="11" fillId="2" borderId="45" xfId="0" applyFont="1" applyFill="1" applyBorder="1" applyAlignment="1" applyProtection="1">
      <alignment horizontal="center"/>
      <protection locked="0"/>
    </xf>
    <xf numFmtId="0" fontId="11" fillId="4" borderId="38" xfId="0" applyFont="1" applyFill="1" applyBorder="1"/>
    <xf numFmtId="0" fontId="11" fillId="2" borderId="46" xfId="0" applyFont="1" applyFill="1" applyBorder="1" applyAlignment="1" applyProtection="1">
      <alignment horizontal="center"/>
      <protection locked="0"/>
    </xf>
    <xf numFmtId="164" fontId="11" fillId="5" borderId="0" xfId="0" applyNumberFormat="1" applyFont="1" applyFill="1" applyAlignment="1">
      <alignment horizontal="right"/>
    </xf>
    <xf numFmtId="0" fontId="6" fillId="3" borderId="3" xfId="0" applyFont="1" applyFill="1" applyBorder="1"/>
    <xf numFmtId="2" fontId="13" fillId="3" borderId="0" xfId="0" applyNumberFormat="1" applyFont="1" applyFill="1" applyAlignment="1">
      <alignment horizontal="center"/>
    </xf>
    <xf numFmtId="1" fontId="13" fillId="3" borderId="0" xfId="0" applyNumberFormat="1" applyFont="1" applyFill="1"/>
    <xf numFmtId="0" fontId="11" fillId="16" borderId="11" xfId="0" applyFont="1" applyFill="1" applyBorder="1" applyAlignment="1">
      <alignment horizontal="center"/>
    </xf>
    <xf numFmtId="0" fontId="11" fillId="16" borderId="0" xfId="0" applyFont="1" applyFill="1" applyAlignment="1">
      <alignment horizontal="center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16" borderId="1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/>
      <protection locked="0"/>
    </xf>
    <xf numFmtId="3" fontId="11" fillId="3" borderId="8" xfId="0" applyNumberFormat="1" applyFont="1" applyFill="1" applyBorder="1" applyAlignment="1" applyProtection="1">
      <alignment horizontal="center"/>
      <protection locked="0"/>
    </xf>
    <xf numFmtId="0" fontId="6" fillId="16" borderId="12" xfId="0" applyFont="1" applyFill="1" applyBorder="1"/>
    <xf numFmtId="3" fontId="6" fillId="6" borderId="11" xfId="0" applyNumberFormat="1" applyFont="1" applyFill="1" applyBorder="1"/>
    <xf numFmtId="4" fontId="0" fillId="6" borderId="11" xfId="0" applyNumberFormat="1" applyFill="1" applyBorder="1"/>
    <xf numFmtId="0" fontId="6" fillId="16" borderId="5" xfId="0" applyFont="1" applyFill="1" applyBorder="1"/>
    <xf numFmtId="3" fontId="6" fillId="6" borderId="1" xfId="0" applyNumberFormat="1" applyFont="1" applyFill="1" applyBorder="1"/>
    <xf numFmtId="4" fontId="0" fillId="6" borderId="1" xfId="0" applyNumberFormat="1" applyFill="1" applyBorder="1"/>
    <xf numFmtId="0" fontId="0" fillId="23" borderId="0" xfId="0" applyFill="1" applyAlignment="1">
      <alignment horizontal="centerContinuous"/>
    </xf>
    <xf numFmtId="2" fontId="11" fillId="9" borderId="24" xfId="0" applyNumberFormat="1" applyFont="1" applyFill="1" applyBorder="1" applyAlignment="1">
      <alignment horizontal="center"/>
    </xf>
    <xf numFmtId="2" fontId="13" fillId="3" borderId="0" xfId="0" applyNumberFormat="1" applyFont="1" applyFill="1"/>
    <xf numFmtId="0" fontId="28" fillId="9" borderId="15" xfId="0" applyFont="1" applyFill="1" applyBorder="1" applyAlignment="1">
      <alignment horizontal="centerContinuous"/>
    </xf>
    <xf numFmtId="0" fontId="28" fillId="9" borderId="26" xfId="0" applyFont="1" applyFill="1" applyBorder="1" applyAlignment="1">
      <alignment horizontal="centerContinuous"/>
    </xf>
    <xf numFmtId="0" fontId="11" fillId="9" borderId="27" xfId="0" applyFont="1" applyFill="1" applyBorder="1" applyAlignment="1">
      <alignment horizontal="centerContinuous"/>
    </xf>
    <xf numFmtId="2" fontId="28" fillId="9" borderId="16" xfId="0" applyNumberFormat="1" applyFont="1" applyFill="1" applyBorder="1" applyAlignment="1">
      <alignment horizontal="centerContinuous"/>
    </xf>
    <xf numFmtId="3" fontId="11" fillId="6" borderId="20" xfId="0" applyNumberFormat="1" applyFont="1" applyFill="1" applyBorder="1"/>
    <xf numFmtId="2" fontId="11" fillId="3" borderId="15" xfId="0" applyNumberFormat="1" applyFont="1" applyFill="1" applyBorder="1"/>
    <xf numFmtId="164" fontId="11" fillId="3" borderId="16" xfId="0" applyNumberFormat="1" applyFont="1" applyFill="1" applyBorder="1"/>
    <xf numFmtId="2" fontId="11" fillId="3" borderId="24" xfId="0" applyNumberFormat="1" applyFont="1" applyFill="1" applyBorder="1"/>
    <xf numFmtId="164" fontId="11" fillId="3" borderId="25" xfId="0" applyNumberFormat="1" applyFont="1" applyFill="1" applyBorder="1"/>
    <xf numFmtId="164" fontId="11" fillId="3" borderId="27" xfId="0" applyNumberFormat="1" applyFont="1" applyFill="1" applyBorder="1"/>
    <xf numFmtId="164" fontId="11" fillId="3" borderId="51" xfId="0" applyNumberFormat="1" applyFont="1" applyFill="1" applyBorder="1"/>
    <xf numFmtId="2" fontId="11" fillId="3" borderId="17" xfId="0" applyNumberFormat="1" applyFont="1" applyFill="1" applyBorder="1"/>
    <xf numFmtId="164" fontId="11" fillId="3" borderId="18" xfId="0" applyNumberFormat="1" applyFont="1" applyFill="1" applyBorder="1"/>
    <xf numFmtId="2" fontId="11" fillId="3" borderId="19" xfId="0" applyNumberFormat="1" applyFont="1" applyFill="1" applyBorder="1"/>
    <xf numFmtId="2" fontId="11" fillId="3" borderId="1" xfId="0" applyNumberFormat="1" applyFont="1" applyFill="1" applyBorder="1"/>
    <xf numFmtId="2" fontId="11" fillId="3" borderId="11" xfId="0" applyNumberFormat="1" applyFont="1" applyFill="1" applyBorder="1"/>
    <xf numFmtId="2" fontId="28" fillId="9" borderId="64" xfId="0" applyNumberFormat="1" applyFont="1" applyFill="1" applyBorder="1"/>
    <xf numFmtId="0" fontId="11" fillId="9" borderId="68" xfId="0" applyFont="1" applyFill="1" applyBorder="1"/>
    <xf numFmtId="0" fontId="11" fillId="9" borderId="68" xfId="0" applyFont="1" applyFill="1" applyBorder="1" applyAlignment="1">
      <alignment horizontal="center"/>
    </xf>
    <xf numFmtId="0" fontId="11" fillId="9" borderId="63" xfId="0" applyFont="1" applyFill="1" applyBorder="1" applyAlignment="1">
      <alignment horizontal="center"/>
    </xf>
    <xf numFmtId="2" fontId="11" fillId="3" borderId="64" xfId="0" applyNumberFormat="1" applyFont="1" applyFill="1" applyBorder="1"/>
    <xf numFmtId="2" fontId="11" fillId="3" borderId="68" xfId="0" applyNumberFormat="1" applyFont="1" applyFill="1" applyBorder="1"/>
    <xf numFmtId="2" fontId="11" fillId="3" borderId="63" xfId="0" applyNumberFormat="1" applyFont="1" applyFill="1" applyBorder="1"/>
    <xf numFmtId="2" fontId="11" fillId="3" borderId="70" xfId="0" applyNumberFormat="1" applyFont="1" applyFill="1" applyBorder="1"/>
    <xf numFmtId="0" fontId="11" fillId="3" borderId="68" xfId="0" applyFont="1" applyFill="1" applyBorder="1"/>
    <xf numFmtId="0" fontId="6" fillId="4" borderId="12" xfId="0" applyFont="1" applyFill="1" applyBorder="1"/>
    <xf numFmtId="0" fontId="0" fillId="4" borderId="13" xfId="0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0" fillId="4" borderId="8" xfId="0" applyFill="1" applyBorder="1" applyAlignment="1">
      <alignment horizontal="centerContinuous"/>
    </xf>
    <xf numFmtId="2" fontId="0" fillId="3" borderId="3" xfId="0" applyNumberFormat="1" applyFill="1" applyBorder="1"/>
    <xf numFmtId="0" fontId="6" fillId="4" borderId="6" xfId="0" applyFont="1" applyFill="1" applyBorder="1"/>
    <xf numFmtId="0" fontId="0" fillId="4" borderId="12" xfId="0" applyFill="1" applyBorder="1"/>
    <xf numFmtId="0" fontId="6" fillId="4" borderId="11" xfId="0" applyFont="1" applyFill="1" applyBorder="1" applyAlignment="1">
      <alignment horizontal="center"/>
    </xf>
    <xf numFmtId="0" fontId="0" fillId="4" borderId="11" xfId="0" applyFill="1" applyBorder="1"/>
    <xf numFmtId="0" fontId="0" fillId="4" borderId="5" xfId="0" applyFill="1" applyBorder="1"/>
    <xf numFmtId="0" fontId="0" fillId="3" borderId="3" xfId="0" applyFill="1" applyBorder="1"/>
    <xf numFmtId="0" fontId="11" fillId="23" borderId="0" xfId="0" applyFont="1" applyFill="1"/>
    <xf numFmtId="0" fontId="0" fillId="23" borderId="0" xfId="0" applyFill="1"/>
    <xf numFmtId="0" fontId="10" fillId="4" borderId="18" xfId="0" applyFont="1" applyFill="1" applyBorder="1"/>
    <xf numFmtId="0" fontId="6" fillId="4" borderId="0" xfId="0" applyFont="1" applyFill="1"/>
    <xf numFmtId="0" fontId="6" fillId="3" borderId="2" xfId="0" applyFont="1" applyFill="1" applyBorder="1"/>
    <xf numFmtId="0" fontId="6" fillId="4" borderId="11" xfId="0" applyFont="1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9" xfId="0" applyFill="1" applyBorder="1"/>
    <xf numFmtId="0" fontId="0" fillId="3" borderId="8" xfId="0" applyFill="1" applyBorder="1"/>
    <xf numFmtId="0" fontId="6" fillId="4" borderId="7" xfId="0" applyFont="1" applyFill="1" applyBorder="1" applyAlignment="1">
      <alignment horizontal="centerContinuous"/>
    </xf>
    <xf numFmtId="0" fontId="6" fillId="3" borderId="10" xfId="0" applyFont="1" applyFill="1" applyBorder="1"/>
    <xf numFmtId="2" fontId="0" fillId="4" borderId="0" xfId="0" applyNumberFormat="1" applyFill="1"/>
    <xf numFmtId="0" fontId="6" fillId="4" borderId="7" xfId="0" applyFont="1" applyFill="1" applyBorder="1"/>
    <xf numFmtId="2" fontId="0" fillId="4" borderId="8" xfId="0" applyNumberFormat="1" applyFill="1" applyBorder="1"/>
    <xf numFmtId="0" fontId="6" fillId="3" borderId="14" xfId="0" applyFont="1" applyFill="1" applyBorder="1"/>
    <xf numFmtId="2" fontId="0" fillId="3" borderId="14" xfId="0" applyNumberFormat="1" applyFill="1" applyBorder="1"/>
    <xf numFmtId="0" fontId="6" fillId="4" borderId="2" xfId="0" applyFont="1" applyFill="1" applyBorder="1"/>
    <xf numFmtId="2" fontId="0" fillId="4" borderId="2" xfId="0" applyNumberFormat="1" applyFill="1" applyBorder="1"/>
    <xf numFmtId="0" fontId="0" fillId="4" borderId="8" xfId="0" applyFill="1" applyBorder="1"/>
    <xf numFmtId="4" fontId="6" fillId="4" borderId="0" xfId="0" quotePrefix="1" applyNumberFormat="1" applyFont="1" applyFill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right"/>
    </xf>
    <xf numFmtId="2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12" fillId="9" borderId="6" xfId="0" applyFont="1" applyFill="1" applyBorder="1" applyAlignment="1" applyProtection="1">
      <alignment horizontal="center"/>
      <protection locked="0" hidden="1"/>
    </xf>
    <xf numFmtId="0" fontId="12" fillId="9" borderId="4" xfId="0" applyFont="1" applyFill="1" applyBorder="1" applyAlignment="1">
      <alignment horizontal="center"/>
    </xf>
    <xf numFmtId="2" fontId="12" fillId="12" borderId="12" xfId="0" applyNumberFormat="1" applyFont="1" applyFill="1" applyBorder="1" applyProtection="1">
      <protection locked="0" hidden="1"/>
    </xf>
    <xf numFmtId="168" fontId="12" fillId="12" borderId="13" xfId="0" applyNumberFormat="1" applyFont="1" applyFill="1" applyBorder="1" applyProtection="1">
      <protection locked="0" hidden="1"/>
    </xf>
    <xf numFmtId="2" fontId="12" fillId="12" borderId="6" xfId="0" applyNumberFormat="1" applyFont="1" applyFill="1" applyBorder="1" applyProtection="1">
      <protection locked="0" hidden="1"/>
    </xf>
    <xf numFmtId="168" fontId="12" fillId="12" borderId="4" xfId="0" applyNumberFormat="1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locked="0" hidden="1"/>
    </xf>
    <xf numFmtId="168" fontId="12" fillId="12" borderId="9" xfId="0" applyNumberFormat="1" applyFont="1" applyFill="1" applyBorder="1" applyProtection="1">
      <protection locked="0" hidden="1"/>
    </xf>
    <xf numFmtId="2" fontId="12" fillId="5" borderId="6" xfId="0" applyNumberFormat="1" applyFont="1" applyFill="1" applyBorder="1" applyProtection="1">
      <protection locked="0" hidden="1"/>
    </xf>
    <xf numFmtId="168" fontId="12" fillId="5" borderId="4" xfId="0" applyNumberFormat="1" applyFont="1" applyFill="1" applyBorder="1" applyProtection="1">
      <protection locked="0" hidden="1"/>
    </xf>
    <xf numFmtId="2" fontId="12" fillId="5" borderId="5" xfId="0" applyNumberFormat="1" applyFont="1" applyFill="1" applyBorder="1" applyProtection="1">
      <protection locked="0" hidden="1"/>
    </xf>
    <xf numFmtId="168" fontId="12" fillId="5" borderId="9" xfId="0" applyNumberFormat="1" applyFont="1" applyFill="1" applyBorder="1" applyProtection="1">
      <protection locked="0" hidden="1"/>
    </xf>
    <xf numFmtId="0" fontId="11" fillId="3" borderId="0" xfId="1" applyFont="1" applyFill="1"/>
    <xf numFmtId="0" fontId="6" fillId="3" borderId="0" xfId="1" applyFill="1"/>
    <xf numFmtId="4" fontId="11" fillId="3" borderId="0" xfId="1" applyNumberFormat="1" applyFont="1" applyFill="1" applyAlignment="1">
      <alignment horizontal="right"/>
    </xf>
    <xf numFmtId="2" fontId="11" fillId="3" borderId="0" xfId="1" applyNumberFormat="1" applyFont="1" applyFill="1" applyProtection="1">
      <protection hidden="1"/>
    </xf>
    <xf numFmtId="0" fontId="10" fillId="3" borderId="0" xfId="1" applyFont="1" applyFill="1"/>
    <xf numFmtId="0" fontId="0" fillId="3" borderId="0" xfId="0" applyFill="1" applyAlignment="1">
      <alignment horizontal="centerContinuous"/>
    </xf>
    <xf numFmtId="0" fontId="20" fillId="7" borderId="0" xfId="0" applyFont="1" applyFill="1"/>
    <xf numFmtId="9" fontId="11" fillId="3" borderId="0" xfId="0" applyNumberFormat="1" applyFont="1" applyFill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Continuous"/>
    </xf>
    <xf numFmtId="165" fontId="0" fillId="3" borderId="0" xfId="0" applyNumberFormat="1" applyFill="1"/>
    <xf numFmtId="170" fontId="11" fillId="3" borderId="0" xfId="1" applyNumberFormat="1" applyFont="1" applyFill="1" applyAlignment="1">
      <alignment horizontal="right"/>
    </xf>
    <xf numFmtId="0" fontId="4" fillId="3" borderId="0" xfId="0" applyFont="1" applyFill="1"/>
    <xf numFmtId="168" fontId="11" fillId="6" borderId="25" xfId="0" applyNumberFormat="1" applyFont="1" applyFill="1" applyBorder="1"/>
    <xf numFmtId="0" fontId="11" fillId="22" borderId="0" xfId="0" quotePrefix="1" applyFont="1" applyFill="1"/>
    <xf numFmtId="2" fontId="11" fillId="3" borderId="14" xfId="0" applyNumberFormat="1" applyFont="1" applyFill="1" applyBorder="1"/>
    <xf numFmtId="2" fontId="11" fillId="3" borderId="10" xfId="0" applyNumberFormat="1" applyFont="1" applyFill="1" applyBorder="1"/>
    <xf numFmtId="2" fontId="11" fillId="3" borderId="49" xfId="0" applyNumberFormat="1" applyFont="1" applyFill="1" applyBorder="1"/>
    <xf numFmtId="4" fontId="11" fillId="3" borderId="49" xfId="0" applyNumberFormat="1" applyFont="1" applyFill="1" applyBorder="1"/>
    <xf numFmtId="0" fontId="1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Continuous"/>
    </xf>
    <xf numFmtId="10" fontId="11" fillId="3" borderId="20" xfId="0" applyNumberFormat="1" applyFont="1" applyFill="1" applyBorder="1"/>
    <xf numFmtId="169" fontId="11" fillId="3" borderId="20" xfId="0" applyNumberFormat="1" applyFont="1" applyFill="1" applyBorder="1"/>
    <xf numFmtId="0" fontId="22" fillId="3" borderId="6" xfId="0" applyFont="1" applyFill="1" applyBorder="1" applyAlignment="1">
      <alignment horizontal="center"/>
    </xf>
    <xf numFmtId="0" fontId="22" fillId="3" borderId="6" xfId="0" applyFont="1" applyFill="1" applyBorder="1"/>
    <xf numFmtId="0" fontId="13" fillId="3" borderId="6" xfId="0" applyFont="1" applyFill="1" applyBorder="1"/>
    <xf numFmtId="0" fontId="22" fillId="3" borderId="26" xfId="0" applyFont="1" applyFill="1" applyBorder="1" applyAlignment="1">
      <alignment horizontal="center"/>
    </xf>
    <xf numFmtId="0" fontId="13" fillId="3" borderId="43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21" borderId="0" xfId="0" applyFont="1" applyFill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29" fillId="3" borderId="3" xfId="0" applyFont="1" applyFill="1" applyBorder="1"/>
    <xf numFmtId="0" fontId="29" fillId="3" borderId="7" xfId="0" applyFont="1" applyFill="1" applyBorder="1"/>
    <xf numFmtId="0" fontId="29" fillId="3" borderId="8" xfId="0" applyFont="1" applyFill="1" applyBorder="1"/>
    <xf numFmtId="0" fontId="29" fillId="3" borderId="12" xfId="0" applyFont="1" applyFill="1" applyBorder="1"/>
    <xf numFmtId="0" fontId="29" fillId="3" borderId="11" xfId="0" applyFont="1" applyFill="1" applyBorder="1"/>
    <xf numFmtId="0" fontId="29" fillId="3" borderId="6" xfId="0" applyFont="1" applyFill="1" applyBorder="1"/>
    <xf numFmtId="0" fontId="29" fillId="3" borderId="5" xfId="0" applyFont="1" applyFill="1" applyBorder="1"/>
    <xf numFmtId="0" fontId="29" fillId="3" borderId="1" xfId="0" applyFont="1" applyFill="1" applyBorder="1"/>
    <xf numFmtId="2" fontId="11" fillId="6" borderId="22" xfId="0" applyNumberFormat="1" applyFont="1" applyFill="1" applyBorder="1" applyAlignment="1">
      <alignment horizontal="center"/>
    </xf>
    <xf numFmtId="2" fontId="11" fillId="6" borderId="22" xfId="0" applyNumberFormat="1" applyFont="1" applyFill="1" applyBorder="1" applyAlignment="1">
      <alignment horizontal="left"/>
    </xf>
    <xf numFmtId="3" fontId="26" fillId="6" borderId="8" xfId="0" applyNumberFormat="1" applyFont="1" applyFill="1" applyBorder="1" applyAlignment="1">
      <alignment horizontal="right"/>
    </xf>
    <xf numFmtId="166" fontId="2" fillId="6" borderId="8" xfId="0" applyNumberFormat="1" applyFont="1" applyFill="1" applyBorder="1"/>
    <xf numFmtId="166" fontId="2" fillId="6" borderId="3" xfId="0" applyNumberFormat="1" applyFont="1" applyFill="1" applyBorder="1"/>
    <xf numFmtId="0" fontId="2" fillId="17" borderId="0" xfId="0" applyFont="1" applyFill="1"/>
    <xf numFmtId="166" fontId="27" fillId="7" borderId="3" xfId="0" applyNumberFormat="1" applyFont="1" applyFill="1" applyBorder="1"/>
    <xf numFmtId="166" fontId="7" fillId="7" borderId="0" xfId="0" applyNumberFormat="1" applyFont="1" applyFill="1"/>
    <xf numFmtId="0" fontId="0" fillId="7" borderId="7" xfId="0" applyFill="1" applyBorder="1"/>
    <xf numFmtId="166" fontId="0" fillId="7" borderId="3" xfId="0" applyNumberFormat="1" applyFill="1" applyBorder="1"/>
    <xf numFmtId="0" fontId="27" fillId="17" borderId="0" xfId="0" applyFont="1" applyFill="1"/>
    <xf numFmtId="0" fontId="7" fillId="17" borderId="0" xfId="0" applyFont="1" applyFill="1"/>
    <xf numFmtId="166" fontId="7" fillId="17" borderId="0" xfId="0" applyNumberFormat="1" applyFont="1" applyFill="1"/>
    <xf numFmtId="0" fontId="0" fillId="17" borderId="3" xfId="0" applyFill="1" applyBorder="1"/>
    <xf numFmtId="0" fontId="2" fillId="6" borderId="3" xfId="0" applyFont="1" applyFill="1" applyBorder="1"/>
    <xf numFmtId="0" fontId="6" fillId="7" borderId="3" xfId="0" applyFont="1" applyFill="1" applyBorder="1"/>
    <xf numFmtId="0" fontId="6" fillId="6" borderId="3" xfId="0" applyFont="1" applyFill="1" applyBorder="1"/>
    <xf numFmtId="4" fontId="0" fillId="6" borderId="4" xfId="0" applyNumberFormat="1" applyFill="1" applyBorder="1"/>
    <xf numFmtId="0" fontId="27" fillId="7" borderId="3" xfId="0" applyFont="1" applyFill="1" applyBorder="1"/>
    <xf numFmtId="0" fontId="7" fillId="7" borderId="6" xfId="0" applyFont="1" applyFill="1" applyBorder="1"/>
    <xf numFmtId="166" fontId="7" fillId="7" borderId="4" xfId="0" applyNumberFormat="1" applyFont="1" applyFill="1" applyBorder="1"/>
    <xf numFmtId="0" fontId="6" fillId="6" borderId="6" xfId="0" applyFont="1" applyFill="1" applyBorder="1"/>
    <xf numFmtId="2" fontId="6" fillId="6" borderId="0" xfId="0" applyNumberFormat="1" applyFont="1" applyFill="1"/>
    <xf numFmtId="2" fontId="6" fillId="6" borderId="4" xfId="0" applyNumberFormat="1" applyFont="1" applyFill="1" applyBorder="1"/>
    <xf numFmtId="0" fontId="6" fillId="6" borderId="5" xfId="0" applyFont="1" applyFill="1" applyBorder="1"/>
    <xf numFmtId="2" fontId="6" fillId="6" borderId="1" xfId="0" applyNumberFormat="1" applyFont="1" applyFill="1" applyBorder="1"/>
    <xf numFmtId="2" fontId="6" fillId="6" borderId="9" xfId="0" applyNumberFormat="1" applyFont="1" applyFill="1" applyBorder="1"/>
    <xf numFmtId="1" fontId="6" fillId="6" borderId="10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1" fillId="3" borderId="0" xfId="0" applyNumberFormat="1" applyFont="1" applyFill="1" applyAlignment="1">
      <alignment horizontal="left"/>
    </xf>
    <xf numFmtId="0" fontId="6" fillId="6" borderId="3" xfId="0" applyFont="1" applyFill="1" applyBorder="1" applyAlignment="1">
      <alignment horizontal="center"/>
    </xf>
    <xf numFmtId="164" fontId="11" fillId="2" borderId="30" xfId="0" applyNumberFormat="1" applyFont="1" applyFill="1" applyBorder="1" applyProtection="1">
      <protection locked="0"/>
    </xf>
    <xf numFmtId="9" fontId="11" fillId="6" borderId="27" xfId="0" applyNumberFormat="1" applyFont="1" applyFill="1" applyBorder="1"/>
    <xf numFmtId="3" fontId="11" fillId="15" borderId="41" xfId="0" applyNumberFormat="1" applyFont="1" applyFill="1" applyBorder="1"/>
    <xf numFmtId="0" fontId="10" fillId="6" borderId="0" xfId="0" applyFont="1" applyFill="1" applyAlignment="1">
      <alignment horizontal="center"/>
    </xf>
    <xf numFmtId="2" fontId="12" fillId="12" borderId="11" xfId="0" applyNumberFormat="1" applyFont="1" applyFill="1" applyBorder="1" applyProtection="1">
      <protection locked="0" hidden="1"/>
    </xf>
    <xf numFmtId="2" fontId="12" fillId="5" borderId="1" xfId="0" applyNumberFormat="1" applyFont="1" applyFill="1" applyBorder="1" applyProtection="1">
      <protection locked="0" hidden="1"/>
    </xf>
    <xf numFmtId="165" fontId="6" fillId="3" borderId="3" xfId="0" applyNumberFormat="1" applyFont="1" applyFill="1" applyBorder="1"/>
    <xf numFmtId="166" fontId="0" fillId="7" borderId="9" xfId="0" applyNumberFormat="1" applyFill="1" applyBorder="1"/>
    <xf numFmtId="9" fontId="0" fillId="7" borderId="7" xfId="0" applyNumberFormat="1" applyFill="1" applyBorder="1"/>
    <xf numFmtId="9" fontId="0" fillId="7" borderId="2" xfId="0" applyNumberFormat="1" applyFill="1" applyBorder="1"/>
    <xf numFmtId="3" fontId="11" fillId="3" borderId="67" xfId="0" applyNumberFormat="1" applyFont="1" applyFill="1" applyBorder="1" applyProtection="1">
      <protection locked="0"/>
    </xf>
    <xf numFmtId="164" fontId="11" fillId="2" borderId="18" xfId="0" applyNumberFormat="1" applyFont="1" applyFill="1" applyBorder="1" applyProtection="1">
      <protection locked="0"/>
    </xf>
    <xf numFmtId="0" fontId="12" fillId="5" borderId="0" xfId="0" applyFont="1" applyFill="1" applyProtection="1">
      <protection locked="0" hidden="1"/>
    </xf>
    <xf numFmtId="0" fontId="11" fillId="3" borderId="14" xfId="0" applyFont="1" applyFill="1" applyBorder="1" applyProtection="1">
      <protection locked="0"/>
    </xf>
    <xf numFmtId="3" fontId="11" fillId="3" borderId="10" xfId="0" applyNumberFormat="1" applyFont="1" applyFill="1" applyBorder="1" applyProtection="1">
      <protection locked="0"/>
    </xf>
    <xf numFmtId="164" fontId="11" fillId="2" borderId="9" xfId="0" applyNumberFormat="1" applyFont="1" applyFill="1" applyBorder="1" applyProtection="1">
      <protection locked="0"/>
    </xf>
    <xf numFmtId="2" fontId="11" fillId="2" borderId="17" xfId="0" applyNumberFormat="1" applyFont="1" applyFill="1" applyBorder="1" applyProtection="1">
      <protection locked="0"/>
    </xf>
    <xf numFmtId="3" fontId="11" fillId="3" borderId="45" xfId="0" applyNumberFormat="1" applyFont="1" applyFill="1" applyBorder="1" applyProtection="1">
      <protection locked="0"/>
    </xf>
    <xf numFmtId="164" fontId="11" fillId="2" borderId="29" xfId="0" applyNumberFormat="1" applyFont="1" applyFill="1" applyBorder="1" applyProtection="1">
      <protection locked="0"/>
    </xf>
    <xf numFmtId="0" fontId="11" fillId="5" borderId="27" xfId="0" applyFont="1" applyFill="1" applyBorder="1"/>
    <xf numFmtId="0" fontId="15" fillId="8" borderId="0" xfId="0" applyFont="1" applyFill="1" applyProtection="1">
      <protection locked="0" hidden="1"/>
    </xf>
    <xf numFmtId="0" fontId="12" fillId="12" borderId="0" xfId="0" applyFont="1" applyFill="1" applyProtection="1">
      <protection locked="0" hidden="1"/>
    </xf>
    <xf numFmtId="0" fontId="12" fillId="12" borderId="0" xfId="0" applyFont="1" applyFill="1"/>
    <xf numFmtId="0" fontId="12" fillId="3" borderId="0" xfId="0" applyFont="1" applyFill="1" applyProtection="1">
      <protection locked="0" hidden="1"/>
    </xf>
    <xf numFmtId="0" fontId="6" fillId="9" borderId="0" xfId="0" applyFont="1" applyFill="1" applyProtection="1">
      <protection locked="0" hidden="1"/>
    </xf>
    <xf numFmtId="0" fontId="15" fillId="9" borderId="0" xfId="0" applyFont="1" applyFill="1" applyProtection="1">
      <protection locked="0" hidden="1"/>
    </xf>
    <xf numFmtId="0" fontId="11" fillId="9" borderId="47" xfId="0" applyFont="1" applyFill="1" applyBorder="1" applyAlignment="1">
      <alignment horizontal="center"/>
    </xf>
    <xf numFmtId="3" fontId="11" fillId="13" borderId="17" xfId="0" applyNumberFormat="1" applyFont="1" applyFill="1" applyBorder="1"/>
    <xf numFmtId="0" fontId="11" fillId="13" borderId="20" xfId="0" applyFont="1" applyFill="1" applyBorder="1"/>
    <xf numFmtId="9" fontId="11" fillId="13" borderId="20" xfId="0" applyNumberFormat="1" applyFont="1" applyFill="1" applyBorder="1"/>
    <xf numFmtId="10" fontId="11" fillId="14" borderId="20" xfId="0" applyNumberFormat="1" applyFont="1" applyFill="1" applyBorder="1"/>
    <xf numFmtId="169" fontId="11" fillId="6" borderId="18" xfId="0" applyNumberFormat="1" applyFont="1" applyFill="1" applyBorder="1"/>
    <xf numFmtId="3" fontId="11" fillId="15" borderId="60" xfId="0" applyNumberFormat="1" applyFont="1" applyFill="1" applyBorder="1"/>
    <xf numFmtId="3" fontId="11" fillId="15" borderId="47" xfId="0" applyNumberFormat="1" applyFont="1" applyFill="1" applyBorder="1"/>
    <xf numFmtId="3" fontId="11" fillId="15" borderId="48" xfId="0" applyNumberFormat="1" applyFont="1" applyFill="1" applyBorder="1"/>
    <xf numFmtId="1" fontId="11" fillId="13" borderId="20" xfId="0" applyNumberFormat="1" applyFont="1" applyFill="1" applyBorder="1"/>
    <xf numFmtId="10" fontId="11" fillId="6" borderId="20" xfId="0" applyNumberFormat="1" applyFont="1" applyFill="1" applyBorder="1"/>
    <xf numFmtId="169" fontId="11" fillId="6" borderId="20" xfId="0" applyNumberFormat="1" applyFont="1" applyFill="1" applyBorder="1"/>
    <xf numFmtId="2" fontId="11" fillId="6" borderId="20" xfId="0" applyNumberFormat="1" applyFont="1" applyFill="1" applyBorder="1"/>
    <xf numFmtId="164" fontId="11" fillId="15" borderId="20" xfId="0" applyNumberFormat="1" applyFont="1" applyFill="1" applyBorder="1"/>
    <xf numFmtId="168" fontId="11" fillId="6" borderId="20" xfId="0" applyNumberFormat="1" applyFont="1" applyFill="1" applyBorder="1"/>
    <xf numFmtId="3" fontId="11" fillId="15" borderId="20" xfId="0" applyNumberFormat="1" applyFont="1" applyFill="1" applyBorder="1"/>
    <xf numFmtId="2" fontId="11" fillId="13" borderId="20" xfId="0" applyNumberFormat="1" applyFont="1" applyFill="1" applyBorder="1"/>
    <xf numFmtId="164" fontId="11" fillId="13" borderId="20" xfId="0" applyNumberFormat="1" applyFont="1" applyFill="1" applyBorder="1"/>
    <xf numFmtId="165" fontId="11" fillId="6" borderId="20" xfId="0" applyNumberFormat="1" applyFont="1" applyFill="1" applyBorder="1"/>
    <xf numFmtId="164" fontId="11" fillId="6" borderId="20" xfId="0" applyNumberFormat="1" applyFont="1" applyFill="1" applyBorder="1"/>
    <xf numFmtId="2" fontId="11" fillId="6" borderId="18" xfId="0" applyNumberFormat="1" applyFont="1" applyFill="1" applyBorder="1"/>
    <xf numFmtId="3" fontId="11" fillId="7" borderId="19" xfId="0" applyNumberFormat="1" applyFont="1" applyFill="1" applyBorder="1"/>
    <xf numFmtId="0" fontId="0" fillId="7" borderId="19" xfId="0" applyFill="1" applyBorder="1"/>
    <xf numFmtId="2" fontId="11" fillId="7" borderId="19" xfId="0" applyNumberFormat="1" applyFont="1" applyFill="1" applyBorder="1"/>
    <xf numFmtId="165" fontId="11" fillId="7" borderId="19" xfId="0" applyNumberFormat="1" applyFont="1" applyFill="1" applyBorder="1"/>
    <xf numFmtId="164" fontId="11" fillId="7" borderId="19" xfId="0" applyNumberFormat="1" applyFont="1" applyFill="1" applyBorder="1"/>
    <xf numFmtId="0" fontId="11" fillId="6" borderId="19" xfId="0" applyFont="1" applyFill="1" applyBorder="1"/>
    <xf numFmtId="3" fontId="11" fillId="15" borderId="17" xfId="0" applyNumberFormat="1" applyFont="1" applyFill="1" applyBorder="1"/>
    <xf numFmtId="3" fontId="11" fillId="7" borderId="20" xfId="0" applyNumberFormat="1" applyFont="1" applyFill="1" applyBorder="1"/>
    <xf numFmtId="0" fontId="0" fillId="7" borderId="20" xfId="0" applyFill="1" applyBorder="1"/>
    <xf numFmtId="2" fontId="11" fillId="7" borderId="20" xfId="0" applyNumberFormat="1" applyFont="1" applyFill="1" applyBorder="1"/>
    <xf numFmtId="165" fontId="11" fillId="7" borderId="20" xfId="0" applyNumberFormat="1" applyFont="1" applyFill="1" applyBorder="1"/>
    <xf numFmtId="164" fontId="11" fillId="7" borderId="20" xfId="0" applyNumberFormat="1" applyFont="1" applyFill="1" applyBorder="1"/>
    <xf numFmtId="0" fontId="11" fillId="6" borderId="20" xfId="0" applyFont="1" applyFill="1" applyBorder="1"/>
    <xf numFmtId="164" fontId="11" fillId="15" borderId="57" xfId="0" applyNumberFormat="1" applyFont="1" applyFill="1" applyBorder="1"/>
    <xf numFmtId="2" fontId="11" fillId="6" borderId="55" xfId="0" applyNumberFormat="1" applyFont="1" applyFill="1" applyBorder="1"/>
    <xf numFmtId="2" fontId="11" fillId="6" borderId="58" xfId="0" applyNumberFormat="1" applyFont="1" applyFill="1" applyBorder="1"/>
    <xf numFmtId="0" fontId="11" fillId="13" borderId="57" xfId="0" applyFont="1" applyFill="1" applyBorder="1"/>
    <xf numFmtId="0" fontId="11" fillId="15" borderId="20" xfId="0" applyFont="1" applyFill="1" applyBorder="1"/>
    <xf numFmtId="0" fontId="11" fillId="3" borderId="64" xfId="0" applyFont="1" applyFill="1" applyBorder="1"/>
    <xf numFmtId="0" fontId="11" fillId="3" borderId="63" xfId="0" applyFont="1" applyFill="1" applyBorder="1"/>
    <xf numFmtId="164" fontId="11" fillId="3" borderId="19" xfId="0" applyNumberFormat="1" applyFont="1" applyFill="1" applyBorder="1"/>
    <xf numFmtId="164" fontId="11" fillId="3" borderId="20" xfId="0" applyNumberFormat="1" applyFont="1" applyFill="1" applyBorder="1"/>
    <xf numFmtId="2" fontId="11" fillId="58" borderId="68" xfId="0" applyNumberFormat="1" applyFont="1" applyFill="1" applyBorder="1"/>
    <xf numFmtId="2" fontId="11" fillId="58" borderId="69" xfId="0" applyNumberFormat="1" applyFont="1" applyFill="1" applyBorder="1"/>
    <xf numFmtId="0" fontId="22" fillId="22" borderId="0" xfId="0" applyFont="1" applyFill="1" applyAlignment="1">
      <alignment horizontal="center"/>
    </xf>
    <xf numFmtId="164" fontId="11" fillId="2" borderId="31" xfId="0" applyNumberFormat="1" applyFont="1" applyFill="1" applyBorder="1" applyProtection="1">
      <protection locked="0"/>
    </xf>
    <xf numFmtId="2" fontId="0" fillId="6" borderId="3" xfId="0" applyNumberFormat="1" applyFill="1" applyBorder="1"/>
    <xf numFmtId="0" fontId="0" fillId="59" borderId="0" xfId="0" applyFill="1"/>
    <xf numFmtId="0" fontId="0" fillId="59" borderId="11" xfId="0" applyFill="1" applyBorder="1"/>
    <xf numFmtId="0" fontId="0" fillId="59" borderId="1" xfId="0" applyFill="1" applyBorder="1"/>
    <xf numFmtId="0" fontId="44" fillId="3" borderId="0" xfId="0" applyFont="1" applyFill="1"/>
    <xf numFmtId="0" fontId="29" fillId="3" borderId="0" xfId="0" applyFont="1" applyFill="1" applyAlignment="1">
      <alignment horizontal="center"/>
    </xf>
    <xf numFmtId="1" fontId="0" fillId="3" borderId="3" xfId="0" applyNumberFormat="1" applyFill="1" applyBorder="1"/>
    <xf numFmtId="165" fontId="6" fillId="3" borderId="0" xfId="0" applyNumberFormat="1" applyFont="1" applyFill="1"/>
    <xf numFmtId="0" fontId="6" fillId="3" borderId="3" xfId="0" applyFont="1" applyFill="1" applyBorder="1" applyAlignment="1">
      <alignment horizontal="center"/>
    </xf>
    <xf numFmtId="0" fontId="11" fillId="23" borderId="0" xfId="0" applyFont="1" applyFill="1" applyAlignment="1">
      <alignment horizontal="center"/>
    </xf>
    <xf numFmtId="2" fontId="11" fillId="3" borderId="3" xfId="0" applyNumberFormat="1" applyFont="1" applyFill="1" applyBorder="1" applyAlignment="1" applyProtection="1">
      <alignment horizontal="center"/>
      <protection locked="0"/>
    </xf>
    <xf numFmtId="9" fontId="0" fillId="7" borderId="8" xfId="0" applyNumberFormat="1" applyFill="1" applyBorder="1"/>
    <xf numFmtId="10" fontId="0" fillId="6" borderId="0" xfId="0" applyNumberFormat="1" applyFill="1"/>
    <xf numFmtId="169" fontId="0" fillId="6" borderId="0" xfId="0" applyNumberFormat="1" applyFill="1"/>
    <xf numFmtId="10" fontId="0" fillId="6" borderId="11" xfId="0" applyNumberFormat="1" applyFill="1" applyBorder="1"/>
    <xf numFmtId="169" fontId="0" fillId="6" borderId="11" xfId="0" applyNumberFormat="1" applyFill="1" applyBorder="1"/>
    <xf numFmtId="10" fontId="0" fillId="6" borderId="1" xfId="0" applyNumberFormat="1" applyFill="1" applyBorder="1"/>
    <xf numFmtId="169" fontId="0" fillId="6" borderId="1" xfId="0" applyNumberFormat="1" applyFill="1" applyBorder="1"/>
    <xf numFmtId="171" fontId="0" fillId="13" borderId="11" xfId="0" applyNumberFormat="1" applyFill="1" applyBorder="1"/>
    <xf numFmtId="171" fontId="0" fillId="13" borderId="0" xfId="0" applyNumberFormat="1" applyFill="1"/>
    <xf numFmtId="171" fontId="0" fillId="13" borderId="1" xfId="0" applyNumberFormat="1" applyFill="1" applyBorder="1"/>
    <xf numFmtId="9" fontId="0" fillId="13" borderId="11" xfId="0" applyNumberFormat="1" applyFill="1" applyBorder="1"/>
    <xf numFmtId="9" fontId="0" fillId="13" borderId="1" xfId="0" applyNumberFormat="1" applyFill="1" applyBorder="1"/>
    <xf numFmtId="2" fontId="0" fillId="6" borderId="12" xfId="0" applyNumberFormat="1" applyFill="1" applyBorder="1"/>
    <xf numFmtId="2" fontId="0" fillId="6" borderId="6" xfId="0" applyNumberFormat="1" applyFill="1" applyBorder="1"/>
    <xf numFmtId="2" fontId="0" fillId="6" borderId="5" xfId="0" applyNumberFormat="1" applyFill="1" applyBorder="1"/>
    <xf numFmtId="171" fontId="6" fillId="6" borderId="13" xfId="0" applyNumberFormat="1" applyFont="1" applyFill="1" applyBorder="1"/>
    <xf numFmtId="171" fontId="6" fillId="6" borderId="4" xfId="0" applyNumberFormat="1" applyFont="1" applyFill="1" applyBorder="1"/>
    <xf numFmtId="171" fontId="6" fillId="6" borderId="9" xfId="0" applyNumberFormat="1" applyFont="1" applyFill="1" applyBorder="1"/>
    <xf numFmtId="0" fontId="6" fillId="16" borderId="12" xfId="0" applyFon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0" fontId="6" fillId="16" borderId="1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2" fontId="7" fillId="6" borderId="5" xfId="0" applyNumberFormat="1" applyFont="1" applyFill="1" applyBorder="1"/>
    <xf numFmtId="0" fontId="11" fillId="60" borderId="1" xfId="0" applyFont="1" applyFill="1" applyBorder="1"/>
    <xf numFmtId="0" fontId="11" fillId="60" borderId="9" xfId="0" applyFont="1" applyFill="1" applyBorder="1"/>
    <xf numFmtId="0" fontId="0" fillId="7" borderId="1" xfId="0" applyFill="1" applyBorder="1"/>
    <xf numFmtId="0" fontId="0" fillId="7" borderId="9" xfId="0" applyFill="1" applyBorder="1"/>
    <xf numFmtId="0" fontId="6" fillId="17" borderId="7" xfId="0" applyFont="1" applyFill="1" applyBorder="1"/>
    <xf numFmtId="0" fontId="0" fillId="17" borderId="2" xfId="0" applyFill="1" applyBorder="1"/>
    <xf numFmtId="0" fontId="0" fillId="17" borderId="8" xfId="0" applyFill="1" applyBorder="1"/>
    <xf numFmtId="0" fontId="6" fillId="17" borderId="6" xfId="0" applyFont="1" applyFill="1" applyBorder="1"/>
    <xf numFmtId="0" fontId="43" fillId="17" borderId="5" xfId="0" applyFont="1" applyFill="1" applyBorder="1"/>
    <xf numFmtId="0" fontId="43" fillId="17" borderId="1" xfId="0" applyFont="1" applyFill="1" applyBorder="1"/>
    <xf numFmtId="0" fontId="10" fillId="16" borderId="17" xfId="0" applyFont="1" applyFill="1" applyBorder="1"/>
    <xf numFmtId="165" fontId="0" fillId="17" borderId="0" xfId="0" applyNumberFormat="1" applyFill="1"/>
    <xf numFmtId="0" fontId="11" fillId="17" borderId="0" xfId="0" applyFont="1" applyFill="1"/>
    <xf numFmtId="3" fontId="11" fillId="17" borderId="0" xfId="0" applyNumberFormat="1" applyFont="1" applyFill="1"/>
    <xf numFmtId="4" fontId="11" fillId="17" borderId="0" xfId="0" applyNumberFormat="1" applyFont="1" applyFill="1"/>
    <xf numFmtId="4" fontId="11" fillId="3" borderId="0" xfId="0" applyNumberFormat="1" applyFont="1" applyFill="1"/>
    <xf numFmtId="0" fontId="0" fillId="3" borderId="1" xfId="0" applyFill="1" applyBorder="1" applyAlignment="1">
      <alignment horizontal="centerContinuous"/>
    </xf>
    <xf numFmtId="0" fontId="15" fillId="7" borderId="0" xfId="0" applyFont="1" applyFill="1" applyProtection="1">
      <protection locked="0" hidden="1"/>
    </xf>
    <xf numFmtId="2" fontId="15" fillId="7" borderId="0" xfId="0" applyNumberFormat="1" applyFont="1" applyFill="1" applyProtection="1">
      <protection hidden="1"/>
    </xf>
    <xf numFmtId="0" fontId="12" fillId="7" borderId="0" xfId="0" applyFont="1" applyFill="1"/>
    <xf numFmtId="0" fontId="12" fillId="7" borderId="0" xfId="0" applyFont="1" applyFill="1" applyProtection="1">
      <protection locked="0" hidden="1"/>
    </xf>
    <xf numFmtId="3" fontId="11" fillId="4" borderId="22" xfId="0" applyNumberFormat="1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Continuous"/>
    </xf>
    <xf numFmtId="0" fontId="11" fillId="4" borderId="11" xfId="0" applyFont="1" applyFill="1" applyBorder="1"/>
    <xf numFmtId="0" fontId="11" fillId="4" borderId="1" xfId="0" applyFont="1" applyFill="1" applyBorder="1"/>
    <xf numFmtId="0" fontId="11" fillId="4" borderId="20" xfId="0" applyFont="1" applyFill="1" applyBorder="1"/>
    <xf numFmtId="0" fontId="11" fillId="4" borderId="25" xfId="0" applyFont="1" applyFill="1" applyBorder="1"/>
    <xf numFmtId="0" fontId="11" fillId="4" borderId="27" xfId="0" applyFont="1" applyFill="1" applyBorder="1" applyAlignment="1">
      <alignment horizontal="centerContinuous"/>
    </xf>
    <xf numFmtId="0" fontId="11" fillId="4" borderId="51" xfId="0" applyFont="1" applyFill="1" applyBorder="1"/>
    <xf numFmtId="0" fontId="11" fillId="4" borderId="25" xfId="0" applyFont="1" applyFill="1" applyBorder="1" applyAlignment="1">
      <alignment horizontal="centerContinuous"/>
    </xf>
    <xf numFmtId="0" fontId="11" fillId="4" borderId="24" xfId="0" applyFont="1" applyFill="1" applyBorder="1"/>
    <xf numFmtId="2" fontId="10" fillId="4" borderId="20" xfId="0" applyNumberFormat="1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2" fontId="11" fillId="4" borderId="30" xfId="0" applyNumberFormat="1" applyFont="1" applyFill="1" applyBorder="1"/>
    <xf numFmtId="2" fontId="10" fillId="4" borderId="18" xfId="0" applyNumberFormat="1" applyFont="1" applyFill="1" applyBorder="1"/>
    <xf numFmtId="0" fontId="11" fillId="4" borderId="19" xfId="0" applyFont="1" applyFill="1" applyBorder="1" applyAlignment="1">
      <alignment horizontal="centerContinuous"/>
    </xf>
    <xf numFmtId="0" fontId="11" fillId="4" borderId="16" xfId="0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61" borderId="19" xfId="0" applyFont="1" applyFill="1" applyBorder="1"/>
    <xf numFmtId="0" fontId="11" fillId="61" borderId="16" xfId="0" applyFont="1" applyFill="1" applyBorder="1"/>
    <xf numFmtId="0" fontId="11" fillId="61" borderId="0" xfId="0" applyFont="1" applyFill="1"/>
    <xf numFmtId="0" fontId="11" fillId="61" borderId="25" xfId="0" applyFont="1" applyFill="1" applyBorder="1"/>
    <xf numFmtId="0" fontId="11" fillId="61" borderId="20" xfId="0" applyFont="1" applyFill="1" applyBorder="1"/>
    <xf numFmtId="0" fontId="11" fillId="61" borderId="18" xfId="0" applyFont="1" applyFill="1" applyBorder="1"/>
    <xf numFmtId="0" fontId="29" fillId="62" borderId="0" xfId="0" applyFont="1" applyFill="1"/>
    <xf numFmtId="0" fontId="44" fillId="62" borderId="14" xfId="0" applyFont="1" applyFill="1" applyBorder="1"/>
    <xf numFmtId="0" fontId="44" fillId="62" borderId="49" xfId="0" applyFont="1" applyFill="1" applyBorder="1"/>
    <xf numFmtId="0" fontId="44" fillId="62" borderId="10" xfId="0" applyFont="1" applyFill="1" applyBorder="1"/>
    <xf numFmtId="0" fontId="29" fillId="63" borderId="0" xfId="0" applyFont="1" applyFill="1"/>
    <xf numFmtId="0" fontId="0" fillId="63" borderId="0" xfId="0" applyFill="1"/>
    <xf numFmtId="0" fontId="44" fillId="63" borderId="14" xfId="0" applyFont="1" applyFill="1" applyBorder="1"/>
    <xf numFmtId="0" fontId="44" fillId="63" borderId="49" xfId="0" applyFont="1" applyFill="1" applyBorder="1"/>
    <xf numFmtId="0" fontId="44" fillId="63" borderId="10" xfId="0" applyFont="1" applyFill="1" applyBorder="1"/>
    <xf numFmtId="0" fontId="29" fillId="63" borderId="49" xfId="0" applyFont="1" applyFill="1" applyBorder="1" applyAlignment="1">
      <alignment horizontal="center"/>
    </xf>
    <xf numFmtId="2" fontId="29" fillId="63" borderId="49" xfId="0" applyNumberFormat="1" applyFont="1" applyFill="1" applyBorder="1" applyAlignment="1">
      <alignment horizontal="center"/>
    </xf>
    <xf numFmtId="0" fontId="29" fillId="63" borderId="10" xfId="0" applyFont="1" applyFill="1" applyBorder="1" applyAlignment="1">
      <alignment horizontal="center"/>
    </xf>
    <xf numFmtId="0" fontId="12" fillId="0" borderId="0" xfId="0" applyFont="1"/>
    <xf numFmtId="0" fontId="29" fillId="64" borderId="0" xfId="0" applyFont="1" applyFill="1"/>
    <xf numFmtId="0" fontId="29" fillId="64" borderId="12" xfId="0" applyFont="1" applyFill="1" applyBorder="1"/>
    <xf numFmtId="0" fontId="29" fillId="64" borderId="11" xfId="0" quotePrefix="1" applyFont="1" applyFill="1" applyBorder="1"/>
    <xf numFmtId="0" fontId="29" fillId="64" borderId="11" xfId="0" applyFont="1" applyFill="1" applyBorder="1"/>
    <xf numFmtId="4" fontId="29" fillId="64" borderId="13" xfId="0" applyNumberFormat="1" applyFont="1" applyFill="1" applyBorder="1"/>
    <xf numFmtId="0" fontId="29" fillId="64" borderId="6" xfId="0" applyFont="1" applyFill="1" applyBorder="1"/>
    <xf numFmtId="0" fontId="29" fillId="64" borderId="4" xfId="0" applyFont="1" applyFill="1" applyBorder="1"/>
    <xf numFmtId="0" fontId="29" fillId="64" borderId="5" xfId="0" applyFont="1" applyFill="1" applyBorder="1"/>
    <xf numFmtId="0" fontId="29" fillId="64" borderId="9" xfId="0" applyFont="1" applyFill="1" applyBorder="1"/>
    <xf numFmtId="0" fontId="29" fillId="65" borderId="0" xfId="0" applyFont="1" applyFill="1"/>
    <xf numFmtId="0" fontId="29" fillId="65" borderId="3" xfId="0" applyFont="1" applyFill="1" applyBorder="1" applyAlignment="1">
      <alignment horizontal="center"/>
    </xf>
    <xf numFmtId="0" fontId="0" fillId="65" borderId="0" xfId="0" applyFill="1"/>
    <xf numFmtId="0" fontId="29" fillId="66" borderId="0" xfId="0" applyFont="1" applyFill="1"/>
    <xf numFmtId="0" fontId="44" fillId="66" borderId="14" xfId="0" applyFont="1" applyFill="1" applyBorder="1" applyAlignment="1">
      <alignment horizontal="center"/>
    </xf>
    <xf numFmtId="0" fontId="44" fillId="66" borderId="49" xfId="0" applyFont="1" applyFill="1" applyBorder="1"/>
    <xf numFmtId="0" fontId="44" fillId="66" borderId="49" xfId="0" applyFont="1" applyFill="1" applyBorder="1" applyAlignment="1">
      <alignment horizontal="center"/>
    </xf>
    <xf numFmtId="0" fontId="44" fillId="66" borderId="10" xfId="0" applyFont="1" applyFill="1" applyBorder="1"/>
    <xf numFmtId="0" fontId="29" fillId="12" borderId="0" xfId="0" applyFont="1" applyFill="1"/>
    <xf numFmtId="0" fontId="29" fillId="12" borderId="12" xfId="0" applyFont="1" applyFill="1" applyBorder="1"/>
    <xf numFmtId="0" fontId="29" fillId="12" borderId="11" xfId="0" applyFont="1" applyFill="1" applyBorder="1"/>
    <xf numFmtId="0" fontId="29" fillId="12" borderId="6" xfId="0" applyFont="1" applyFill="1" applyBorder="1"/>
    <xf numFmtId="0" fontId="29" fillId="12" borderId="5" xfId="0" applyFont="1" applyFill="1" applyBorder="1"/>
    <xf numFmtId="0" fontId="29" fillId="12" borderId="1" xfId="0" applyFont="1" applyFill="1" applyBorder="1"/>
    <xf numFmtId="0" fontId="29" fillId="63" borderId="1" xfId="0" applyFont="1" applyFill="1" applyBorder="1"/>
    <xf numFmtId="168" fontId="6" fillId="6" borderId="4" xfId="0" applyNumberFormat="1" applyFont="1" applyFill="1" applyBorder="1"/>
    <xf numFmtId="168" fontId="0" fillId="6" borderId="4" xfId="0" applyNumberFormat="1" applyFill="1" applyBorder="1"/>
    <xf numFmtId="168" fontId="43" fillId="6" borderId="9" xfId="0" applyNumberFormat="1" applyFont="1" applyFill="1" applyBorder="1"/>
    <xf numFmtId="2" fontId="0" fillId="3" borderId="0" xfId="0" applyNumberFormat="1" applyFill="1"/>
    <xf numFmtId="0" fontId="11" fillId="4" borderId="21" xfId="0" applyFont="1" applyFill="1" applyBorder="1"/>
    <xf numFmtId="0" fontId="11" fillId="4" borderId="22" xfId="0" applyFont="1" applyFill="1" applyBorder="1"/>
    <xf numFmtId="0" fontId="11" fillId="4" borderId="23" xfId="0" applyFont="1" applyFill="1" applyBorder="1"/>
    <xf numFmtId="0" fontId="11" fillId="4" borderId="25" xfId="0" applyFont="1" applyFill="1" applyBorder="1" applyAlignment="1">
      <alignment horizontal="center"/>
    </xf>
    <xf numFmtId="3" fontId="11" fillId="4" borderId="0" xfId="0" applyNumberFormat="1" applyFont="1" applyFill="1"/>
    <xf numFmtId="3" fontId="11" fillId="4" borderId="25" xfId="0" applyNumberFormat="1" applyFont="1" applyFill="1" applyBorder="1"/>
    <xf numFmtId="3" fontId="10" fillId="4" borderId="20" xfId="0" applyNumberFormat="1" applyFont="1" applyFill="1" applyBorder="1"/>
    <xf numFmtId="3" fontId="10" fillId="4" borderId="18" xfId="0" applyNumberFormat="1" applyFont="1" applyFill="1" applyBorder="1"/>
    <xf numFmtId="0" fontId="11" fillId="4" borderId="32" xfId="0" applyFont="1" applyFill="1" applyBorder="1" applyAlignment="1">
      <alignment horizontal="right"/>
    </xf>
    <xf numFmtId="0" fontId="11" fillId="4" borderId="33" xfId="0" applyFont="1" applyFill="1" applyBorder="1" applyAlignment="1">
      <alignment horizontal="left"/>
    </xf>
    <xf numFmtId="0" fontId="11" fillId="4" borderId="33" xfId="0" applyFont="1" applyFill="1" applyBorder="1"/>
    <xf numFmtId="0" fontId="11" fillId="4" borderId="34" xfId="0" applyFont="1" applyFill="1" applyBorder="1"/>
    <xf numFmtId="2" fontId="11" fillId="4" borderId="25" xfId="0" applyNumberFormat="1" applyFont="1" applyFill="1" applyBorder="1"/>
    <xf numFmtId="1" fontId="11" fillId="4" borderId="22" xfId="0" applyNumberFormat="1" applyFont="1" applyFill="1" applyBorder="1" applyAlignment="1">
      <alignment horizontal="right"/>
    </xf>
    <xf numFmtId="0" fontId="11" fillId="4" borderId="30" xfId="0" applyFont="1" applyFill="1" applyBorder="1"/>
    <xf numFmtId="0" fontId="11" fillId="4" borderId="31" xfId="0" applyFont="1" applyFill="1" applyBorder="1"/>
    <xf numFmtId="0" fontId="6" fillId="3" borderId="7" xfId="0" applyFont="1" applyFill="1" applyBorder="1"/>
    <xf numFmtId="0" fontId="1" fillId="3" borderId="7" xfId="0" applyFont="1" applyFill="1" applyBorder="1"/>
    <xf numFmtId="0" fontId="6" fillId="3" borderId="1" xfId="0" applyFont="1" applyFill="1" applyBorder="1" applyAlignment="1">
      <alignment horizontal="center"/>
    </xf>
    <xf numFmtId="4" fontId="0" fillId="3" borderId="0" xfId="0" applyNumberFormat="1" applyFill="1"/>
    <xf numFmtId="0" fontId="45" fillId="63" borderId="3" xfId="0" applyFont="1" applyFill="1" applyBorder="1"/>
    <xf numFmtId="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Continuous"/>
    </xf>
    <xf numFmtId="4" fontId="6" fillId="4" borderId="8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10" fontId="0" fillId="4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Continuous"/>
    </xf>
    <xf numFmtId="0" fontId="10" fillId="5" borderId="1" xfId="0" applyFont="1" applyFill="1" applyBorder="1" applyAlignment="1" applyProtection="1">
      <alignment vertical="center"/>
      <protection locked="0"/>
    </xf>
    <xf numFmtId="0" fontId="8" fillId="5" borderId="0" xfId="0" applyFont="1" applyFill="1"/>
    <xf numFmtId="0" fontId="29" fillId="3" borderId="16" xfId="0" applyFont="1" applyFill="1" applyBorder="1"/>
    <xf numFmtId="0" fontId="29" fillId="3" borderId="17" xfId="0" applyFont="1" applyFill="1" applyBorder="1" applyAlignment="1">
      <alignment horizontal="center"/>
    </xf>
    <xf numFmtId="0" fontId="29" fillId="3" borderId="20" xfId="0" applyFont="1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6" borderId="3" xfId="0" applyNumberFormat="1" applyFill="1" applyBorder="1" applyAlignment="1">
      <alignment horizontal="center"/>
    </xf>
    <xf numFmtId="4" fontId="6" fillId="6" borderId="3" xfId="0" applyNumberFormat="1" applyFont="1" applyFill="1" applyBorder="1"/>
    <xf numFmtId="165" fontId="6" fillId="16" borderId="3" xfId="0" applyNumberFormat="1" applyFont="1" applyFill="1" applyBorder="1" applyAlignment="1">
      <alignment horizontal="centerContinuous"/>
    </xf>
    <xf numFmtId="0" fontId="0" fillId="16" borderId="3" xfId="0" applyFill="1" applyBorder="1" applyAlignment="1">
      <alignment horizontal="centerContinuous"/>
    </xf>
    <xf numFmtId="165" fontId="6" fillId="16" borderId="3" xfId="0" applyNumberFormat="1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0" fillId="6" borderId="0" xfId="0" applyFill="1"/>
    <xf numFmtId="0" fontId="0" fillId="6" borderId="11" xfId="0" applyFill="1" applyBorder="1"/>
    <xf numFmtId="0" fontId="0" fillId="6" borderId="1" xfId="0" applyFill="1" applyBorder="1"/>
    <xf numFmtId="9" fontId="0" fillId="13" borderId="0" xfId="0" applyNumberFormat="1" applyFill="1"/>
    <xf numFmtId="0" fontId="0" fillId="13" borderId="3" xfId="0" applyFill="1" applyBorder="1"/>
    <xf numFmtId="9" fontId="0" fillId="13" borderId="3" xfId="0" applyNumberFormat="1" applyFill="1" applyBorder="1"/>
    <xf numFmtId="3" fontId="0" fillId="67" borderId="3" xfId="0" applyNumberFormat="1" applyFill="1" applyBorder="1" applyAlignment="1">
      <alignment horizontal="center"/>
    </xf>
    <xf numFmtId="3" fontId="0" fillId="67" borderId="8" xfId="0" applyNumberFormat="1" applyFill="1" applyBorder="1" applyAlignment="1">
      <alignment horizontal="center"/>
    </xf>
    <xf numFmtId="3" fontId="6" fillId="67" borderId="3" xfId="0" applyNumberFormat="1" applyFont="1" applyFill="1" applyBorder="1" applyAlignment="1">
      <alignment horizontal="center"/>
    </xf>
    <xf numFmtId="2" fontId="6" fillId="67" borderId="3" xfId="0" applyNumberFormat="1" applyFont="1" applyFill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0" fontId="0" fillId="64" borderId="0" xfId="0" applyFill="1"/>
    <xf numFmtId="0" fontId="11" fillId="22" borderId="80" xfId="0" applyFont="1" applyFill="1" applyBorder="1" applyAlignment="1">
      <alignment horizontal="center"/>
    </xf>
    <xf numFmtId="164" fontId="11" fillId="2" borderId="22" xfId="0" applyNumberFormat="1" applyFont="1" applyFill="1" applyBorder="1" applyProtection="1"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164" fontId="11" fillId="2" borderId="1" xfId="0" applyNumberFormat="1" applyFont="1" applyFill="1" applyBorder="1" applyProtection="1">
      <protection locked="0"/>
    </xf>
    <xf numFmtId="2" fontId="11" fillId="3" borderId="3" xfId="0" applyNumberFormat="1" applyFont="1" applyFill="1" applyBorder="1"/>
    <xf numFmtId="168" fontId="7" fillId="6" borderId="29" xfId="0" applyNumberFormat="1" applyFont="1" applyFill="1" applyBorder="1"/>
    <xf numFmtId="3" fontId="11" fillId="3" borderId="13" xfId="0" applyNumberFormat="1" applyFont="1" applyFill="1" applyBorder="1" applyProtection="1">
      <protection locked="0"/>
    </xf>
    <xf numFmtId="3" fontId="11" fillId="3" borderId="9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0" fontId="11" fillId="22" borderId="24" xfId="0" applyFont="1" applyFill="1" applyBorder="1" applyAlignment="1">
      <alignment horizontal="center"/>
    </xf>
    <xf numFmtId="0" fontId="10" fillId="22" borderId="32" xfId="0" applyFont="1" applyFill="1" applyBorder="1" applyAlignment="1">
      <alignment horizontal="center"/>
    </xf>
    <xf numFmtId="0" fontId="11" fillId="5" borderId="52" xfId="0" applyFont="1" applyFill="1" applyBorder="1"/>
    <xf numFmtId="0" fontId="11" fillId="5" borderId="15" xfId="0" applyFont="1" applyFill="1" applyBorder="1"/>
    <xf numFmtId="3" fontId="13" fillId="0" borderId="39" xfId="0" applyNumberFormat="1" applyFont="1" applyBorder="1" applyAlignment="1" applyProtection="1">
      <alignment horizontal="right"/>
      <protection locked="0"/>
    </xf>
    <xf numFmtId="0" fontId="11" fillId="5" borderId="63" xfId="0" applyFont="1" applyFill="1" applyBorder="1"/>
    <xf numFmtId="2" fontId="0" fillId="0" borderId="0" xfId="0" applyNumberFormat="1"/>
    <xf numFmtId="2" fontId="0" fillId="8" borderId="0" xfId="0" applyNumberFormat="1" applyFill="1"/>
    <xf numFmtId="0" fontId="0" fillId="8" borderId="0" xfId="0" applyFill="1"/>
    <xf numFmtId="0" fontId="0" fillId="15" borderId="0" xfId="0" applyFill="1"/>
    <xf numFmtId="2" fontId="0" fillId="15" borderId="0" xfId="0" applyNumberFormat="1" applyFill="1"/>
    <xf numFmtId="0" fontId="7" fillId="17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17" borderId="1" xfId="0" applyFill="1" applyBorder="1"/>
    <xf numFmtId="0" fontId="6" fillId="0" borderId="1" xfId="0" applyFont="1" applyBorder="1" applyAlignment="1">
      <alignment horizontal="center" wrapText="1"/>
    </xf>
    <xf numFmtId="0" fontId="6" fillId="15" borderId="1" xfId="0" applyFont="1" applyFill="1" applyBorder="1" applyAlignment="1">
      <alignment horizontal="center" wrapText="1"/>
    </xf>
    <xf numFmtId="0" fontId="6" fillId="15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15" borderId="0" xfId="0" applyFont="1" applyFill="1" applyAlignment="1">
      <alignment horizontal="center" wrapText="1"/>
    </xf>
    <xf numFmtId="0" fontId="7" fillId="17" borderId="2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7" borderId="2" xfId="0" applyFill="1" applyBorder="1"/>
    <xf numFmtId="0" fontId="6" fillId="15" borderId="2" xfId="0" applyFont="1" applyFill="1" applyBorder="1" applyAlignment="1">
      <alignment horizontal="center" wrapText="1"/>
    </xf>
    <xf numFmtId="1" fontId="6" fillId="15" borderId="0" xfId="0" applyNumberFormat="1" applyFont="1" applyFill="1"/>
    <xf numFmtId="1" fontId="6" fillId="8" borderId="0" xfId="0" applyNumberFormat="1" applyFont="1" applyFill="1"/>
    <xf numFmtId="1" fontId="6" fillId="0" borderId="0" xfId="0" applyNumberFormat="1" applyFont="1" applyAlignment="1">
      <alignment wrapText="1"/>
    </xf>
    <xf numFmtId="1" fontId="0" fillId="7" borderId="0" xfId="0" applyNumberFormat="1" applyFill="1"/>
    <xf numFmtId="1" fontId="6" fillId="15" borderId="0" xfId="0" applyNumberFormat="1" applyFont="1" applyFill="1" applyAlignment="1">
      <alignment wrapText="1"/>
    </xf>
    <xf numFmtId="0" fontId="6" fillId="15" borderId="1" xfId="0" applyFont="1" applyFill="1" applyBorder="1"/>
    <xf numFmtId="0" fontId="6" fillId="8" borderId="1" xfId="0" applyFont="1" applyFill="1" applyBorder="1"/>
    <xf numFmtId="0" fontId="6" fillId="0" borderId="1" xfId="0" applyFont="1" applyBorder="1" applyAlignment="1">
      <alignment wrapText="1"/>
    </xf>
    <xf numFmtId="0" fontId="6" fillId="15" borderId="1" xfId="0" applyFont="1" applyFill="1" applyBorder="1" applyAlignment="1">
      <alignment wrapText="1"/>
    </xf>
    <xf numFmtId="164" fontId="6" fillId="15" borderId="1" xfId="0" applyNumberFormat="1" applyFont="1" applyFill="1" applyBorder="1"/>
    <xf numFmtId="164" fontId="6" fillId="0" borderId="1" xfId="0" applyNumberFormat="1" applyFont="1" applyBorder="1" applyAlignment="1">
      <alignment wrapText="1"/>
    </xf>
    <xf numFmtId="164" fontId="0" fillId="7" borderId="1" xfId="0" applyNumberFormat="1" applyFill="1" applyBorder="1"/>
    <xf numFmtId="164" fontId="6" fillId="15" borderId="1" xfId="0" applyNumberFormat="1" applyFont="1" applyFill="1" applyBorder="1" applyAlignment="1">
      <alignment wrapText="1"/>
    </xf>
    <xf numFmtId="2" fontId="6" fillId="15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Alignment="1">
      <alignment wrapText="1"/>
    </xf>
    <xf numFmtId="2" fontId="0" fillId="7" borderId="0" xfId="0" applyNumberFormat="1" applyFill="1"/>
    <xf numFmtId="2" fontId="6" fillId="15" borderId="0" xfId="0" applyNumberFormat="1" applyFont="1" applyFill="1" applyAlignment="1">
      <alignment wrapText="1"/>
    </xf>
    <xf numFmtId="2" fontId="6" fillId="15" borderId="1" xfId="0" applyNumberFormat="1" applyFont="1" applyFill="1" applyBorder="1"/>
    <xf numFmtId="2" fontId="6" fillId="8" borderId="1" xfId="0" applyNumberFormat="1" applyFont="1" applyFill="1" applyBorder="1"/>
    <xf numFmtId="2" fontId="6" fillId="0" borderId="1" xfId="0" applyNumberFormat="1" applyFont="1" applyBorder="1" applyAlignment="1">
      <alignment wrapText="1"/>
    </xf>
    <xf numFmtId="2" fontId="0" fillId="7" borderId="1" xfId="0" applyNumberFormat="1" applyFill="1" applyBorder="1"/>
    <xf numFmtId="2" fontId="6" fillId="15" borderId="1" xfId="0" applyNumberFormat="1" applyFont="1" applyFill="1" applyBorder="1" applyAlignment="1">
      <alignment wrapText="1"/>
    </xf>
    <xf numFmtId="164" fontId="6" fillId="15" borderId="0" xfId="0" applyNumberFormat="1" applyFont="1" applyFill="1"/>
    <xf numFmtId="0" fontId="6" fillId="8" borderId="0" xfId="0" applyFont="1" applyFill="1"/>
    <xf numFmtId="164" fontId="6" fillId="0" borderId="0" xfId="0" applyNumberFormat="1" applyFont="1" applyAlignment="1">
      <alignment wrapText="1"/>
    </xf>
    <xf numFmtId="164" fontId="0" fillId="7" borderId="0" xfId="0" applyNumberFormat="1" applyFill="1"/>
    <xf numFmtId="164" fontId="6" fillId="15" borderId="0" xfId="0" applyNumberFormat="1" applyFont="1" applyFill="1" applyAlignment="1">
      <alignment wrapText="1"/>
    </xf>
    <xf numFmtId="0" fontId="6" fillId="17" borderId="1" xfId="0" applyFont="1" applyFill="1" applyBorder="1"/>
    <xf numFmtId="164" fontId="6" fillId="8" borderId="1" xfId="0" applyNumberFormat="1" applyFont="1" applyFill="1" applyBorder="1"/>
    <xf numFmtId="0" fontId="6" fillId="17" borderId="11" xfId="0" applyFont="1" applyFill="1" applyBorder="1"/>
    <xf numFmtId="2" fontId="6" fillId="15" borderId="11" xfId="0" applyNumberFormat="1" applyFont="1" applyFill="1" applyBorder="1"/>
    <xf numFmtId="2" fontId="6" fillId="8" borderId="11" xfId="0" applyNumberFormat="1" applyFont="1" applyFill="1" applyBorder="1"/>
    <xf numFmtId="2" fontId="6" fillId="0" borderId="11" xfId="0" applyNumberFormat="1" applyFont="1" applyBorder="1" applyAlignment="1">
      <alignment wrapText="1"/>
    </xf>
    <xf numFmtId="2" fontId="0" fillId="7" borderId="11" xfId="0" applyNumberFormat="1" applyFill="1" applyBorder="1"/>
    <xf numFmtId="2" fontId="6" fillId="15" borderId="11" xfId="0" applyNumberFormat="1" applyFont="1" applyFill="1" applyBorder="1" applyAlignment="1">
      <alignment wrapText="1"/>
    </xf>
    <xf numFmtId="0" fontId="6" fillId="8" borderId="11" xfId="0" applyFont="1" applyFill="1" applyBorder="1"/>
    <xf numFmtId="164" fontId="0" fillId="7" borderId="11" xfId="0" applyNumberFormat="1" applyFill="1" applyBorder="1"/>
    <xf numFmtId="2" fontId="6" fillId="13" borderId="0" xfId="0" applyNumberFormat="1" applyFont="1" applyFill="1" applyAlignment="1">
      <alignment wrapText="1"/>
    </xf>
    <xf numFmtId="9" fontId="0" fillId="17" borderId="0" xfId="0" applyNumberFormat="1" applyFill="1" applyAlignment="1">
      <alignment horizontal="left"/>
    </xf>
    <xf numFmtId="164" fontId="6" fillId="6" borderId="1" xfId="0" applyNumberFormat="1" applyFont="1" applyFill="1" applyBorder="1" applyAlignment="1">
      <alignment wrapText="1"/>
    </xf>
    <xf numFmtId="2" fontId="6" fillId="6" borderId="1" xfId="0" applyNumberFormat="1" applyFont="1" applyFill="1" applyBorder="1" applyAlignment="1">
      <alignment wrapText="1"/>
    </xf>
    <xf numFmtId="165" fontId="6" fillId="0" borderId="0" xfId="0" applyNumberFormat="1" applyFont="1" applyAlignment="1">
      <alignment wrapText="1"/>
    </xf>
    <xf numFmtId="170" fontId="6" fillId="15" borderId="0" xfId="0" applyNumberFormat="1" applyFont="1" applyFill="1" applyAlignment="1">
      <alignment wrapText="1"/>
    </xf>
    <xf numFmtId="170" fontId="6" fillId="15" borderId="0" xfId="0" applyNumberFormat="1" applyFont="1" applyFill="1"/>
    <xf numFmtId="170" fontId="6" fillId="0" borderId="0" xfId="0" applyNumberFormat="1" applyFont="1" applyAlignment="1">
      <alignment wrapText="1"/>
    </xf>
    <xf numFmtId="0" fontId="7" fillId="17" borderId="1" xfId="0" applyFont="1" applyFill="1" applyBorder="1" applyAlignment="1">
      <alignment horizontal="right"/>
    </xf>
    <xf numFmtId="0" fontId="1" fillId="6" borderId="0" xfId="0" applyFont="1" applyFill="1"/>
    <xf numFmtId="2" fontId="1" fillId="6" borderId="0" xfId="0" applyNumberFormat="1" applyFont="1" applyFill="1"/>
    <xf numFmtId="2" fontId="0" fillId="6" borderId="0" xfId="0" applyNumberFormat="1" applyFill="1"/>
    <xf numFmtId="0" fontId="6" fillId="17" borderId="2" xfId="0" applyFont="1" applyFill="1" applyBorder="1"/>
    <xf numFmtId="1" fontId="6" fillId="15" borderId="2" xfId="0" applyNumberFormat="1" applyFont="1" applyFill="1" applyBorder="1"/>
    <xf numFmtId="0" fontId="6" fillId="8" borderId="2" xfId="0" applyFont="1" applyFill="1" applyBorder="1"/>
    <xf numFmtId="1" fontId="6" fillId="0" borderId="2" xfId="0" applyNumberFormat="1" applyFont="1" applyBorder="1" applyAlignment="1">
      <alignment wrapText="1"/>
    </xf>
    <xf numFmtId="1" fontId="0" fillId="7" borderId="2" xfId="0" applyNumberFormat="1" applyFill="1" applyBorder="1"/>
    <xf numFmtId="1" fontId="6" fillId="15" borderId="2" xfId="0" applyNumberFormat="1" applyFont="1" applyFill="1" applyBorder="1" applyAlignment="1">
      <alignment wrapText="1"/>
    </xf>
    <xf numFmtId="1" fontId="11" fillId="3" borderId="56" xfId="0" applyNumberFormat="1" applyFont="1" applyFill="1" applyBorder="1" applyAlignment="1" applyProtection="1">
      <alignment horizontal="center"/>
      <protection locked="0"/>
    </xf>
    <xf numFmtId="2" fontId="0" fillId="68" borderId="0" xfId="0" applyNumberFormat="1" applyFill="1"/>
    <xf numFmtId="0" fontId="10" fillId="5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1" fillId="62" borderId="0" xfId="0" applyFont="1" applyFill="1"/>
    <xf numFmtId="0" fontId="10" fillId="62" borderId="0" xfId="0" applyFont="1" applyFill="1" applyAlignment="1">
      <alignment horizontal="centerContinuous"/>
    </xf>
    <xf numFmtId="0" fontId="11" fillId="62" borderId="0" xfId="0" applyFont="1" applyFill="1" applyAlignment="1">
      <alignment horizontal="center"/>
    </xf>
    <xf numFmtId="0" fontId="10" fillId="62" borderId="0" xfId="0" applyFont="1" applyFill="1"/>
    <xf numFmtId="0" fontId="10" fillId="4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3" borderId="5" xfId="0" applyFont="1" applyFill="1" applyBorder="1"/>
    <xf numFmtId="0" fontId="0" fillId="15" borderId="1" xfId="0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Continuous"/>
    </xf>
    <xf numFmtId="0" fontId="0" fillId="25" borderId="1" xfId="0" applyFill="1" applyBorder="1" applyAlignment="1">
      <alignment horizontal="center"/>
    </xf>
    <xf numFmtId="0" fontId="6" fillId="25" borderId="1" xfId="0" applyFont="1" applyFill="1" applyBorder="1" applyAlignment="1">
      <alignment horizontal="center"/>
    </xf>
    <xf numFmtId="0" fontId="0" fillId="25" borderId="0" xfId="0" applyFill="1"/>
    <xf numFmtId="0" fontId="6" fillId="17" borderId="1" xfId="0" applyFont="1" applyFill="1" applyBorder="1" applyAlignment="1">
      <alignment horizontal="center"/>
    </xf>
    <xf numFmtId="0" fontId="0" fillId="64" borderId="1" xfId="0" applyFill="1" applyBorder="1" applyAlignment="1">
      <alignment horizontal="center"/>
    </xf>
    <xf numFmtId="0" fontId="6" fillId="64" borderId="1" xfId="0" applyFont="1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6" fillId="65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12" borderId="0" xfId="0" applyFill="1"/>
    <xf numFmtId="2" fontId="11" fillId="3" borderId="0" xfId="1" applyNumberFormat="1" applyFont="1" applyFill="1" applyProtection="1">
      <protection locked="0"/>
    </xf>
    <xf numFmtId="0" fontId="11" fillId="3" borderId="0" xfId="1" applyFont="1" applyFill="1" applyAlignment="1" applyProtection="1">
      <alignment horizontal="center"/>
      <protection locked="0"/>
    </xf>
    <xf numFmtId="165" fontId="11" fillId="3" borderId="0" xfId="1" applyNumberFormat="1" applyFont="1" applyFill="1" applyProtection="1">
      <protection locked="0"/>
    </xf>
    <xf numFmtId="2" fontId="11" fillId="3" borderId="0" xfId="1" applyNumberFormat="1" applyFont="1" applyFill="1" applyAlignment="1" applyProtection="1">
      <alignment horizontal="center"/>
      <protection locked="0"/>
    </xf>
    <xf numFmtId="164" fontId="11" fillId="3" borderId="0" xfId="0" applyNumberFormat="1" applyFont="1" applyFill="1" applyProtection="1">
      <protection hidden="1"/>
    </xf>
    <xf numFmtId="2" fontId="11" fillId="3" borderId="0" xfId="0" applyNumberFormat="1" applyFont="1" applyFill="1" applyProtection="1">
      <protection hidden="1"/>
    </xf>
    <xf numFmtId="9" fontId="11" fillId="3" borderId="0" xfId="0" applyNumberFormat="1" applyFont="1" applyFill="1" applyProtection="1">
      <protection hidden="1"/>
    </xf>
    <xf numFmtId="2" fontId="10" fillId="3" borderId="0" xfId="0" applyNumberFormat="1" applyFont="1" applyFill="1" applyProtection="1">
      <protection hidden="1"/>
    </xf>
    <xf numFmtId="0" fontId="0" fillId="3" borderId="0" xfId="0" applyFill="1" applyAlignment="1">
      <alignment horizontal="center"/>
    </xf>
    <xf numFmtId="0" fontId="0" fillId="9" borderId="0" xfId="0" applyFill="1" applyAlignment="1">
      <alignment horizontal="centerContinuous"/>
    </xf>
    <xf numFmtId="0" fontId="11" fillId="22" borderId="15" xfId="0" applyFont="1" applyFill="1" applyBorder="1" applyAlignment="1" applyProtection="1">
      <alignment horizontal="center"/>
      <protection locked="0"/>
    </xf>
    <xf numFmtId="0" fontId="11" fillId="22" borderId="61" xfId="0" applyFont="1" applyFill="1" applyBorder="1" applyAlignment="1" applyProtection="1">
      <alignment horizontal="center"/>
      <protection locked="0"/>
    </xf>
    <xf numFmtId="0" fontId="11" fillId="22" borderId="16" xfId="0" applyFont="1" applyFill="1" applyBorder="1" applyAlignment="1" applyProtection="1">
      <alignment horizontal="center"/>
      <protection locked="0"/>
    </xf>
    <xf numFmtId="3" fontId="11" fillId="3" borderId="28" xfId="0" applyNumberFormat="1" applyFont="1" applyFill="1" applyBorder="1" applyProtection="1">
      <protection locked="0"/>
    </xf>
    <xf numFmtId="2" fontId="11" fillId="3" borderId="24" xfId="1" applyNumberFormat="1" applyFont="1" applyFill="1" applyBorder="1" applyProtection="1">
      <protection locked="0"/>
    </xf>
    <xf numFmtId="2" fontId="11" fillId="3" borderId="24" xfId="0" applyNumberFormat="1" applyFont="1" applyFill="1" applyBorder="1" applyProtection="1">
      <protection locked="0"/>
    </xf>
    <xf numFmtId="0" fontId="11" fillId="3" borderId="24" xfId="0" applyFont="1" applyFill="1" applyBorder="1" applyProtection="1">
      <protection locked="0"/>
    </xf>
    <xf numFmtId="0" fontId="11" fillId="3" borderId="17" xfId="0" applyFont="1" applyFill="1" applyBorder="1" applyProtection="1">
      <protection locked="0"/>
    </xf>
    <xf numFmtId="2" fontId="11" fillId="9" borderId="15" xfId="0" applyNumberFormat="1" applyFont="1" applyFill="1" applyBorder="1" applyAlignment="1">
      <alignment horizontal="center"/>
    </xf>
    <xf numFmtId="0" fontId="10" fillId="9" borderId="24" xfId="0" applyFont="1" applyFill="1" applyBorder="1" applyAlignment="1">
      <alignment horizontal="centerContinuous"/>
    </xf>
    <xf numFmtId="0" fontId="11" fillId="9" borderId="26" xfId="0" applyFont="1" applyFill="1" applyBorder="1" applyAlignment="1">
      <alignment horizontal="center"/>
    </xf>
    <xf numFmtId="2" fontId="11" fillId="3" borderId="26" xfId="0" applyNumberFormat="1" applyFont="1" applyFill="1" applyBorder="1"/>
    <xf numFmtId="2" fontId="11" fillId="3" borderId="52" xfId="0" applyNumberFormat="1" applyFont="1" applyFill="1" applyBorder="1"/>
    <xf numFmtId="0" fontId="28" fillId="6" borderId="15" xfId="0" applyFont="1" applyFill="1" applyBorder="1" applyAlignment="1">
      <alignment horizontal="centerContinuous"/>
    </xf>
    <xf numFmtId="2" fontId="28" fillId="6" borderId="16" xfId="0" applyNumberFormat="1" applyFont="1" applyFill="1" applyBorder="1" applyAlignment="1">
      <alignment horizontal="centerContinuous"/>
    </xf>
    <xf numFmtId="2" fontId="28" fillId="6" borderId="64" xfId="0" applyNumberFormat="1" applyFont="1" applyFill="1" applyBorder="1"/>
    <xf numFmtId="0" fontId="28" fillId="6" borderId="26" xfId="0" applyFont="1" applyFill="1" applyBorder="1" applyAlignment="1">
      <alignment horizontal="centerContinuous"/>
    </xf>
    <xf numFmtId="0" fontId="13" fillId="6" borderId="27" xfId="0" applyFont="1" applyFill="1" applyBorder="1" applyAlignment="1">
      <alignment horizontal="centerContinuous"/>
    </xf>
    <xf numFmtId="0" fontId="13" fillId="6" borderId="68" xfId="0" applyFont="1" applyFill="1" applyBorder="1"/>
    <xf numFmtId="2" fontId="11" fillId="5" borderId="12" xfId="0" applyNumberFormat="1" applyFont="1" applyFill="1" applyBorder="1"/>
    <xf numFmtId="1" fontId="11" fillId="7" borderId="19" xfId="0" applyNumberFormat="1" applyFont="1" applyFill="1" applyBorder="1"/>
    <xf numFmtId="1" fontId="11" fillId="7" borderId="0" xfId="0" applyNumberFormat="1" applyFont="1" applyFill="1"/>
    <xf numFmtId="1" fontId="11" fillId="7" borderId="20" xfId="0" applyNumberFormat="1" applyFont="1" applyFill="1" applyBorder="1"/>
    <xf numFmtId="1" fontId="11" fillId="7" borderId="16" xfId="0" applyNumberFormat="1" applyFont="1" applyFill="1" applyBorder="1"/>
    <xf numFmtId="1" fontId="11" fillId="7" borderId="25" xfId="0" applyNumberFormat="1" applyFont="1" applyFill="1" applyBorder="1"/>
    <xf numFmtId="1" fontId="0" fillId="15" borderId="3" xfId="0" applyNumberFormat="1" applyFill="1" applyBorder="1" applyAlignment="1">
      <alignment horizontal="center"/>
    </xf>
    <xf numFmtId="0" fontId="11" fillId="58" borderId="68" xfId="0" applyFont="1" applyFill="1" applyBorder="1"/>
    <xf numFmtId="0" fontId="11" fillId="58" borderId="69" xfId="0" applyFont="1" applyFill="1" applyBorder="1"/>
    <xf numFmtId="2" fontId="11" fillId="58" borderId="63" xfId="0" applyNumberFormat="1" applyFont="1" applyFill="1" applyBorder="1"/>
    <xf numFmtId="0" fontId="11" fillId="3" borderId="0" xfId="1" applyFont="1" applyFill="1" applyProtection="1">
      <protection locked="0"/>
    </xf>
    <xf numFmtId="168" fontId="6" fillId="0" borderId="0" xfId="0" applyNumberFormat="1" applyFont="1" applyAlignment="1">
      <alignment wrapText="1"/>
    </xf>
    <xf numFmtId="0" fontId="10" fillId="9" borderId="83" xfId="0" applyFont="1" applyFill="1" applyBorder="1"/>
    <xf numFmtId="0" fontId="11" fillId="9" borderId="49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2" fontId="11" fillId="17" borderId="0" xfId="0" applyNumberFormat="1" applyFont="1" applyFill="1"/>
    <xf numFmtId="2" fontId="11" fillId="17" borderId="20" xfId="0" applyNumberFormat="1" applyFont="1" applyFill="1" applyBorder="1"/>
    <xf numFmtId="2" fontId="11" fillId="17" borderId="19" xfId="0" applyNumberFormat="1" applyFont="1" applyFill="1" applyBorder="1"/>
    <xf numFmtId="2" fontId="11" fillId="17" borderId="1" xfId="0" applyNumberFormat="1" applyFont="1" applyFill="1" applyBorder="1"/>
    <xf numFmtId="0" fontId="10" fillId="9" borderId="53" xfId="0" applyFont="1" applyFill="1" applyBorder="1" applyAlignment="1">
      <alignment horizontal="center"/>
    </xf>
    <xf numFmtId="10" fontId="11" fillId="9" borderId="3" xfId="0" applyNumberFormat="1" applyFont="1" applyFill="1" applyBorder="1" applyAlignment="1">
      <alignment horizontal="center"/>
    </xf>
    <xf numFmtId="168" fontId="11" fillId="3" borderId="0" xfId="0" applyNumberFormat="1" applyFont="1" applyFill="1"/>
    <xf numFmtId="2" fontId="11" fillId="69" borderId="19" xfId="0" applyNumberFormat="1" applyFont="1" applyFill="1" applyBorder="1"/>
    <xf numFmtId="2" fontId="11" fillId="69" borderId="0" xfId="0" applyNumberFormat="1" applyFont="1" applyFill="1"/>
    <xf numFmtId="2" fontId="11" fillId="69" borderId="20" xfId="0" applyNumberFormat="1" applyFont="1" applyFill="1" applyBorder="1"/>
    <xf numFmtId="2" fontId="11" fillId="69" borderId="1" xfId="0" applyNumberFormat="1" applyFont="1" applyFill="1" applyBorder="1"/>
    <xf numFmtId="2" fontId="10" fillId="69" borderId="0" xfId="0" applyNumberFormat="1" applyFont="1" applyFill="1"/>
    <xf numFmtId="171" fontId="10" fillId="69" borderId="0" xfId="0" applyNumberFormat="1" applyFont="1" applyFill="1"/>
    <xf numFmtId="0" fontId="11" fillId="24" borderId="32" xfId="0" applyFont="1" applyFill="1" applyBorder="1" applyAlignment="1">
      <alignment horizontal="centerContinuous"/>
    </xf>
    <xf numFmtId="0" fontId="0" fillId="22" borderId="18" xfId="0" applyFill="1" applyBorder="1"/>
    <xf numFmtId="0" fontId="0" fillId="24" borderId="33" xfId="0" applyFill="1" applyBorder="1" applyAlignment="1">
      <alignment horizontal="centerContinuous"/>
    </xf>
    <xf numFmtId="0" fontId="11" fillId="24" borderId="82" xfId="0" applyFont="1" applyFill="1" applyBorder="1" applyAlignment="1">
      <alignment horizontal="center"/>
    </xf>
    <xf numFmtId="0" fontId="10" fillId="22" borderId="17" xfId="0" applyFont="1" applyFill="1" applyBorder="1"/>
    <xf numFmtId="1" fontId="11" fillId="24" borderId="20" xfId="0" applyNumberFormat="1" applyFont="1" applyFill="1" applyBorder="1" applyAlignment="1">
      <alignment horizontal="center"/>
    </xf>
    <xf numFmtId="0" fontId="6" fillId="25" borderId="1" xfId="0" applyFont="1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64" borderId="0" xfId="0" applyFill="1" applyAlignment="1">
      <alignment horizontal="center"/>
    </xf>
    <xf numFmtId="0" fontId="0" fillId="6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6" fillId="25" borderId="0" xfId="0" applyFont="1" applyFill="1" applyAlignment="1">
      <alignment horizontal="center"/>
    </xf>
    <xf numFmtId="0" fontId="6" fillId="64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65" borderId="0" xfId="0" applyFont="1" applyFill="1" applyAlignment="1">
      <alignment horizontal="center"/>
    </xf>
    <xf numFmtId="2" fontId="11" fillId="12" borderId="0" xfId="0" applyNumberFormat="1" applyFont="1" applyFill="1" applyProtection="1">
      <protection locked="0"/>
    </xf>
    <xf numFmtId="2" fontId="11" fillId="12" borderId="0" xfId="0" applyNumberFormat="1" applyFont="1" applyFill="1" applyAlignment="1" applyProtection="1">
      <alignment horizontal="center"/>
      <protection locked="0"/>
    </xf>
    <xf numFmtId="0" fontId="11" fillId="15" borderId="3" xfId="0" applyFont="1" applyFill="1" applyBorder="1" applyAlignment="1">
      <alignment horizontal="center"/>
    </xf>
    <xf numFmtId="0" fontId="11" fillId="10" borderId="0" xfId="0" applyFont="1" applyFill="1"/>
    <xf numFmtId="0" fontId="11" fillId="10" borderId="0" xfId="0" applyFont="1" applyFill="1" applyAlignment="1">
      <alignment horizontal="center" wrapText="1"/>
    </xf>
    <xf numFmtId="0" fontId="11" fillId="10" borderId="0" xfId="0" applyFont="1" applyFill="1" applyAlignment="1">
      <alignment horizontal="center"/>
    </xf>
    <xf numFmtId="0" fontId="11" fillId="62" borderId="3" xfId="0" applyFont="1" applyFill="1" applyBorder="1"/>
    <xf numFmtId="0" fontId="11" fillId="64" borderId="3" xfId="0" applyFont="1" applyFill="1" applyBorder="1" applyAlignment="1">
      <alignment horizontal="center"/>
    </xf>
    <xf numFmtId="0" fontId="13" fillId="10" borderId="0" xfId="0" applyFont="1" applyFill="1"/>
    <xf numFmtId="0" fontId="11" fillId="62" borderId="8" xfId="0" applyFont="1" applyFill="1" applyBorder="1"/>
    <xf numFmtId="0" fontId="6" fillId="11" borderId="0" xfId="0" applyFont="1" applyFill="1"/>
    <xf numFmtId="0" fontId="20" fillId="11" borderId="0" xfId="0" applyFont="1" applyFill="1"/>
    <xf numFmtId="4" fontId="11" fillId="17" borderId="0" xfId="1" applyNumberFormat="1" applyFont="1" applyFill="1" applyAlignment="1">
      <alignment horizontal="right"/>
    </xf>
    <xf numFmtId="166" fontId="10" fillId="17" borderId="0" xfId="1" applyNumberFormat="1" applyFont="1" applyFill="1" applyAlignment="1">
      <alignment horizontal="right"/>
    </xf>
    <xf numFmtId="4" fontId="10" fillId="17" borderId="0" xfId="1" applyNumberFormat="1" applyFont="1" applyFill="1" applyAlignment="1">
      <alignment horizontal="right"/>
    </xf>
    <xf numFmtId="0" fontId="11" fillId="17" borderId="0" xfId="1" applyFont="1" applyFill="1" applyAlignment="1">
      <alignment horizontal="center"/>
    </xf>
    <xf numFmtId="4" fontId="11" fillId="13" borderId="0" xfId="1" applyNumberFormat="1" applyFont="1" applyFill="1" applyAlignment="1">
      <alignment horizontal="right"/>
    </xf>
    <xf numFmtId="9" fontId="11" fillId="3" borderId="49" xfId="0" applyNumberFormat="1" applyFont="1" applyFill="1" applyBorder="1"/>
    <xf numFmtId="4" fontId="11" fillId="3" borderId="14" xfId="0" applyNumberFormat="1" applyFont="1" applyFill="1" applyBorder="1"/>
    <xf numFmtId="0" fontId="0" fillId="3" borderId="49" xfId="0" applyFill="1" applyBorder="1"/>
    <xf numFmtId="0" fontId="13" fillId="3" borderId="0" xfId="1" applyFont="1" applyFill="1"/>
    <xf numFmtId="2" fontId="13" fillId="3" borderId="49" xfId="0" applyNumberFormat="1" applyFont="1" applyFill="1" applyBorder="1"/>
    <xf numFmtId="0" fontId="1" fillId="3" borderId="0" xfId="0" applyFont="1" applyFill="1"/>
    <xf numFmtId="0" fontId="1" fillId="3" borderId="49" xfId="0" applyFont="1" applyFill="1" applyBorder="1"/>
    <xf numFmtId="4" fontId="13" fillId="3" borderId="49" xfId="0" applyNumberFormat="1" applyFont="1" applyFill="1" applyBorder="1"/>
    <xf numFmtId="0" fontId="0" fillId="70" borderId="0" xfId="0" applyFill="1"/>
    <xf numFmtId="0" fontId="11" fillId="3" borderId="0" xfId="1" applyFont="1" applyFill="1" applyAlignment="1">
      <alignment horizontal="center"/>
    </xf>
    <xf numFmtId="4" fontId="10" fillId="3" borderId="0" xfId="1" applyNumberFormat="1" applyFont="1" applyFill="1" applyAlignment="1">
      <alignment horizontal="right"/>
    </xf>
    <xf numFmtId="0" fontId="11" fillId="4" borderId="19" xfId="0" applyFont="1" applyFill="1" applyBorder="1"/>
    <xf numFmtId="10" fontId="6" fillId="4" borderId="3" xfId="0" applyNumberFormat="1" applyFont="1" applyFill="1" applyBorder="1" applyAlignment="1">
      <alignment horizontal="center"/>
    </xf>
    <xf numFmtId="10" fontId="6" fillId="4" borderId="8" xfId="0" applyNumberFormat="1" applyFont="1" applyFill="1" applyBorder="1" applyAlignment="1">
      <alignment horizontal="center"/>
    </xf>
    <xf numFmtId="2" fontId="11" fillId="15" borderId="19" xfId="0" applyNumberFormat="1" applyFont="1" applyFill="1" applyBorder="1"/>
    <xf numFmtId="2" fontId="11" fillId="15" borderId="0" xfId="0" applyNumberFormat="1" applyFont="1" applyFill="1"/>
    <xf numFmtId="2" fontId="11" fillId="15" borderId="20" xfId="0" applyNumberFormat="1" applyFont="1" applyFill="1" applyBorder="1"/>
    <xf numFmtId="2" fontId="11" fillId="15" borderId="1" xfId="0" applyNumberFormat="1" applyFont="1" applyFill="1" applyBorder="1"/>
    <xf numFmtId="2" fontId="11" fillId="15" borderId="11" xfId="0" applyNumberFormat="1" applyFont="1" applyFill="1" applyBorder="1"/>
    <xf numFmtId="9" fontId="11" fillId="2" borderId="3" xfId="0" applyNumberFormat="1" applyFont="1" applyFill="1" applyBorder="1" applyProtection="1">
      <protection locked="0"/>
    </xf>
    <xf numFmtId="2" fontId="13" fillId="3" borderId="3" xfId="0" applyNumberFormat="1" applyFont="1" applyFill="1" applyBorder="1"/>
    <xf numFmtId="0" fontId="13" fillId="24" borderId="12" xfId="0" applyFont="1" applyFill="1" applyBorder="1" applyProtection="1">
      <protection locked="0"/>
    </xf>
    <xf numFmtId="0" fontId="13" fillId="24" borderId="11" xfId="0" applyFont="1" applyFill="1" applyBorder="1"/>
    <xf numFmtId="2" fontId="13" fillId="24" borderId="11" xfId="0" applyNumberFormat="1" applyFont="1" applyFill="1" applyBorder="1" applyAlignment="1">
      <alignment horizontal="center"/>
    </xf>
    <xf numFmtId="2" fontId="13" fillId="24" borderId="13" xfId="0" applyNumberFormat="1" applyFont="1" applyFill="1" applyBorder="1" applyAlignment="1">
      <alignment horizontal="center"/>
    </xf>
    <xf numFmtId="0" fontId="13" fillId="24" borderId="5" xfId="0" applyFont="1" applyFill="1" applyBorder="1" applyProtection="1">
      <protection locked="0"/>
    </xf>
    <xf numFmtId="0" fontId="13" fillId="24" borderId="1" xfId="0" applyFont="1" applyFill="1" applyBorder="1" applyAlignment="1">
      <alignment horizontal="center"/>
    </xf>
    <xf numFmtId="2" fontId="13" fillId="24" borderId="1" xfId="0" applyNumberFormat="1" applyFont="1" applyFill="1" applyBorder="1" applyAlignment="1">
      <alignment horizontal="center"/>
    </xf>
    <xf numFmtId="2" fontId="13" fillId="24" borderId="9" xfId="0" applyNumberFormat="1" applyFont="1" applyFill="1" applyBorder="1" applyAlignment="1">
      <alignment horizontal="center"/>
    </xf>
    <xf numFmtId="10" fontId="11" fillId="6" borderId="7" xfId="0" applyNumberFormat="1" applyFont="1" applyFill="1" applyBorder="1" applyAlignment="1">
      <alignment horizontal="center"/>
    </xf>
    <xf numFmtId="0" fontId="6" fillId="15" borderId="0" xfId="0" applyFont="1" applyFill="1"/>
    <xf numFmtId="3" fontId="10" fillId="3" borderId="82" xfId="0" applyNumberFormat="1" applyFont="1" applyFill="1" applyBorder="1" applyProtection="1">
      <protection locked="0"/>
    </xf>
    <xf numFmtId="0" fontId="10" fillId="9" borderId="0" xfId="0" applyFont="1" applyFill="1" applyAlignment="1">
      <alignment horizontal="centerContinuous"/>
    </xf>
    <xf numFmtId="0" fontId="11" fillId="9" borderId="32" xfId="0" applyFont="1" applyFill="1" applyBorder="1" applyAlignment="1">
      <alignment horizontal="right"/>
    </xf>
    <xf numFmtId="0" fontId="11" fillId="9" borderId="33" xfId="0" applyFont="1" applyFill="1" applyBorder="1" applyAlignment="1">
      <alignment horizontal="left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21" xfId="0" applyFont="1" applyFill="1" applyBorder="1"/>
    <xf numFmtId="0" fontId="11" fillId="9" borderId="22" xfId="0" applyFont="1" applyFill="1" applyBorder="1"/>
    <xf numFmtId="0" fontId="11" fillId="9" borderId="23" xfId="0" applyFont="1" applyFill="1" applyBorder="1"/>
    <xf numFmtId="0" fontId="11" fillId="9" borderId="24" xfId="0" applyFont="1" applyFill="1" applyBorder="1"/>
    <xf numFmtId="0" fontId="11" fillId="9" borderId="27" xfId="0" applyFont="1" applyFill="1" applyBorder="1" applyAlignment="1">
      <alignment horizontal="center"/>
    </xf>
    <xf numFmtId="3" fontId="11" fillId="9" borderId="0" xfId="0" applyNumberFormat="1" applyFont="1" applyFill="1"/>
    <xf numFmtId="3" fontId="11" fillId="9" borderId="25" xfId="0" applyNumberFormat="1" applyFont="1" applyFill="1" applyBorder="1"/>
    <xf numFmtId="0" fontId="10" fillId="9" borderId="17" xfId="0" applyFont="1" applyFill="1" applyBorder="1"/>
    <xf numFmtId="3" fontId="10" fillId="9" borderId="20" xfId="0" applyNumberFormat="1" applyFont="1" applyFill="1" applyBorder="1"/>
    <xf numFmtId="3" fontId="10" fillId="9" borderId="18" xfId="0" applyNumberFormat="1" applyFont="1" applyFill="1" applyBorder="1"/>
    <xf numFmtId="1" fontId="11" fillId="9" borderId="22" xfId="0" applyNumberFormat="1" applyFont="1" applyFill="1" applyBorder="1" applyAlignment="1">
      <alignment horizontal="right"/>
    </xf>
    <xf numFmtId="2" fontId="11" fillId="9" borderId="0" xfId="0" applyNumberFormat="1" applyFont="1" applyFill="1"/>
    <xf numFmtId="2" fontId="11" fillId="9" borderId="25" xfId="0" applyNumberFormat="1" applyFont="1" applyFill="1" applyBorder="1"/>
    <xf numFmtId="2" fontId="10" fillId="9" borderId="20" xfId="0" applyNumberFormat="1" applyFont="1" applyFill="1" applyBorder="1"/>
    <xf numFmtId="2" fontId="10" fillId="9" borderId="18" xfId="0" applyNumberFormat="1" applyFont="1" applyFill="1" applyBorder="1"/>
    <xf numFmtId="0" fontId="6" fillId="61" borderId="1" xfId="0" applyFont="1" applyFill="1" applyBorder="1" applyAlignment="1">
      <alignment horizontal="center"/>
    </xf>
    <xf numFmtId="0" fontId="0" fillId="61" borderId="0" xfId="0" applyFill="1"/>
    <xf numFmtId="0" fontId="0" fillId="61" borderId="0" xfId="0" applyFill="1" applyAlignment="1">
      <alignment horizontal="center"/>
    </xf>
    <xf numFmtId="0" fontId="6" fillId="61" borderId="0" xfId="0" applyFont="1" applyFill="1" applyAlignment="1">
      <alignment horizontal="center"/>
    </xf>
    <xf numFmtId="0" fontId="6" fillId="61" borderId="0" xfId="0" applyFont="1" applyFill="1"/>
    <xf numFmtId="0" fontId="28" fillId="3" borderId="0" xfId="0" applyFont="1" applyFill="1" applyAlignment="1">
      <alignment horizontal="left"/>
    </xf>
    <xf numFmtId="0" fontId="11" fillId="13" borderId="0" xfId="0" applyFont="1" applyFill="1" applyAlignment="1">
      <alignment horizontal="center"/>
    </xf>
    <xf numFmtId="0" fontId="11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/>
    <xf numFmtId="165" fontId="11" fillId="3" borderId="0" xfId="0" applyNumberFormat="1" applyFont="1" applyFill="1" applyAlignment="1">
      <alignment horizontal="center" wrapText="1"/>
    </xf>
    <xf numFmtId="4" fontId="11" fillId="3" borderId="10" xfId="0" applyNumberFormat="1" applyFont="1" applyFill="1" applyBorder="1"/>
    <xf numFmtId="0" fontId="11" fillId="3" borderId="2" xfId="0" applyFont="1" applyFill="1" applyBorder="1"/>
    <xf numFmtId="0" fontId="11" fillId="3" borderId="1" xfId="1" applyFont="1" applyFill="1" applyBorder="1"/>
    <xf numFmtId="2" fontId="13" fillId="9" borderId="14" xfId="0" applyNumberFormat="1" applyFont="1" applyFill="1" applyBorder="1"/>
    <xf numFmtId="2" fontId="13" fillId="9" borderId="49" xfId="0" applyNumberFormat="1" applyFont="1" applyFill="1" applyBorder="1"/>
    <xf numFmtId="2" fontId="13" fillId="9" borderId="10" xfId="0" applyNumberFormat="1" applyFont="1" applyFill="1" applyBorder="1"/>
    <xf numFmtId="2" fontId="11" fillId="3" borderId="8" xfId="0" applyNumberFormat="1" applyFont="1" applyFill="1" applyBorder="1"/>
    <xf numFmtId="2" fontId="15" fillId="3" borderId="0" xfId="0" applyNumberFormat="1" applyFont="1" applyFill="1" applyProtection="1">
      <protection hidden="1"/>
    </xf>
    <xf numFmtId="0" fontId="15" fillId="3" borderId="0" xfId="0" applyFont="1" applyFill="1" applyProtection="1">
      <protection locked="0" hidden="1"/>
    </xf>
    <xf numFmtId="0" fontId="6" fillId="3" borderId="0" xfId="0" applyFont="1" applyFill="1" applyProtection="1">
      <protection locked="0" hidden="1"/>
    </xf>
    <xf numFmtId="0" fontId="12" fillId="3" borderId="0" xfId="0" applyFont="1" applyFill="1" applyProtection="1">
      <protection hidden="1"/>
    </xf>
    <xf numFmtId="164" fontId="11" fillId="10" borderId="0" xfId="0" applyNumberFormat="1" applyFont="1" applyFill="1"/>
    <xf numFmtId="164" fontId="11" fillId="10" borderId="1" xfId="0" applyNumberFormat="1" applyFont="1" applyFill="1" applyBorder="1"/>
    <xf numFmtId="2" fontId="11" fillId="2" borderId="0" xfId="0" applyNumberFormat="1" applyFont="1" applyFill="1" applyAlignment="1" applyProtection="1">
      <alignment horizontal="right" vertical="center"/>
      <protection locked="0"/>
    </xf>
    <xf numFmtId="0" fontId="6" fillId="25" borderId="0" xfId="0" applyFont="1" applyFill="1"/>
    <xf numFmtId="0" fontId="6" fillId="64" borderId="0" xfId="0" applyFont="1" applyFill="1"/>
    <xf numFmtId="0" fontId="6" fillId="65" borderId="0" xfId="0" applyFont="1" applyFill="1"/>
    <xf numFmtId="2" fontId="0" fillId="17" borderId="0" xfId="0" applyNumberFormat="1" applyFill="1"/>
    <xf numFmtId="2" fontId="0" fillId="25" borderId="0" xfId="0" applyNumberFormat="1" applyFill="1"/>
    <xf numFmtId="2" fontId="0" fillId="12" borderId="0" xfId="0" applyNumberFormat="1" applyFill="1"/>
    <xf numFmtId="2" fontId="0" fillId="61" borderId="0" xfId="0" applyNumberFormat="1" applyFill="1"/>
    <xf numFmtId="2" fontId="0" fillId="65" borderId="0" xfId="0" applyNumberFormat="1" applyFill="1"/>
    <xf numFmtId="2" fontId="0" fillId="64" borderId="0" xfId="0" applyNumberFormat="1" applyFill="1"/>
    <xf numFmtId="1" fontId="6" fillId="0" borderId="1" xfId="0" applyNumberFormat="1" applyFont="1" applyBorder="1" applyAlignment="1">
      <alignment wrapText="1"/>
    </xf>
    <xf numFmtId="1" fontId="6" fillId="15" borderId="1" xfId="0" applyNumberFormat="1" applyFont="1" applyFill="1" applyBorder="1" applyAlignment="1">
      <alignment wrapText="1"/>
    </xf>
    <xf numFmtId="1" fontId="6" fillId="15" borderId="1" xfId="0" applyNumberFormat="1" applyFont="1" applyFill="1" applyBorder="1"/>
    <xf numFmtId="2" fontId="13" fillId="3" borderId="10" xfId="0" applyNumberFormat="1" applyFont="1" applyFill="1" applyBorder="1"/>
    <xf numFmtId="2" fontId="13" fillId="3" borderId="49" xfId="0" applyNumberFormat="1" applyFont="1" applyFill="1" applyBorder="1" applyAlignment="1">
      <alignment horizontal="right"/>
    </xf>
    <xf numFmtId="0" fontId="49" fillId="3" borderId="0" xfId="1" applyFont="1" applyFill="1"/>
    <xf numFmtId="0" fontId="15" fillId="3" borderId="3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Continuous"/>
    </xf>
    <xf numFmtId="0" fontId="15" fillId="3" borderId="2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12" fillId="3" borderId="12" xfId="0" applyFont="1" applyFill="1" applyBorder="1" applyAlignment="1" applyProtection="1">
      <alignment horizontal="center"/>
      <protection locked="0" hidden="1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5" xfId="0" applyFont="1" applyFill="1" applyBorder="1" applyAlignment="1" applyProtection="1">
      <alignment horizontal="center"/>
      <protection locked="0" hidden="1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2" xfId="0" applyFont="1" applyFill="1" applyBorder="1" applyProtection="1">
      <protection locked="0" hidden="1"/>
    </xf>
    <xf numFmtId="2" fontId="12" fillId="3" borderId="12" xfId="0" applyNumberFormat="1" applyFont="1" applyFill="1" applyBorder="1" applyProtection="1">
      <protection hidden="1"/>
    </xf>
    <xf numFmtId="2" fontId="12" fillId="3" borderId="11" xfId="0" applyNumberFormat="1" applyFont="1" applyFill="1" applyBorder="1" applyProtection="1">
      <protection hidden="1"/>
    </xf>
    <xf numFmtId="2" fontId="12" fillId="3" borderId="13" xfId="0" applyNumberFormat="1" applyFont="1" applyFill="1" applyBorder="1" applyProtection="1">
      <protection hidden="1"/>
    </xf>
    <xf numFmtId="0" fontId="12" fillId="3" borderId="6" xfId="0" applyFont="1" applyFill="1" applyBorder="1" applyProtection="1">
      <protection locked="0" hidden="1"/>
    </xf>
    <xf numFmtId="2" fontId="12" fillId="3" borderId="6" xfId="0" applyNumberFormat="1" applyFont="1" applyFill="1" applyBorder="1" applyProtection="1">
      <protection hidden="1"/>
    </xf>
    <xf numFmtId="2" fontId="12" fillId="3" borderId="0" xfId="0" applyNumberFormat="1" applyFont="1" applyFill="1" applyProtection="1">
      <protection hidden="1"/>
    </xf>
    <xf numFmtId="2" fontId="12" fillId="3" borderId="4" xfId="0" applyNumberFormat="1" applyFont="1" applyFill="1" applyBorder="1" applyProtection="1">
      <protection hidden="1"/>
    </xf>
    <xf numFmtId="0" fontId="12" fillId="3" borderId="14" xfId="0" applyFont="1" applyFill="1" applyBorder="1" applyProtection="1">
      <protection locked="0" hidden="1"/>
    </xf>
    <xf numFmtId="0" fontId="12" fillId="3" borderId="49" xfId="0" applyFont="1" applyFill="1" applyBorder="1" applyProtection="1">
      <protection locked="0" hidden="1"/>
    </xf>
    <xf numFmtId="0" fontId="12" fillId="3" borderId="10" xfId="0" applyFont="1" applyFill="1" applyBorder="1" applyProtection="1">
      <protection locked="0" hidden="1"/>
    </xf>
    <xf numFmtId="2" fontId="12" fillId="3" borderId="5" xfId="0" applyNumberFormat="1" applyFont="1" applyFill="1" applyBorder="1" applyProtection="1">
      <protection hidden="1"/>
    </xf>
    <xf numFmtId="2" fontId="12" fillId="3" borderId="1" xfId="0" applyNumberFormat="1" applyFont="1" applyFill="1" applyBorder="1" applyProtection="1">
      <protection hidden="1"/>
    </xf>
    <xf numFmtId="2" fontId="12" fillId="3" borderId="9" xfId="0" applyNumberFormat="1" applyFont="1" applyFill="1" applyBorder="1" applyProtection="1">
      <protection hidden="1"/>
    </xf>
    <xf numFmtId="0" fontId="12" fillId="3" borderId="11" xfId="0" applyFont="1" applyFill="1" applyBorder="1" applyAlignment="1">
      <alignment horizontal="center" wrapText="1"/>
    </xf>
    <xf numFmtId="1" fontId="11" fillId="3" borderId="15" xfId="0" applyNumberFormat="1" applyFont="1" applyFill="1" applyBorder="1"/>
    <xf numFmtId="1" fontId="11" fillId="3" borderId="24" xfId="0" applyNumberFormat="1" applyFont="1" applyFill="1" applyBorder="1"/>
    <xf numFmtId="1" fontId="11" fillId="3" borderId="17" xfId="0" applyNumberFormat="1" applyFont="1" applyFill="1" applyBorder="1"/>
    <xf numFmtId="1" fontId="11" fillId="3" borderId="26" xfId="0" applyNumberFormat="1" applyFont="1" applyFill="1" applyBorder="1"/>
    <xf numFmtId="4" fontId="11" fillId="0" borderId="0" xfId="0" applyNumberFormat="1" applyFont="1"/>
    <xf numFmtId="9" fontId="11" fillId="3" borderId="3" xfId="0" applyNumberFormat="1" applyFont="1" applyFill="1" applyBorder="1"/>
    <xf numFmtId="1" fontId="11" fillId="3" borderId="3" xfId="0" applyNumberFormat="1" applyFont="1" applyFill="1" applyBorder="1"/>
    <xf numFmtId="2" fontId="10" fillId="3" borderId="0" xfId="0" applyNumberFormat="1" applyFont="1" applyFill="1" applyAlignment="1">
      <alignment horizontal="left"/>
    </xf>
    <xf numFmtId="166" fontId="11" fillId="3" borderId="0" xfId="1" applyNumberFormat="1" applyFont="1" applyFill="1"/>
    <xf numFmtId="9" fontId="11" fillId="3" borderId="0" xfId="0" applyNumberFormat="1" applyFont="1" applyFill="1" applyAlignment="1">
      <alignment horizontal="left"/>
    </xf>
    <xf numFmtId="0" fontId="10" fillId="71" borderId="0" xfId="1" applyFont="1" applyFill="1"/>
    <xf numFmtId="2" fontId="10" fillId="71" borderId="0" xfId="0" applyNumberFormat="1" applyFont="1" applyFill="1"/>
    <xf numFmtId="0" fontId="10" fillId="71" borderId="0" xfId="0" applyFont="1" applyFill="1"/>
    <xf numFmtId="2" fontId="6" fillId="13" borderId="3" xfId="0" applyNumberFormat="1" applyFont="1" applyFill="1" applyBorder="1" applyAlignment="1" applyProtection="1">
      <alignment horizontal="right"/>
      <protection locked="0"/>
    </xf>
    <xf numFmtId="0" fontId="11" fillId="3" borderId="44" xfId="0" applyFont="1" applyFill="1" applyBorder="1" applyProtection="1">
      <protection locked="0"/>
    </xf>
    <xf numFmtId="0" fontId="9" fillId="7" borderId="14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right"/>
    </xf>
    <xf numFmtId="4" fontId="8" fillId="7" borderId="49" xfId="0" applyNumberFormat="1" applyFont="1" applyFill="1" applyBorder="1" applyAlignment="1">
      <alignment horizontal="right"/>
    </xf>
    <xf numFmtId="2" fontId="8" fillId="7" borderId="49" xfId="0" applyNumberFormat="1" applyFont="1" applyFill="1" applyBorder="1" applyAlignment="1">
      <alignment horizontal="right"/>
    </xf>
    <xf numFmtId="4" fontId="8" fillId="7" borderId="10" xfId="0" applyNumberFormat="1" applyFont="1" applyFill="1" applyBorder="1" applyAlignment="1">
      <alignment horizontal="right"/>
    </xf>
    <xf numFmtId="4" fontId="8" fillId="7" borderId="14" xfId="0" applyNumberFormat="1" applyFont="1" applyFill="1" applyBorder="1" applyAlignment="1">
      <alignment horizontal="right"/>
    </xf>
    <xf numFmtId="4" fontId="6" fillId="15" borderId="1" xfId="0" applyNumberFormat="1" applyFont="1" applyFill="1" applyBorder="1"/>
    <xf numFmtId="0" fontId="29" fillId="64" borderId="13" xfId="0" applyFont="1" applyFill="1" applyBorder="1"/>
    <xf numFmtId="0" fontId="0" fillId="64" borderId="4" xfId="0" applyFill="1" applyBorder="1"/>
    <xf numFmtId="0" fontId="0" fillId="64" borderId="1" xfId="0" applyFill="1" applyBorder="1"/>
    <xf numFmtId="0" fontId="0" fillId="64" borderId="9" xfId="0" applyFill="1" applyBorder="1"/>
    <xf numFmtId="0" fontId="11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1" fillId="4" borderId="35" xfId="0" applyFont="1" applyFill="1" applyBorder="1" applyAlignment="1">
      <alignment horizontal="center"/>
    </xf>
    <xf numFmtId="4" fontId="11" fillId="4" borderId="30" xfId="0" applyNumberFormat="1" applyFont="1" applyFill="1" applyBorder="1"/>
    <xf numFmtId="0" fontId="11" fillId="3" borderId="31" xfId="0" applyFont="1" applyFill="1" applyBorder="1" applyProtection="1">
      <protection locked="0"/>
    </xf>
    <xf numFmtId="0" fontId="11" fillId="4" borderId="57" xfId="0" applyFont="1" applyFill="1" applyBorder="1"/>
    <xf numFmtId="0" fontId="11" fillId="4" borderId="6" xfId="0" applyFont="1" applyFill="1" applyBorder="1"/>
    <xf numFmtId="0" fontId="11" fillId="4" borderId="7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Continuous"/>
    </xf>
    <xf numFmtId="0" fontId="11" fillId="4" borderId="6" xfId="0" applyFont="1" applyFill="1" applyBorder="1" applyAlignment="1">
      <alignment horizontal="centerContinuous"/>
    </xf>
    <xf numFmtId="0" fontId="11" fillId="4" borderId="20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Continuous"/>
    </xf>
    <xf numFmtId="2" fontId="11" fillId="3" borderId="0" xfId="1" applyNumberFormat="1" applyFont="1" applyFill="1"/>
    <xf numFmtId="3" fontId="12" fillId="3" borderId="0" xfId="0" applyNumberFormat="1" applyFont="1" applyFill="1"/>
    <xf numFmtId="0" fontId="12" fillId="3" borderId="0" xfId="1" applyFont="1" applyFill="1"/>
    <xf numFmtId="0" fontId="47" fillId="14" borderId="0" xfId="0" applyFont="1" applyFill="1" applyAlignment="1" applyProtection="1">
      <alignment vertical="center"/>
      <protection locked="0"/>
    </xf>
    <xf numFmtId="0" fontId="10" fillId="8" borderId="0" xfId="0" applyFont="1" applyFill="1" applyAlignment="1" applyProtection="1">
      <alignment vertical="center"/>
      <protection locked="0"/>
    </xf>
    <xf numFmtId="0" fontId="10" fillId="10" borderId="0" xfId="0" applyFont="1" applyFill="1" applyAlignment="1" applyProtection="1">
      <alignment vertical="center"/>
      <protection locked="0"/>
    </xf>
    <xf numFmtId="0" fontId="10" fillId="72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14" borderId="0" xfId="0" applyFont="1" applyFill="1" applyAlignment="1" applyProtection="1">
      <alignment vertical="center"/>
      <protection locked="0"/>
    </xf>
    <xf numFmtId="0" fontId="10" fillId="6" borderId="0" xfId="0" applyFont="1" applyFill="1" applyAlignment="1" applyProtection="1">
      <alignment vertical="center"/>
      <protection locked="0"/>
    </xf>
    <xf numFmtId="16" fontId="11" fillId="3" borderId="0" xfId="1" quotePrefix="1" applyNumberFormat="1" applyFont="1" applyFill="1" applyAlignment="1" applyProtection="1">
      <alignment horizontal="center"/>
      <protection locked="0"/>
    </xf>
    <xf numFmtId="0" fontId="7" fillId="9" borderId="3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1" fontId="0" fillId="9" borderId="0" xfId="0" applyNumberFormat="1" applyFill="1"/>
    <xf numFmtId="2" fontId="0" fillId="9" borderId="0" xfId="0" applyNumberFormat="1" applyFill="1"/>
    <xf numFmtId="2" fontId="0" fillId="9" borderId="1" xfId="0" applyNumberFormat="1" applyFill="1" applyBorder="1"/>
    <xf numFmtId="1" fontId="0" fillId="9" borderId="1" xfId="0" applyNumberFormat="1" applyFill="1" applyBorder="1"/>
    <xf numFmtId="0" fontId="7" fillId="3" borderId="0" xfId="0" applyFont="1" applyFill="1" applyAlignment="1">
      <alignment horizontal="right"/>
    </xf>
    <xf numFmtId="1" fontId="7" fillId="3" borderId="0" xfId="0" applyNumberFormat="1" applyFont="1" applyFill="1"/>
    <xf numFmtId="0" fontId="7" fillId="9" borderId="14" xfId="0" applyFont="1" applyFill="1" applyBorder="1" applyAlignment="1">
      <alignment horizontal="center"/>
    </xf>
    <xf numFmtId="1" fontId="0" fillId="9" borderId="49" xfId="0" applyNumberFormat="1" applyFill="1" applyBorder="1"/>
    <xf numFmtId="1" fontId="0" fillId="9" borderId="10" xfId="0" applyNumberFormat="1" applyFill="1" applyBorder="1"/>
    <xf numFmtId="1" fontId="0" fillId="9" borderId="14" xfId="0" applyNumberFormat="1" applyFill="1" applyBorder="1"/>
    <xf numFmtId="0" fontId="7" fillId="9" borderId="12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168" fontId="29" fillId="12" borderId="4" xfId="0" applyNumberFormat="1" applyFont="1" applyFill="1" applyBorder="1" applyProtection="1">
      <protection locked="0" hidden="1"/>
    </xf>
    <xf numFmtId="0" fontId="28" fillId="22" borderId="0" xfId="0" applyFont="1" applyFill="1"/>
    <xf numFmtId="0" fontId="28" fillId="22" borderId="0" xfId="0" applyFont="1" applyFill="1" applyAlignment="1">
      <alignment horizontal="center"/>
    </xf>
    <xf numFmtId="10" fontId="11" fillId="2" borderId="3" xfId="0" applyNumberFormat="1" applyFont="1" applyFill="1" applyBorder="1" applyProtection="1">
      <protection locked="0"/>
    </xf>
    <xf numFmtId="10" fontId="10" fillId="6" borderId="3" xfId="0" applyNumberFormat="1" applyFont="1" applyFill="1" applyBorder="1"/>
    <xf numFmtId="0" fontId="10" fillId="16" borderId="60" xfId="0" applyFont="1" applyFill="1" applyBorder="1" applyAlignment="1">
      <alignment horizontal="center"/>
    </xf>
    <xf numFmtId="0" fontId="11" fillId="20" borderId="61" xfId="0" applyFont="1" applyFill="1" applyBorder="1"/>
    <xf numFmtId="0" fontId="10" fillId="4" borderId="22" xfId="0" applyFont="1" applyFill="1" applyBorder="1" applyAlignment="1">
      <alignment horizontal="centerContinuous"/>
    </xf>
    <xf numFmtId="0" fontId="10" fillId="4" borderId="62" xfId="0" applyFont="1" applyFill="1" applyBorder="1" applyAlignment="1">
      <alignment horizontal="centerContinuous"/>
    </xf>
    <xf numFmtId="0" fontId="10" fillId="4" borderId="39" xfId="0" applyFont="1" applyFill="1" applyBorder="1" applyAlignment="1">
      <alignment horizontal="centerContinuous"/>
    </xf>
    <xf numFmtId="0" fontId="10" fillId="4" borderId="46" xfId="0" applyFont="1" applyFill="1" applyBorder="1" applyAlignment="1">
      <alignment horizontal="centerContinuous"/>
    </xf>
    <xf numFmtId="0" fontId="11" fillId="20" borderId="49" xfId="0" applyFont="1" applyFill="1" applyBorder="1"/>
    <xf numFmtId="0" fontId="11" fillId="4" borderId="2" xfId="0" quotePrefix="1" applyFont="1" applyFill="1" applyBorder="1" applyAlignment="1">
      <alignment horizontal="center"/>
    </xf>
    <xf numFmtId="0" fontId="11" fillId="4" borderId="26" xfId="0" quotePrefix="1" applyFont="1" applyFill="1" applyBorder="1" applyAlignment="1">
      <alignment horizontal="center"/>
    </xf>
    <xf numFmtId="0" fontId="11" fillId="20" borderId="24" xfId="0" applyFont="1" applyFill="1" applyBorder="1"/>
    <xf numFmtId="0" fontId="11" fillId="20" borderId="0" xfId="0" applyFont="1" applyFill="1"/>
    <xf numFmtId="0" fontId="11" fillId="16" borderId="0" xfId="0" applyFont="1" applyFill="1"/>
    <xf numFmtId="0" fontId="11" fillId="4" borderId="17" xfId="0" applyFont="1" applyFill="1" applyBorder="1"/>
    <xf numFmtId="0" fontId="11" fillId="16" borderId="1" xfId="0" applyFont="1" applyFill="1" applyBorder="1"/>
    <xf numFmtId="0" fontId="11" fillId="20" borderId="6" xfId="0" applyFont="1" applyFill="1" applyBorder="1"/>
    <xf numFmtId="0" fontId="11" fillId="16" borderId="20" xfId="0" applyFont="1" applyFill="1" applyBorder="1"/>
    <xf numFmtId="0" fontId="11" fillId="20" borderId="57" xfId="0" applyFont="1" applyFill="1" applyBorder="1"/>
    <xf numFmtId="0" fontId="0" fillId="71" borderId="8" xfId="0" applyFill="1" applyBorder="1"/>
    <xf numFmtId="0" fontId="7" fillId="63" borderId="10" xfId="0" applyFont="1" applyFill="1" applyBorder="1" applyAlignment="1">
      <alignment horizontal="center"/>
    </xf>
    <xf numFmtId="0" fontId="7" fillId="63" borderId="1" xfId="0" applyFont="1" applyFill="1" applyBorder="1" applyAlignment="1">
      <alignment horizontal="center"/>
    </xf>
    <xf numFmtId="3" fontId="0" fillId="63" borderId="10" xfId="0" applyNumberFormat="1" applyFill="1" applyBorder="1"/>
    <xf numFmtId="1" fontId="0" fillId="63" borderId="0" xfId="0" applyNumberFormat="1" applyFill="1"/>
    <xf numFmtId="3" fontId="0" fillId="63" borderId="3" xfId="0" applyNumberFormat="1" applyFill="1" applyBorder="1"/>
    <xf numFmtId="3" fontId="0" fillId="63" borderId="0" xfId="0" applyNumberFormat="1" applyFill="1"/>
    <xf numFmtId="1" fontId="0" fillId="63" borderId="1" xfId="0" applyNumberFormat="1" applyFill="1" applyBorder="1"/>
    <xf numFmtId="0" fontId="7" fillId="17" borderId="10" xfId="0" applyFont="1" applyFill="1" applyBorder="1" applyAlignment="1">
      <alignment horizontal="center"/>
    </xf>
    <xf numFmtId="3" fontId="0" fillId="17" borderId="3" xfId="0" applyNumberFormat="1" applyFill="1" applyBorder="1"/>
    <xf numFmtId="1" fontId="0" fillId="17" borderId="0" xfId="0" applyNumberFormat="1" applyFill="1"/>
    <xf numFmtId="3" fontId="0" fillId="17" borderId="0" xfId="0" applyNumberFormat="1" applyFill="1"/>
    <xf numFmtId="1" fontId="0" fillId="17" borderId="1" xfId="0" applyNumberFormat="1" applyFill="1" applyBorder="1"/>
    <xf numFmtId="0" fontId="7" fillId="16" borderId="10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3" fontId="0" fillId="16" borderId="3" xfId="0" applyNumberFormat="1" applyFill="1" applyBorder="1"/>
    <xf numFmtId="1" fontId="0" fillId="16" borderId="0" xfId="0" applyNumberFormat="1" applyFill="1"/>
    <xf numFmtId="3" fontId="0" fillId="16" borderId="1" xfId="0" applyNumberFormat="1" applyFill="1" applyBorder="1"/>
    <xf numFmtId="3" fontId="0" fillId="16" borderId="0" xfId="0" applyNumberFormat="1" applyFill="1"/>
    <xf numFmtId="1" fontId="0" fillId="16" borderId="1" xfId="0" applyNumberFormat="1" applyFill="1" applyBorder="1"/>
    <xf numFmtId="0" fontId="7" fillId="73" borderId="10" xfId="0" applyFont="1" applyFill="1" applyBorder="1" applyAlignment="1">
      <alignment horizontal="center"/>
    </xf>
    <xf numFmtId="0" fontId="7" fillId="73" borderId="1" xfId="0" applyFont="1" applyFill="1" applyBorder="1" applyAlignment="1">
      <alignment horizontal="center"/>
    </xf>
    <xf numFmtId="3" fontId="0" fillId="73" borderId="10" xfId="0" applyNumberFormat="1" applyFill="1" applyBorder="1"/>
    <xf numFmtId="1" fontId="0" fillId="73" borderId="0" xfId="0" applyNumberFormat="1" applyFill="1"/>
    <xf numFmtId="3" fontId="0" fillId="73" borderId="3" xfId="0" applyNumberFormat="1" applyFill="1" applyBorder="1"/>
    <xf numFmtId="0" fontId="0" fillId="73" borderId="0" xfId="0" applyFill="1"/>
    <xf numFmtId="3" fontId="0" fillId="73" borderId="0" xfId="0" applyNumberFormat="1" applyFill="1"/>
    <xf numFmtId="1" fontId="0" fillId="73" borderId="1" xfId="0" applyNumberFormat="1" applyFill="1" applyBorder="1"/>
    <xf numFmtId="0" fontId="7" fillId="71" borderId="49" xfId="0" applyFont="1" applyFill="1" applyBorder="1" applyAlignment="1">
      <alignment horizontal="center"/>
    </xf>
    <xf numFmtId="1" fontId="0" fillId="71" borderId="14" xfId="0" applyNumberFormat="1" applyFill="1" applyBorder="1"/>
    <xf numFmtId="1" fontId="0" fillId="71" borderId="49" xfId="0" applyNumberFormat="1" applyFill="1" applyBorder="1"/>
    <xf numFmtId="1" fontId="0" fillId="71" borderId="10" xfId="0" applyNumberFormat="1" applyFill="1" applyBorder="1"/>
    <xf numFmtId="0" fontId="0" fillId="71" borderId="4" xfId="0" applyFill="1" applyBorder="1"/>
    <xf numFmtId="2" fontId="0" fillId="71" borderId="4" xfId="0" applyNumberFormat="1" applyFill="1" applyBorder="1"/>
    <xf numFmtId="1" fontId="0" fillId="71" borderId="4" xfId="0" applyNumberFormat="1" applyFill="1" applyBorder="1"/>
    <xf numFmtId="0" fontId="6" fillId="63" borderId="8" xfId="0" applyFont="1" applyFill="1" applyBorder="1" applyAlignment="1">
      <alignment horizontal="centerContinuous"/>
    </xf>
    <xf numFmtId="0" fontId="7" fillId="17" borderId="7" xfId="0" quotePrefix="1" applyFont="1" applyFill="1" applyBorder="1" applyAlignment="1">
      <alignment horizontal="centerContinuous"/>
    </xf>
    <xf numFmtId="0" fontId="7" fillId="17" borderId="8" xfId="0" applyFont="1" applyFill="1" applyBorder="1" applyAlignment="1">
      <alignment horizontal="centerContinuous"/>
    </xf>
    <xf numFmtId="0" fontId="7" fillId="16" borderId="7" xfId="0" quotePrefix="1" applyFont="1" applyFill="1" applyBorder="1" applyAlignment="1">
      <alignment horizontal="centerContinuous"/>
    </xf>
    <xf numFmtId="0" fontId="6" fillId="16" borderId="8" xfId="0" applyFont="1" applyFill="1" applyBorder="1" applyAlignment="1">
      <alignment horizontal="centerContinuous"/>
    </xf>
    <xf numFmtId="0" fontId="6" fillId="73" borderId="8" xfId="0" applyFont="1" applyFill="1" applyBorder="1" applyAlignment="1">
      <alignment horizontal="centerContinuous"/>
    </xf>
    <xf numFmtId="0" fontId="0" fillId="9" borderId="7" xfId="0" applyFill="1" applyBorder="1"/>
    <xf numFmtId="0" fontId="0" fillId="14" borderId="2" xfId="0" applyFill="1" applyBorder="1" applyAlignment="1">
      <alignment horizontal="centerContinuous"/>
    </xf>
    <xf numFmtId="0" fontId="6" fillId="14" borderId="2" xfId="0" applyFont="1" applyFill="1" applyBorder="1" applyAlignment="1">
      <alignment horizontal="centerContinuous"/>
    </xf>
    <xf numFmtId="0" fontId="6" fillId="14" borderId="8" xfId="0" applyFont="1" applyFill="1" applyBorder="1" applyAlignment="1">
      <alignment horizontal="centerContinuous"/>
    </xf>
    <xf numFmtId="0" fontId="0" fillId="14" borderId="0" xfId="0" applyFill="1"/>
    <xf numFmtId="0" fontId="7" fillId="14" borderId="2" xfId="0" applyFont="1" applyFill="1" applyBorder="1" applyAlignment="1">
      <alignment horizontal="centerContinuous"/>
    </xf>
    <xf numFmtId="0" fontId="7" fillId="13" borderId="11" xfId="0" applyFont="1" applyFill="1" applyBorder="1" applyAlignment="1">
      <alignment horizontal="centerContinuous"/>
    </xf>
    <xf numFmtId="0" fontId="6" fillId="13" borderId="11" xfId="0" applyFont="1" applyFill="1" applyBorder="1" applyAlignment="1">
      <alignment horizontal="centerContinuous"/>
    </xf>
    <xf numFmtId="0" fontId="0" fillId="13" borderId="11" xfId="0" applyFill="1" applyBorder="1" applyAlignment="1">
      <alignment horizontal="centerContinuous"/>
    </xf>
    <xf numFmtId="0" fontId="0" fillId="13" borderId="13" xfId="0" applyFill="1" applyBorder="1" applyAlignment="1">
      <alignment horizontal="centerContinuous"/>
    </xf>
    <xf numFmtId="0" fontId="7" fillId="73" borderId="7" xfId="0" quotePrefix="1" applyFont="1" applyFill="1" applyBorder="1" applyAlignment="1">
      <alignment horizontal="centerContinuous"/>
    </xf>
    <xf numFmtId="0" fontId="11" fillId="3" borderId="7" xfId="0" applyFont="1" applyFill="1" applyBorder="1"/>
    <xf numFmtId="0" fontId="11" fillId="3" borderId="8" xfId="0" applyFont="1" applyFill="1" applyBorder="1"/>
    <xf numFmtId="2" fontId="11" fillId="3" borderId="3" xfId="0" applyNumberFormat="1" applyFont="1" applyFill="1" applyBorder="1" applyAlignment="1" applyProtection="1">
      <alignment horizontal="right"/>
      <protection locked="0"/>
    </xf>
    <xf numFmtId="0" fontId="11" fillId="74" borderId="6" xfId="0" applyFont="1" applyFill="1" applyBorder="1"/>
    <xf numFmtId="0" fontId="0" fillId="74" borderId="0" xfId="0" applyFill="1"/>
    <xf numFmtId="0" fontId="11" fillId="74" borderId="5" xfId="0" applyFont="1" applyFill="1" applyBorder="1"/>
    <xf numFmtId="0" fontId="11" fillId="74" borderId="1" xfId="0" applyFont="1" applyFill="1" applyBorder="1"/>
    <xf numFmtId="3" fontId="11" fillId="74" borderId="3" xfId="0" applyNumberFormat="1" applyFont="1" applyFill="1" applyBorder="1" applyAlignment="1">
      <alignment horizontal="center"/>
    </xf>
    <xf numFmtId="2" fontId="11" fillId="3" borderId="0" xfId="1" quotePrefix="1" applyNumberFormat="1" applyFont="1" applyFill="1" applyAlignment="1" applyProtection="1">
      <alignment horizontal="center"/>
      <protection locked="0"/>
    </xf>
    <xf numFmtId="165" fontId="11" fillId="3" borderId="1" xfId="0" applyNumberFormat="1" applyFont="1" applyFill="1" applyBorder="1"/>
    <xf numFmtId="0" fontId="10" fillId="3" borderId="32" xfId="0" applyFont="1" applyFill="1" applyBorder="1" applyAlignment="1">
      <alignment horizontal="centerContinuous"/>
    </xf>
    <xf numFmtId="0" fontId="10" fillId="3" borderId="33" xfId="0" applyFont="1" applyFill="1" applyBorder="1" applyAlignment="1">
      <alignment horizontal="centerContinuous"/>
    </xf>
    <xf numFmtId="2" fontId="11" fillId="3" borderId="24" xfId="0" applyNumberFormat="1" applyFont="1" applyFill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165" fontId="11" fillId="3" borderId="24" xfId="0" applyNumberFormat="1" applyFont="1" applyFill="1" applyBorder="1"/>
    <xf numFmtId="165" fontId="11" fillId="3" borderId="0" xfId="0" applyNumberFormat="1" applyFont="1" applyFill="1"/>
    <xf numFmtId="165" fontId="11" fillId="3" borderId="26" xfId="0" applyNumberFormat="1" applyFont="1" applyFill="1" applyBorder="1"/>
    <xf numFmtId="165" fontId="10" fillId="3" borderId="24" xfId="0" applyNumberFormat="1" applyFont="1" applyFill="1" applyBorder="1"/>
    <xf numFmtId="165" fontId="10" fillId="3" borderId="0" xfId="0" applyNumberFormat="1" applyFont="1" applyFill="1"/>
    <xf numFmtId="0" fontId="6" fillId="3" borderId="24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26" xfId="0" applyFont="1" applyFill="1" applyBorder="1"/>
    <xf numFmtId="0" fontId="10" fillId="3" borderId="24" xfId="0" applyFont="1" applyFill="1" applyBorder="1"/>
    <xf numFmtId="0" fontId="11" fillId="3" borderId="43" xfId="0" applyFont="1" applyFill="1" applyBorder="1"/>
    <xf numFmtId="169" fontId="11" fillId="3" borderId="24" xfId="0" applyNumberFormat="1" applyFont="1" applyFill="1" applyBorder="1"/>
    <xf numFmtId="0" fontId="0" fillId="3" borderId="25" xfId="0" applyFill="1" applyBorder="1"/>
    <xf numFmtId="0" fontId="0" fillId="3" borderId="24" xfId="0" applyFill="1" applyBorder="1"/>
    <xf numFmtId="172" fontId="10" fillId="3" borderId="17" xfId="0" applyNumberFormat="1" applyFont="1" applyFill="1" applyBorder="1"/>
    <xf numFmtId="0" fontId="10" fillId="3" borderId="20" xfId="0" applyFont="1" applyFill="1" applyBorder="1"/>
    <xf numFmtId="0" fontId="10" fillId="3" borderId="19" xfId="0" applyFont="1" applyFill="1" applyBorder="1"/>
    <xf numFmtId="0" fontId="11" fillId="3" borderId="19" xfId="0" applyFont="1" applyFill="1" applyBorder="1"/>
    <xf numFmtId="3" fontId="10" fillId="3" borderId="17" xfId="0" applyNumberFormat="1" applyFont="1" applyFill="1" applyBorder="1"/>
    <xf numFmtId="3" fontId="10" fillId="3" borderId="24" xfId="0" applyNumberFormat="1" applyFont="1" applyFill="1" applyBorder="1"/>
    <xf numFmtId="0" fontId="0" fillId="3" borderId="18" xfId="0" applyFill="1" applyBorder="1"/>
    <xf numFmtId="0" fontId="0" fillId="3" borderId="33" xfId="0" applyFill="1" applyBorder="1" applyAlignment="1">
      <alignment horizontal="centerContinuous"/>
    </xf>
    <xf numFmtId="0" fontId="0" fillId="3" borderId="34" xfId="0" applyFill="1" applyBorder="1" applyAlignment="1">
      <alignment horizontal="centerContinuous"/>
    </xf>
    <xf numFmtId="0" fontId="10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11" borderId="21" xfId="0" applyFont="1" applyFill="1" applyBorder="1" applyAlignment="1">
      <alignment horizontal="centerContinuous"/>
    </xf>
    <xf numFmtId="0" fontId="10" fillId="11" borderId="22" xfId="0" applyFont="1" applyFill="1" applyBorder="1" applyAlignment="1">
      <alignment horizontal="centerContinuous"/>
    </xf>
    <xf numFmtId="0" fontId="8" fillId="11" borderId="22" xfId="0" applyFont="1" applyFill="1" applyBorder="1" applyAlignment="1">
      <alignment horizontal="centerContinuous"/>
    </xf>
    <xf numFmtId="0" fontId="11" fillId="11" borderId="24" xfId="0" applyFont="1" applyFill="1" applyBorder="1" applyAlignment="1">
      <alignment horizontal="centerContinuous"/>
    </xf>
    <xf numFmtId="0" fontId="11" fillId="11" borderId="0" xfId="0" applyFont="1" applyFill="1" applyAlignment="1">
      <alignment horizontal="centerContinuous"/>
    </xf>
    <xf numFmtId="0" fontId="8" fillId="11" borderId="20" xfId="0" applyFont="1" applyFill="1" applyBorder="1"/>
    <xf numFmtId="0" fontId="13" fillId="11" borderId="24" xfId="0" applyFont="1" applyFill="1" applyBorder="1"/>
    <xf numFmtId="0" fontId="13" fillId="11" borderId="0" xfId="0" applyFont="1" applyFill="1"/>
    <xf numFmtId="0" fontId="46" fillId="11" borderId="0" xfId="0" applyFont="1" applyFill="1"/>
    <xf numFmtId="0" fontId="21" fillId="11" borderId="0" xfId="0" applyFont="1" applyFill="1"/>
    <xf numFmtId="0" fontId="8" fillId="11" borderId="0" xfId="0" applyFont="1" applyFill="1"/>
    <xf numFmtId="0" fontId="6" fillId="11" borderId="20" xfId="0" applyFont="1" applyFill="1" applyBorder="1"/>
    <xf numFmtId="0" fontId="13" fillId="11" borderId="15" xfId="0" applyFont="1" applyFill="1" applyBorder="1"/>
    <xf numFmtId="0" fontId="13" fillId="11" borderId="19" xfId="0" applyFont="1" applyFill="1" applyBorder="1"/>
    <xf numFmtId="0" fontId="46" fillId="11" borderId="19" xfId="0" applyFont="1" applyFill="1" applyBorder="1"/>
    <xf numFmtId="0" fontId="11" fillId="11" borderId="54" xfId="0" applyFont="1" applyFill="1" applyBorder="1"/>
    <xf numFmtId="0" fontId="13" fillId="11" borderId="26" xfId="0" applyFont="1" applyFill="1" applyBorder="1"/>
    <xf numFmtId="0" fontId="13" fillId="11" borderId="1" xfId="0" applyFont="1" applyFill="1" applyBorder="1"/>
    <xf numFmtId="0" fontId="46" fillId="11" borderId="1" xfId="0" applyFont="1" applyFill="1" applyBorder="1"/>
    <xf numFmtId="0" fontId="11" fillId="11" borderId="6" xfId="0" applyFont="1" applyFill="1" applyBorder="1"/>
    <xf numFmtId="0" fontId="10" fillId="11" borderId="26" xfId="0" applyFont="1" applyFill="1" applyBorder="1" applyAlignment="1">
      <alignment horizontal="centerContinuous"/>
    </xf>
    <xf numFmtId="0" fontId="10" fillId="11" borderId="1" xfId="0" applyFont="1" applyFill="1" applyBorder="1" applyAlignment="1">
      <alignment horizontal="centerContinuous"/>
    </xf>
    <xf numFmtId="0" fontId="11" fillId="11" borderId="26" xfId="0" applyFont="1" applyFill="1" applyBorder="1" applyAlignment="1">
      <alignment horizontal="centerContinuous"/>
    </xf>
    <xf numFmtId="0" fontId="11" fillId="11" borderId="1" xfId="0" applyFont="1" applyFill="1" applyBorder="1" applyAlignment="1">
      <alignment horizontal="centerContinuous"/>
    </xf>
    <xf numFmtId="9" fontId="11" fillId="11" borderId="14" xfId="0" applyNumberFormat="1" applyFont="1" applyFill="1" applyBorder="1" applyAlignment="1">
      <alignment horizontal="center"/>
    </xf>
    <xf numFmtId="0" fontId="0" fillId="11" borderId="6" xfId="0" applyFill="1" applyBorder="1"/>
    <xf numFmtId="9" fontId="11" fillId="11" borderId="29" xfId="0" applyNumberFormat="1" applyFont="1" applyFill="1" applyBorder="1" applyAlignment="1">
      <alignment horizontal="center"/>
    </xf>
    <xf numFmtId="0" fontId="21" fillId="11" borderId="57" xfId="0" applyFont="1" applyFill="1" applyBorder="1"/>
    <xf numFmtId="0" fontId="11" fillId="3" borderId="8" xfId="0" applyFont="1" applyFill="1" applyBorder="1" applyAlignment="1" applyProtection="1">
      <alignment horizontal="right"/>
      <protection locked="0"/>
    </xf>
    <xf numFmtId="165" fontId="11" fillId="3" borderId="3" xfId="0" applyNumberFormat="1" applyFont="1" applyFill="1" applyBorder="1" applyAlignment="1" applyProtection="1">
      <alignment horizontal="center"/>
      <protection locked="0"/>
    </xf>
    <xf numFmtId="1" fontId="11" fillId="2" borderId="40" xfId="0" applyNumberFormat="1" applyFont="1" applyFill="1" applyBorder="1" applyAlignment="1" applyProtection="1">
      <alignment horizontal="center"/>
      <protection locked="0"/>
    </xf>
    <xf numFmtId="1" fontId="11" fillId="2" borderId="50" xfId="0" applyNumberFormat="1" applyFont="1" applyFill="1" applyBorder="1" applyAlignment="1" applyProtection="1">
      <alignment horizontal="center"/>
      <protection locked="0"/>
    </xf>
    <xf numFmtId="9" fontId="11" fillId="5" borderId="0" xfId="0" applyNumberFormat="1" applyFont="1" applyFill="1" applyAlignment="1">
      <alignment horizontal="right"/>
    </xf>
    <xf numFmtId="0" fontId="8" fillId="7" borderId="49" xfId="0" applyFont="1" applyFill="1" applyBorder="1"/>
    <xf numFmtId="0" fontId="11" fillId="3" borderId="0" xfId="0" applyFont="1" applyFill="1" applyAlignment="1" applyProtection="1">
      <alignment horizontal="right"/>
      <protection locked="0"/>
    </xf>
    <xf numFmtId="0" fontId="11" fillId="3" borderId="30" xfId="0" applyFont="1" applyFill="1" applyBorder="1" applyAlignment="1" applyProtection="1">
      <alignment horizontal="center"/>
      <protection locked="0"/>
    </xf>
    <xf numFmtId="0" fontId="11" fillId="3" borderId="31" xfId="0" applyFont="1" applyFill="1" applyBorder="1" applyAlignment="1" applyProtection="1">
      <alignment horizontal="center"/>
      <protection locked="0"/>
    </xf>
    <xf numFmtId="9" fontId="11" fillId="3" borderId="10" xfId="0" applyNumberFormat="1" applyFont="1" applyFill="1" applyBorder="1" applyProtection="1">
      <protection locked="0"/>
    </xf>
    <xf numFmtId="9" fontId="11" fillId="0" borderId="29" xfId="0" applyNumberFormat="1" applyFont="1" applyBorder="1" applyProtection="1">
      <protection locked="0"/>
    </xf>
    <xf numFmtId="2" fontId="13" fillId="3" borderId="3" xfId="0" applyNumberFormat="1" applyFont="1" applyFill="1" applyBorder="1" applyProtection="1">
      <protection locked="0"/>
    </xf>
    <xf numFmtId="164" fontId="13" fillId="3" borderId="3" xfId="0" applyNumberFormat="1" applyFont="1" applyFill="1" applyBorder="1" applyProtection="1">
      <protection locked="0"/>
    </xf>
    <xf numFmtId="164" fontId="13" fillId="3" borderId="30" xfId="0" applyNumberFormat="1" applyFont="1" applyFill="1" applyBorder="1" applyProtection="1">
      <protection locked="0"/>
    </xf>
    <xf numFmtId="0" fontId="10" fillId="22" borderId="33" xfId="0" applyFont="1" applyFill="1" applyBorder="1" applyAlignment="1">
      <alignment horizontal="centerContinuous"/>
    </xf>
    <xf numFmtId="0" fontId="10" fillId="22" borderId="34" xfId="0" applyFont="1" applyFill="1" applyBorder="1" applyAlignment="1">
      <alignment horizontal="centerContinuous"/>
    </xf>
    <xf numFmtId="3" fontId="0" fillId="3" borderId="10" xfId="0" applyNumberFormat="1" applyFill="1" applyBorder="1" applyProtection="1">
      <protection locked="0"/>
    </xf>
    <xf numFmtId="3" fontId="0" fillId="3" borderId="3" xfId="0" applyNumberFormat="1" applyFill="1" applyBorder="1" applyProtection="1">
      <protection locked="0"/>
    </xf>
    <xf numFmtId="3" fontId="0" fillId="9" borderId="0" xfId="0" applyNumberFormat="1" applyFill="1"/>
    <xf numFmtId="0" fontId="7" fillId="3" borderId="0" xfId="0" applyFont="1" applyFill="1"/>
    <xf numFmtId="3" fontId="11" fillId="0" borderId="3" xfId="44" applyNumberFormat="1" applyFont="1" applyBorder="1" applyProtection="1">
      <protection locked="0"/>
    </xf>
    <xf numFmtId="0" fontId="7" fillId="63" borderId="7" xfId="0" quotePrefix="1" applyFont="1" applyFill="1" applyBorder="1" applyAlignment="1">
      <alignment horizontal="centerContinuous"/>
    </xf>
    <xf numFmtId="3" fontId="11" fillId="0" borderId="29" xfId="44" applyNumberFormat="1" applyFont="1" applyBorder="1" applyProtection="1">
      <protection locked="0"/>
    </xf>
    <xf numFmtId="3" fontId="11" fillId="0" borderId="10" xfId="44" applyNumberFormat="1" applyFont="1" applyBorder="1" applyProtection="1">
      <protection locked="0"/>
    </xf>
    <xf numFmtId="3" fontId="11" fillId="0" borderId="50" xfId="44" applyNumberFormat="1" applyFont="1" applyBorder="1" applyProtection="1">
      <protection locked="0"/>
    </xf>
    <xf numFmtId="0" fontId="13" fillId="14" borderId="0" xfId="0" applyFont="1" applyFill="1"/>
    <xf numFmtId="0" fontId="0" fillId="62" borderId="0" xfId="0" applyFill="1"/>
    <xf numFmtId="0" fontId="6" fillId="62" borderId="0" xfId="0" applyFont="1" applyFill="1" applyAlignment="1">
      <alignment horizontal="center"/>
    </xf>
    <xf numFmtId="0" fontId="11" fillId="61" borderId="3" xfId="0" applyFont="1" applyFill="1" applyBorder="1"/>
    <xf numFmtId="0" fontId="11" fillId="61" borderId="29" xfId="0" applyFont="1" applyFill="1" applyBorder="1"/>
    <xf numFmtId="0" fontId="11" fillId="3" borderId="0" xfId="0" quotePrefix="1" applyFont="1" applyFill="1" applyAlignment="1" applyProtection="1">
      <alignment horizontal="center"/>
      <protection locked="0"/>
    </xf>
    <xf numFmtId="0" fontId="12" fillId="3" borderId="5" xfId="0" applyFont="1" applyFill="1" applyBorder="1" applyProtection="1">
      <protection locked="0" hidden="1"/>
    </xf>
    <xf numFmtId="0" fontId="12" fillId="3" borderId="14" xfId="0" applyFont="1" applyFill="1" applyBorder="1" applyAlignment="1" applyProtection="1">
      <alignment horizontal="center"/>
      <protection locked="0" hidden="1"/>
    </xf>
    <xf numFmtId="172" fontId="11" fillId="3" borderId="3" xfId="0" applyNumberFormat="1" applyFont="1" applyFill="1" applyBorder="1" applyProtection="1">
      <protection locked="0"/>
    </xf>
    <xf numFmtId="2" fontId="11" fillId="3" borderId="3" xfId="0" applyNumberFormat="1" applyFont="1" applyFill="1" applyBorder="1" applyProtection="1">
      <protection locked="0"/>
    </xf>
    <xf numFmtId="3" fontId="11" fillId="2" borderId="3" xfId="0" applyNumberFormat="1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>
      <alignment horizontal="center"/>
    </xf>
    <xf numFmtId="164" fontId="12" fillId="3" borderId="12" xfId="0" applyNumberFormat="1" applyFont="1" applyFill="1" applyBorder="1" applyProtection="1">
      <protection locked="0" hidden="1"/>
    </xf>
    <xf numFmtId="164" fontId="12" fillId="3" borderId="6" xfId="0" applyNumberFormat="1" applyFont="1" applyFill="1" applyBorder="1" applyProtection="1">
      <protection locked="0" hidden="1"/>
    </xf>
    <xf numFmtId="164" fontId="12" fillId="7" borderId="6" xfId="0" applyNumberFormat="1" applyFont="1" applyFill="1" applyBorder="1" applyProtection="1">
      <protection locked="0" hidden="1"/>
    </xf>
    <xf numFmtId="164" fontId="12" fillId="7" borderId="5" xfId="0" applyNumberFormat="1" applyFont="1" applyFill="1" applyBorder="1" applyProtection="1">
      <protection locked="0" hidden="1"/>
    </xf>
    <xf numFmtId="164" fontId="15" fillId="3" borderId="0" xfId="0" applyNumberFormat="1" applyFont="1" applyFill="1" applyProtection="1">
      <protection locked="0" hidden="1"/>
    </xf>
    <xf numFmtId="164" fontId="6" fillId="3" borderId="0" xfId="0" applyNumberFormat="1" applyFont="1" applyFill="1" applyProtection="1">
      <protection locked="0" hidden="1"/>
    </xf>
    <xf numFmtId="164" fontId="12" fillId="7" borderId="12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Protection="1">
      <protection locked="0" hidden="1"/>
    </xf>
    <xf numFmtId="164" fontId="12" fillId="7" borderId="49" xfId="0" applyNumberFormat="1" applyFont="1" applyFill="1" applyBorder="1" applyProtection="1">
      <protection locked="0" hidden="1"/>
    </xf>
    <xf numFmtId="164" fontId="12" fillId="3" borderId="10" xfId="0" applyNumberFormat="1" applyFont="1" applyFill="1" applyBorder="1" applyProtection="1">
      <protection locked="0" hidden="1"/>
    </xf>
    <xf numFmtId="164" fontId="12" fillId="3" borderId="49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Alignment="1" applyProtection="1">
      <alignment horizontal="center"/>
      <protection locked="0" hidden="1"/>
    </xf>
    <xf numFmtId="164" fontId="12" fillId="7" borderId="14" xfId="0" applyNumberFormat="1" applyFont="1" applyFill="1" applyBorder="1" applyProtection="1">
      <protection locked="0" hidden="1"/>
    </xf>
    <xf numFmtId="0" fontId="29" fillId="64" borderId="1" xfId="0" applyFont="1" applyFill="1" applyBorder="1" applyAlignment="1">
      <alignment horizontal="centerContinuous"/>
    </xf>
    <xf numFmtId="0" fontId="6" fillId="4" borderId="7" xfId="0" applyFont="1" applyFill="1" applyBorder="1" applyAlignment="1">
      <alignment horizontal="center"/>
    </xf>
    <xf numFmtId="0" fontId="0" fillId="4" borderId="14" xfId="0" applyFill="1" applyBorder="1" applyAlignment="1">
      <alignment horizontal="centerContinuous" wrapText="1"/>
    </xf>
    <xf numFmtId="0" fontId="0" fillId="4" borderId="7" xfId="0" applyFill="1" applyBorder="1"/>
    <xf numFmtId="0" fontId="0" fillId="4" borderId="2" xfId="0" applyFill="1" applyBorder="1" applyAlignment="1">
      <alignment horizontal="centerContinuous"/>
    </xf>
    <xf numFmtId="171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13" fillId="62" borderId="0" xfId="0" applyFont="1" applyFill="1"/>
    <xf numFmtId="0" fontId="15" fillId="3" borderId="12" xfId="0" applyFont="1" applyFill="1" applyBorder="1" applyAlignment="1" applyProtection="1">
      <alignment horizontal="center"/>
      <protection locked="0" hidden="1"/>
    </xf>
    <xf numFmtId="0" fontId="15" fillId="3" borderId="5" xfId="0" applyFont="1" applyFill="1" applyBorder="1" applyAlignment="1" applyProtection="1">
      <alignment horizontal="center"/>
      <protection locked="0" hidden="1"/>
    </xf>
    <xf numFmtId="0" fontId="10" fillId="22" borderId="24" xfId="0" applyFont="1" applyFill="1" applyBorder="1" applyAlignment="1">
      <alignment horizontal="center"/>
    </xf>
    <xf numFmtId="164" fontId="12" fillId="7" borderId="10" xfId="0" applyNumberFormat="1" applyFont="1" applyFill="1" applyBorder="1" applyProtection="1">
      <protection locked="0" hidden="1"/>
    </xf>
    <xf numFmtId="9" fontId="11" fillId="2" borderId="37" xfId="0" applyNumberFormat="1" applyFont="1" applyFill="1" applyBorder="1" applyAlignment="1" applyProtection="1">
      <alignment horizontal="center" vertical="center"/>
      <protection locked="0"/>
    </xf>
    <xf numFmtId="1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0" fillId="7" borderId="0" xfId="0" applyFill="1" applyAlignment="1">
      <alignment vertical="center"/>
    </xf>
    <xf numFmtId="0" fontId="10" fillId="4" borderId="21" xfId="0" applyFont="1" applyFill="1" applyBorder="1" applyAlignment="1">
      <alignment horizontal="centerContinuous" vertical="center"/>
    </xf>
    <xf numFmtId="0" fontId="10" fillId="4" borderId="22" xfId="0" applyFont="1" applyFill="1" applyBorder="1" applyAlignment="1">
      <alignment horizontal="centerContinuous" vertical="center"/>
    </xf>
    <xf numFmtId="0" fontId="10" fillId="4" borderId="23" xfId="0" applyFont="1" applyFill="1" applyBorder="1" applyAlignment="1">
      <alignment horizontal="centerContinuous" vertical="center"/>
    </xf>
    <xf numFmtId="0" fontId="0" fillId="3" borderId="0" xfId="0" applyFill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1" fillId="3" borderId="0" xfId="0" applyFont="1" applyFill="1" applyAlignment="1" applyProtection="1">
      <alignment vertical="center"/>
      <protection locked="0"/>
    </xf>
    <xf numFmtId="168" fontId="11" fillId="3" borderId="0" xfId="0" applyNumberFormat="1" applyFont="1" applyFill="1" applyAlignment="1" applyProtection="1">
      <alignment vertical="center"/>
      <protection locked="0"/>
    </xf>
    <xf numFmtId="165" fontId="11" fillId="3" borderId="0" xfId="0" applyNumberFormat="1" applyFont="1" applyFill="1" applyAlignment="1" applyProtection="1">
      <alignment vertical="center"/>
      <protection locked="0"/>
    </xf>
    <xf numFmtId="2" fontId="11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165" fontId="11" fillId="4" borderId="0" xfId="0" applyNumberFormat="1" applyFont="1" applyFill="1" applyAlignment="1">
      <alignment vertical="center"/>
    </xf>
    <xf numFmtId="2" fontId="10" fillId="4" borderId="0" xfId="0" applyNumberFormat="1" applyFont="1" applyFill="1" applyAlignment="1">
      <alignment vertical="center"/>
    </xf>
    <xf numFmtId="0" fontId="11" fillId="4" borderId="23" xfId="0" applyFont="1" applyFill="1" applyBorder="1" applyAlignment="1">
      <alignment horizontal="centerContinuous" vertical="center"/>
    </xf>
    <xf numFmtId="0" fontId="11" fillId="6" borderId="0" xfId="0" applyFont="1" applyFill="1" applyAlignment="1">
      <alignment vertical="center"/>
    </xf>
    <xf numFmtId="165" fontId="11" fillId="6" borderId="0" xfId="0" applyNumberFormat="1" applyFont="1" applyFill="1" applyAlignment="1">
      <alignment vertical="center"/>
    </xf>
    <xf numFmtId="0" fontId="11" fillId="4" borderId="24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165" fontId="11" fillId="4" borderId="0" xfId="0" applyNumberFormat="1" applyFont="1" applyFill="1" applyAlignment="1">
      <alignment horizontal="centerContinuous" vertical="center"/>
    </xf>
    <xf numFmtId="0" fontId="11" fillId="4" borderId="26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2" fontId="11" fillId="3" borderId="0" xfId="0" applyNumberFormat="1" applyFont="1" applyFill="1" applyAlignment="1" applyProtection="1">
      <alignment vertical="center"/>
      <protection locked="0"/>
    </xf>
    <xf numFmtId="1" fontId="11" fillId="3" borderId="0" xfId="0" applyNumberFormat="1" applyFont="1" applyFill="1" applyAlignment="1" applyProtection="1">
      <alignment vertical="center"/>
      <protection locked="0"/>
    </xf>
    <xf numFmtId="2" fontId="11" fillId="3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2" fontId="11" fillId="6" borderId="0" xfId="0" applyNumberFormat="1" applyFont="1" applyFill="1" applyAlignment="1">
      <alignment vertical="center"/>
    </xf>
    <xf numFmtId="9" fontId="11" fillId="4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9" fontId="11" fillId="3" borderId="3" xfId="0" applyNumberFormat="1" applyFont="1" applyFill="1" applyBorder="1" applyAlignment="1" applyProtection="1">
      <alignment horizontal="center"/>
      <protection locked="0"/>
    </xf>
    <xf numFmtId="0" fontId="1" fillId="65" borderId="0" xfId="0" applyFont="1" applyFill="1"/>
    <xf numFmtId="0" fontId="1" fillId="65" borderId="0" xfId="0" applyFont="1" applyFill="1" applyAlignment="1">
      <alignment horizontal="center"/>
    </xf>
    <xf numFmtId="2" fontId="1" fillId="65" borderId="0" xfId="0" applyNumberFormat="1" applyFont="1" applyFill="1"/>
    <xf numFmtId="0" fontId="1" fillId="64" borderId="0" xfId="0" applyFont="1" applyFill="1"/>
    <xf numFmtId="0" fontId="1" fillId="64" borderId="0" xfId="0" applyFont="1" applyFill="1" applyAlignment="1">
      <alignment horizontal="center"/>
    </xf>
    <xf numFmtId="2" fontId="1" fillId="64" borderId="0" xfId="0" applyNumberFormat="1" applyFont="1" applyFill="1"/>
    <xf numFmtId="0" fontId="1" fillId="25" borderId="0" xfId="0" applyFont="1" applyFill="1"/>
    <xf numFmtId="0" fontId="1" fillId="25" borderId="0" xfId="0" applyFont="1" applyFill="1" applyAlignment="1">
      <alignment horizontal="center"/>
    </xf>
    <xf numFmtId="2" fontId="1" fillId="25" borderId="0" xfId="0" applyNumberFormat="1" applyFont="1" applyFill="1"/>
    <xf numFmtId="2" fontId="6" fillId="25" borderId="0" xfId="0" applyNumberFormat="1" applyFont="1" applyFill="1"/>
    <xf numFmtId="164" fontId="12" fillId="3" borderId="5" xfId="0" applyNumberFormat="1" applyFont="1" applyFill="1" applyBorder="1" applyProtection="1">
      <protection locked="0" hidden="1"/>
    </xf>
    <xf numFmtId="0" fontId="11" fillId="10" borderId="0" xfId="0" applyFont="1" applyFill="1" applyAlignment="1" applyProtection="1">
      <alignment horizontal="center" wrapText="1"/>
      <protection locked="0"/>
    </xf>
    <xf numFmtId="0" fontId="11" fillId="10" borderId="0" xfId="0" applyFont="1" applyFill="1" applyAlignment="1" applyProtection="1">
      <alignment horizontal="center"/>
      <protection locked="0"/>
    </xf>
    <xf numFmtId="0" fontId="13" fillId="10" borderId="0" xfId="0" applyFont="1" applyFill="1" applyProtection="1">
      <protection locked="0"/>
    </xf>
    <xf numFmtId="0" fontId="11" fillId="8" borderId="0" xfId="0" applyFont="1" applyFill="1" applyProtection="1">
      <protection locked="0"/>
    </xf>
    <xf numFmtId="0" fontId="28" fillId="14" borderId="0" xfId="0" applyFont="1" applyFill="1" applyAlignment="1" applyProtection="1">
      <alignment horizontal="centerContinuous"/>
      <protection locked="0"/>
    </xf>
    <xf numFmtId="2" fontId="28" fillId="14" borderId="0" xfId="0" applyNumberFormat="1" applyFont="1" applyFill="1" applyAlignment="1" applyProtection="1">
      <alignment horizontal="centerContinuous"/>
      <protection locked="0"/>
    </xf>
    <xf numFmtId="0" fontId="10" fillId="14" borderId="0" xfId="0" applyFont="1" applyFill="1" applyAlignment="1" applyProtection="1">
      <alignment horizontal="centerContinuous"/>
      <protection locked="0"/>
    </xf>
    <xf numFmtId="0" fontId="11" fillId="14" borderId="0" xfId="0" applyFont="1" applyFill="1" applyAlignment="1" applyProtection="1">
      <alignment horizontal="centerContinuous"/>
      <protection locked="0"/>
    </xf>
    <xf numFmtId="0" fontId="11" fillId="9" borderId="15" xfId="0" applyFont="1" applyFill="1" applyBorder="1" applyProtection="1">
      <protection locked="0"/>
    </xf>
    <xf numFmtId="0" fontId="11" fillId="22" borderId="54" xfId="0" applyFont="1" applyFill="1" applyBorder="1" applyAlignment="1" applyProtection="1">
      <alignment horizontal="center"/>
      <protection locked="0"/>
    </xf>
    <xf numFmtId="0" fontId="11" fillId="22" borderId="81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Protection="1">
      <protection locked="0"/>
    </xf>
    <xf numFmtId="2" fontId="11" fillId="9" borderId="19" xfId="0" applyNumberFormat="1" applyFont="1" applyFill="1" applyBorder="1" applyAlignment="1" applyProtection="1">
      <alignment horizontal="center"/>
      <protection locked="0"/>
    </xf>
    <xf numFmtId="2" fontId="11" fillId="9" borderId="15" xfId="0" applyNumberFormat="1" applyFont="1" applyFill="1" applyBorder="1" applyAlignment="1" applyProtection="1">
      <alignment horizontal="center"/>
      <protection locked="0"/>
    </xf>
    <xf numFmtId="2" fontId="11" fillId="9" borderId="16" xfId="0" applyNumberFormat="1" applyFont="1" applyFill="1" applyBorder="1" applyAlignment="1" applyProtection="1">
      <alignment horizontal="center"/>
      <protection locked="0"/>
    </xf>
    <xf numFmtId="0" fontId="10" fillId="9" borderId="24" xfId="0" applyFont="1" applyFill="1" applyBorder="1" applyAlignment="1" applyProtection="1">
      <alignment horizontal="centerContinuous"/>
      <protection locked="0"/>
    </xf>
    <xf numFmtId="0" fontId="11" fillId="22" borderId="6" xfId="0" applyFont="1" applyFill="1" applyBorder="1" applyAlignment="1" applyProtection="1">
      <alignment horizontal="center"/>
      <protection locked="0"/>
    </xf>
    <xf numFmtId="0" fontId="11" fillId="22" borderId="80" xfId="0" applyFont="1" applyFill="1" applyBorder="1" applyAlignment="1" applyProtection="1">
      <alignment horizontal="center"/>
      <protection locked="0"/>
    </xf>
    <xf numFmtId="2" fontId="11" fillId="9" borderId="0" xfId="0" applyNumberFormat="1" applyFont="1" applyFill="1" applyAlignment="1" applyProtection="1">
      <alignment horizontal="center"/>
      <protection locked="0"/>
    </xf>
    <xf numFmtId="2" fontId="11" fillId="9" borderId="25" xfId="0" applyNumberFormat="1" applyFont="1" applyFill="1" applyBorder="1" applyAlignment="1" applyProtection="1">
      <alignment horizontal="center"/>
      <protection locked="0"/>
    </xf>
    <xf numFmtId="0" fontId="11" fillId="9" borderId="26" xfId="0" applyFont="1" applyFill="1" applyBorder="1" applyAlignment="1" applyProtection="1">
      <alignment horizontal="center"/>
      <protection locked="0"/>
    </xf>
    <xf numFmtId="0" fontId="11" fillId="22" borderId="17" xfId="0" applyFont="1" applyFill="1" applyBorder="1" applyAlignment="1" applyProtection="1">
      <alignment horizontal="center"/>
      <protection locked="0"/>
    </xf>
    <xf numFmtId="0" fontId="11" fillId="22" borderId="57" xfId="0" applyFont="1" applyFill="1" applyBorder="1" applyAlignment="1" applyProtection="1">
      <alignment horizontal="center"/>
      <protection locked="0"/>
    </xf>
    <xf numFmtId="0" fontId="11" fillId="22" borderId="4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 applyProtection="1">
      <alignment horizontal="center"/>
      <protection locked="0"/>
    </xf>
    <xf numFmtId="0" fontId="11" fillId="9" borderId="20" xfId="0" applyFont="1" applyFill="1" applyBorder="1" applyAlignment="1" applyProtection="1">
      <alignment horizontal="center"/>
      <protection locked="0"/>
    </xf>
    <xf numFmtId="0" fontId="11" fillId="9" borderId="18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Protection="1">
      <protection locked="0"/>
    </xf>
    <xf numFmtId="9" fontId="11" fillId="3" borderId="19" xfId="0" applyNumberFormat="1" applyFont="1" applyFill="1" applyBorder="1" applyProtection="1">
      <protection locked="0"/>
    </xf>
    <xf numFmtId="1" fontId="11" fillId="3" borderId="19" xfId="0" applyNumberFormat="1" applyFont="1" applyFill="1" applyBorder="1" applyProtection="1">
      <protection locked="0"/>
    </xf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9" fontId="11" fillId="3" borderId="0" xfId="0" applyNumberFormat="1" applyFont="1" applyFill="1" applyProtection="1">
      <protection locked="0"/>
    </xf>
    <xf numFmtId="1" fontId="11" fillId="3" borderId="0" xfId="0" applyNumberFormat="1" applyFont="1" applyFill="1" applyProtection="1">
      <protection locked="0"/>
    </xf>
    <xf numFmtId="3" fontId="11" fillId="3" borderId="24" xfId="0" applyNumberFormat="1" applyFont="1" applyFill="1" applyBorder="1" applyProtection="1">
      <protection locked="0"/>
    </xf>
    <xf numFmtId="3" fontId="11" fillId="3" borderId="25" xfId="0" applyNumberFormat="1" applyFont="1" applyFill="1" applyBorder="1" applyProtection="1">
      <protection locked="0"/>
    </xf>
    <xf numFmtId="9" fontId="11" fillId="3" borderId="20" xfId="0" applyNumberFormat="1" applyFont="1" applyFill="1" applyBorder="1" applyProtection="1">
      <protection locked="0"/>
    </xf>
    <xf numFmtId="1" fontId="11" fillId="3" borderId="20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0" fontId="11" fillId="6" borderId="0" xfId="0" applyFont="1" applyFill="1" applyProtection="1">
      <protection locked="0"/>
    </xf>
    <xf numFmtId="2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>
      <protection locked="0"/>
    </xf>
    <xf numFmtId="0" fontId="11" fillId="9" borderId="0" xfId="0" applyFont="1" applyFill="1" applyProtection="1">
      <protection locked="0"/>
    </xf>
    <xf numFmtId="0" fontId="10" fillId="9" borderId="0" xfId="0" applyFont="1" applyFill="1" applyProtection="1">
      <protection locked="0"/>
    </xf>
    <xf numFmtId="0" fontId="11" fillId="9" borderId="20" xfId="0" applyFont="1" applyFill="1" applyBorder="1" applyProtection="1">
      <protection locked="0"/>
    </xf>
    <xf numFmtId="0" fontId="11" fillId="3" borderId="64" xfId="0" applyFont="1" applyFill="1" applyBorder="1" applyProtection="1">
      <protection locked="0"/>
    </xf>
    <xf numFmtId="3" fontId="11" fillId="7" borderId="55" xfId="0" applyNumberFormat="1" applyFont="1" applyFill="1" applyBorder="1" applyProtection="1">
      <protection locked="0"/>
    </xf>
    <xf numFmtId="0" fontId="11" fillId="7" borderId="39" xfId="0" applyFont="1" applyFill="1" applyBorder="1" applyProtection="1">
      <protection locked="0"/>
    </xf>
    <xf numFmtId="9" fontId="11" fillId="7" borderId="15" xfId="0" applyNumberFormat="1" applyFont="1" applyFill="1" applyBorder="1" applyProtection="1">
      <protection locked="0"/>
    </xf>
    <xf numFmtId="9" fontId="11" fillId="7" borderId="16" xfId="0" applyNumberFormat="1" applyFont="1" applyFill="1" applyBorder="1" applyProtection="1">
      <protection locked="0"/>
    </xf>
    <xf numFmtId="0" fontId="11" fillId="3" borderId="68" xfId="0" applyFont="1" applyFill="1" applyBorder="1" applyProtection="1">
      <protection locked="0"/>
    </xf>
    <xf numFmtId="3" fontId="11" fillId="7" borderId="0" xfId="0" applyNumberFormat="1" applyFont="1" applyFill="1" applyProtection="1">
      <protection locked="0"/>
    </xf>
    <xf numFmtId="0" fontId="11" fillId="7" borderId="8" xfId="0" applyFont="1" applyFill="1" applyBorder="1" applyProtection="1">
      <protection locked="0"/>
    </xf>
    <xf numFmtId="3" fontId="11" fillId="7" borderId="24" xfId="0" applyNumberFormat="1" applyFont="1" applyFill="1" applyBorder="1" applyProtection="1">
      <protection locked="0"/>
    </xf>
    <xf numFmtId="3" fontId="11" fillId="7" borderId="25" xfId="0" applyNumberFormat="1" applyFont="1" applyFill="1" applyBorder="1" applyProtection="1">
      <protection locked="0"/>
    </xf>
    <xf numFmtId="0" fontId="11" fillId="3" borderId="63" xfId="0" applyFont="1" applyFill="1" applyBorder="1" applyProtection="1">
      <protection locked="0"/>
    </xf>
    <xf numFmtId="3" fontId="11" fillId="7" borderId="58" xfId="0" applyNumberFormat="1" applyFont="1" applyFill="1" applyBorder="1" applyProtection="1">
      <protection locked="0"/>
    </xf>
    <xf numFmtId="0" fontId="11" fillId="7" borderId="29" xfId="0" applyFont="1" applyFill="1" applyBorder="1" applyProtection="1">
      <protection locked="0"/>
    </xf>
    <xf numFmtId="9" fontId="11" fillId="7" borderId="17" xfId="0" applyNumberFormat="1" applyFont="1" applyFill="1" applyBorder="1" applyProtection="1">
      <protection locked="0"/>
    </xf>
    <xf numFmtId="9" fontId="11" fillId="7" borderId="18" xfId="0" applyNumberFormat="1" applyFont="1" applyFill="1" applyBorder="1" applyProtection="1">
      <protection locked="0"/>
    </xf>
    <xf numFmtId="3" fontId="11" fillId="7" borderId="38" xfId="0" applyNumberFormat="1" applyFont="1" applyFill="1" applyBorder="1" applyProtection="1">
      <protection locked="0"/>
    </xf>
    <xf numFmtId="0" fontId="11" fillId="3" borderId="26" xfId="0" applyFont="1" applyFill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3" fontId="11" fillId="3" borderId="27" xfId="0" applyNumberFormat="1" applyFont="1" applyFill="1" applyBorder="1" applyProtection="1">
      <protection locked="0"/>
    </xf>
    <xf numFmtId="3" fontId="11" fillId="7" borderId="40" xfId="0" applyNumberFormat="1" applyFont="1" applyFill="1" applyBorder="1" applyProtection="1">
      <protection locked="0"/>
    </xf>
    <xf numFmtId="0" fontId="11" fillId="7" borderId="12" xfId="0" applyFont="1" applyFill="1" applyBorder="1" applyProtection="1">
      <protection locked="0"/>
    </xf>
    <xf numFmtId="9" fontId="11" fillId="7" borderId="24" xfId="0" applyNumberFormat="1" applyFont="1" applyFill="1" applyBorder="1" applyProtection="1">
      <protection locked="0"/>
    </xf>
    <xf numFmtId="9" fontId="11" fillId="7" borderId="25" xfId="0" applyNumberFormat="1" applyFont="1" applyFill="1" applyBorder="1" applyProtection="1">
      <protection locked="0"/>
    </xf>
    <xf numFmtId="0" fontId="11" fillId="7" borderId="0" xfId="0" applyFont="1" applyFill="1" applyProtection="1">
      <protection locked="0"/>
    </xf>
    <xf numFmtId="0" fontId="11" fillId="7" borderId="5" xfId="0" applyFont="1" applyFill="1" applyBorder="1" applyProtection="1">
      <protection locked="0"/>
    </xf>
    <xf numFmtId="0" fontId="11" fillId="7" borderId="10" xfId="0" applyFont="1" applyFill="1" applyBorder="1" applyProtection="1">
      <protection locked="0"/>
    </xf>
    <xf numFmtId="0" fontId="28" fillId="14" borderId="15" xfId="0" applyFont="1" applyFill="1" applyBorder="1" applyAlignment="1" applyProtection="1">
      <alignment horizontal="centerContinuous"/>
      <protection locked="0"/>
    </xf>
    <xf numFmtId="2" fontId="28" fillId="14" borderId="16" xfId="0" applyNumberFormat="1" applyFont="1" applyFill="1" applyBorder="1" applyAlignment="1" applyProtection="1">
      <alignment horizontal="centerContinuous"/>
      <protection locked="0"/>
    </xf>
    <xf numFmtId="2" fontId="28" fillId="14" borderId="64" xfId="0" applyNumberFormat="1" applyFont="1" applyFill="1" applyBorder="1" applyProtection="1">
      <protection locked="0"/>
    </xf>
    <xf numFmtId="0" fontId="13" fillId="14" borderId="64" xfId="0" applyFont="1" applyFill="1" applyBorder="1" applyProtection="1">
      <protection locked="0"/>
    </xf>
    <xf numFmtId="0" fontId="28" fillId="14" borderId="26" xfId="0" applyFont="1" applyFill="1" applyBorder="1" applyAlignment="1" applyProtection="1">
      <alignment horizontal="centerContinuous"/>
      <protection locked="0"/>
    </xf>
    <xf numFmtId="0" fontId="13" fillId="14" borderId="27" xfId="0" applyFont="1" applyFill="1" applyBorder="1" applyAlignment="1" applyProtection="1">
      <alignment horizontal="centerContinuous"/>
      <protection locked="0"/>
    </xf>
    <xf numFmtId="0" fontId="13" fillId="14" borderId="68" xfId="0" applyFont="1" applyFill="1" applyBorder="1" applyProtection="1">
      <protection locked="0"/>
    </xf>
    <xf numFmtId="0" fontId="11" fillId="9" borderId="25" xfId="0" applyFont="1" applyFill="1" applyBorder="1" applyAlignment="1" applyProtection="1">
      <alignment horizontal="center"/>
      <protection locked="0"/>
    </xf>
    <xf numFmtId="0" fontId="11" fillId="9" borderId="68" xfId="0" applyFont="1" applyFill="1" applyBorder="1" applyAlignment="1" applyProtection="1">
      <alignment horizontal="center"/>
      <protection locked="0"/>
    </xf>
    <xf numFmtId="0" fontId="11" fillId="3" borderId="68" xfId="0" applyFont="1" applyFill="1" applyBorder="1" applyAlignment="1" applyProtection="1">
      <alignment horizontal="center"/>
      <protection locked="0"/>
    </xf>
    <xf numFmtId="0" fontId="11" fillId="9" borderId="63" xfId="0" applyFont="1" applyFill="1" applyBorder="1" applyAlignment="1" applyProtection="1">
      <alignment horizontal="center"/>
      <protection locked="0"/>
    </xf>
    <xf numFmtId="0" fontId="13" fillId="3" borderId="63" xfId="0" applyFont="1" applyFill="1" applyBorder="1" applyAlignment="1" applyProtection="1">
      <alignment horizontal="center"/>
      <protection locked="0"/>
    </xf>
    <xf numFmtId="164" fontId="11" fillId="3" borderId="25" xfId="0" applyNumberFormat="1" applyFont="1" applyFill="1" applyBorder="1" applyProtection="1">
      <protection locked="0"/>
    </xf>
    <xf numFmtId="2" fontId="11" fillId="3" borderId="68" xfId="0" applyNumberFormat="1" applyFont="1" applyFill="1" applyBorder="1" applyProtection="1">
      <protection locked="0"/>
    </xf>
    <xf numFmtId="0" fontId="13" fillId="3" borderId="68" xfId="0" applyFont="1" applyFill="1" applyBorder="1" applyAlignment="1" applyProtection="1">
      <alignment horizontal="center"/>
      <protection locked="0"/>
    </xf>
    <xf numFmtId="2" fontId="11" fillId="3" borderId="17" xfId="0" applyNumberFormat="1" applyFont="1" applyFill="1" applyBorder="1" applyProtection="1">
      <protection locked="0"/>
    </xf>
    <xf numFmtId="164" fontId="11" fillId="3" borderId="18" xfId="0" applyNumberFormat="1" applyFont="1" applyFill="1" applyBorder="1" applyProtection="1">
      <protection locked="0"/>
    </xf>
    <xf numFmtId="2" fontId="11" fillId="3" borderId="63" xfId="0" applyNumberFormat="1" applyFont="1" applyFill="1" applyBorder="1" applyProtection="1">
      <protection locked="0"/>
    </xf>
    <xf numFmtId="2" fontId="11" fillId="3" borderId="15" xfId="0" applyNumberFormat="1" applyFont="1" applyFill="1" applyBorder="1" applyProtection="1">
      <protection locked="0"/>
    </xf>
    <xf numFmtId="164" fontId="11" fillId="3" borderId="19" xfId="0" applyNumberFormat="1" applyFont="1" applyFill="1" applyBorder="1" applyProtection="1">
      <protection locked="0"/>
    </xf>
    <xf numFmtId="0" fontId="13" fillId="3" borderId="16" xfId="0" applyFont="1" applyFill="1" applyBorder="1" applyAlignment="1" applyProtection="1">
      <alignment horizontal="center"/>
      <protection locked="0"/>
    </xf>
    <xf numFmtId="0" fontId="13" fillId="3" borderId="25" xfId="0" applyFont="1" applyFill="1" applyBorder="1" applyAlignment="1" applyProtection="1">
      <alignment horizontal="center"/>
      <protection locked="0"/>
    </xf>
    <xf numFmtId="164" fontId="11" fillId="3" borderId="20" xfId="0" applyNumberFormat="1" applyFont="1" applyFill="1" applyBorder="1" applyProtection="1"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164" fontId="11" fillId="3" borderId="16" xfId="0" applyNumberFormat="1" applyFont="1" applyFill="1" applyBorder="1" applyProtection="1">
      <protection locked="0"/>
    </xf>
    <xf numFmtId="2" fontId="11" fillId="3" borderId="64" xfId="0" applyNumberFormat="1" applyFont="1" applyFill="1" applyBorder="1" applyProtection="1">
      <protection locked="0"/>
    </xf>
    <xf numFmtId="0" fontId="13" fillId="3" borderId="64" xfId="0" applyFont="1" applyFill="1" applyBorder="1" applyAlignment="1" applyProtection="1">
      <alignment horizontal="center"/>
      <protection locked="0"/>
    </xf>
    <xf numFmtId="2" fontId="11" fillId="58" borderId="68" xfId="0" applyNumberFormat="1" applyFont="1" applyFill="1" applyBorder="1" applyProtection="1">
      <protection locked="0"/>
    </xf>
    <xf numFmtId="2" fontId="11" fillId="3" borderId="26" xfId="0" applyNumberFormat="1" applyFont="1" applyFill="1" applyBorder="1" applyProtection="1">
      <protection locked="0"/>
    </xf>
    <xf numFmtId="164" fontId="11" fillId="3" borderId="27" xfId="0" applyNumberFormat="1" applyFont="1" applyFill="1" applyBorder="1" applyProtection="1">
      <protection locked="0"/>
    </xf>
    <xf numFmtId="2" fontId="11" fillId="58" borderId="69" xfId="0" applyNumberFormat="1" applyFont="1" applyFill="1" applyBorder="1" applyProtection="1">
      <protection locked="0"/>
    </xf>
    <xf numFmtId="2" fontId="11" fillId="3" borderId="52" xfId="0" applyNumberFormat="1" applyFont="1" applyFill="1" applyBorder="1" applyProtection="1">
      <protection locked="0"/>
    </xf>
    <xf numFmtId="164" fontId="11" fillId="3" borderId="51" xfId="0" applyNumberFormat="1" applyFont="1" applyFill="1" applyBorder="1" applyProtection="1">
      <protection locked="0"/>
    </xf>
    <xf numFmtId="2" fontId="11" fillId="3" borderId="70" xfId="0" applyNumberFormat="1" applyFont="1" applyFill="1" applyBorder="1" applyProtection="1">
      <protection locked="0"/>
    </xf>
    <xf numFmtId="0" fontId="11" fillId="7" borderId="68" xfId="0" applyFont="1" applyFill="1" applyBorder="1" applyProtection="1">
      <protection locked="0"/>
    </xf>
    <xf numFmtId="0" fontId="11" fillId="58" borderId="68" xfId="0" applyFont="1" applyFill="1" applyBorder="1" applyProtection="1">
      <protection locked="0"/>
    </xf>
    <xf numFmtId="0" fontId="11" fillId="58" borderId="69" xfId="0" applyFont="1" applyFill="1" applyBorder="1" applyProtection="1">
      <protection locked="0"/>
    </xf>
    <xf numFmtId="2" fontId="11" fillId="58" borderId="63" xfId="0" applyNumberFormat="1" applyFont="1" applyFill="1" applyBorder="1" applyProtection="1">
      <protection locked="0"/>
    </xf>
    <xf numFmtId="2" fontId="11" fillId="3" borderId="24" xfId="1" applyNumberFormat="1" applyFont="1" applyFill="1" applyBorder="1"/>
    <xf numFmtId="3" fontId="13" fillId="0" borderId="38" xfId="0" applyNumberFormat="1" applyFont="1" applyBorder="1" applyAlignment="1">
      <alignment horizontal="right"/>
    </xf>
    <xf numFmtId="164" fontId="11" fillId="2" borderId="39" xfId="0" applyNumberFormat="1" applyFont="1" applyFill="1" applyBorder="1"/>
    <xf numFmtId="164" fontId="11" fillId="2" borderId="22" xfId="0" applyNumberFormat="1" applyFont="1" applyFill="1" applyBorder="1"/>
    <xf numFmtId="3" fontId="11" fillId="3" borderId="21" xfId="0" applyNumberFormat="1" applyFont="1" applyFill="1" applyBorder="1"/>
    <xf numFmtId="0" fontId="11" fillId="3" borderId="39" xfId="0" applyFont="1" applyFill="1" applyBorder="1"/>
    <xf numFmtId="3" fontId="11" fillId="2" borderId="46" xfId="0" applyNumberFormat="1" applyFont="1" applyFill="1" applyBorder="1"/>
    <xf numFmtId="0" fontId="11" fillId="3" borderId="15" xfId="0" applyFont="1" applyFill="1" applyBorder="1"/>
    <xf numFmtId="3" fontId="11" fillId="3" borderId="16" xfId="0" applyNumberFormat="1" applyFont="1" applyFill="1" applyBorder="1"/>
    <xf numFmtId="3" fontId="13" fillId="0" borderId="28" xfId="0" applyNumberFormat="1" applyFont="1" applyBorder="1" applyAlignment="1">
      <alignment horizontal="right"/>
    </xf>
    <xf numFmtId="164" fontId="11" fillId="2" borderId="10" xfId="0" applyNumberFormat="1" applyFont="1" applyFill="1" applyBorder="1"/>
    <xf numFmtId="164" fontId="11" fillId="2" borderId="1" xfId="0" applyNumberFormat="1" applyFont="1" applyFill="1" applyBorder="1"/>
    <xf numFmtId="0" fontId="11" fillId="3" borderId="3" xfId="0" applyFont="1" applyFill="1" applyBorder="1"/>
    <xf numFmtId="3" fontId="11" fillId="2" borderId="44" xfId="0" applyNumberFormat="1" applyFont="1" applyFill="1" applyBorder="1"/>
    <xf numFmtId="3" fontId="11" fillId="3" borderId="25" xfId="0" applyNumberFormat="1" applyFont="1" applyFill="1" applyBorder="1"/>
    <xf numFmtId="3" fontId="11" fillId="3" borderId="43" xfId="0" applyNumberFormat="1" applyFont="1" applyFill="1" applyBorder="1"/>
    <xf numFmtId="164" fontId="11" fillId="2" borderId="27" xfId="0" applyNumberFormat="1" applyFont="1" applyFill="1" applyBorder="1"/>
    <xf numFmtId="3" fontId="11" fillId="2" borderId="30" xfId="0" applyNumberFormat="1" applyFont="1" applyFill="1" applyBorder="1"/>
    <xf numFmtId="3" fontId="11" fillId="3" borderId="28" xfId="0" applyNumberFormat="1" applyFont="1" applyFill="1" applyBorder="1"/>
    <xf numFmtId="164" fontId="11" fillId="2" borderId="3" xfId="0" applyNumberFormat="1" applyFont="1" applyFill="1" applyBorder="1"/>
    <xf numFmtId="164" fontId="11" fillId="2" borderId="30" xfId="0" applyNumberFormat="1" applyFont="1" applyFill="1" applyBorder="1"/>
    <xf numFmtId="0" fontId="11" fillId="3" borderId="10" xfId="0" applyFont="1" applyFill="1" applyBorder="1"/>
    <xf numFmtId="3" fontId="11" fillId="3" borderId="42" xfId="0" applyNumberFormat="1" applyFont="1" applyFill="1" applyBorder="1"/>
    <xf numFmtId="164" fontId="11" fillId="2" borderId="37" xfId="0" applyNumberFormat="1" applyFont="1" applyFill="1" applyBorder="1"/>
    <xf numFmtId="164" fontId="11" fillId="2" borderId="18" xfId="0" applyNumberFormat="1" applyFont="1" applyFill="1" applyBorder="1"/>
    <xf numFmtId="0" fontId="11" fillId="3" borderId="29" xfId="0" applyFont="1" applyFill="1" applyBorder="1"/>
    <xf numFmtId="3" fontId="11" fillId="2" borderId="45" xfId="0" applyNumberFormat="1" applyFont="1" applyFill="1" applyBorder="1"/>
    <xf numFmtId="3" fontId="11" fillId="3" borderId="18" xfId="0" applyNumberFormat="1" applyFont="1" applyFill="1" applyBorder="1"/>
    <xf numFmtId="0" fontId="10" fillId="9" borderId="0" xfId="0" applyFont="1" applyFill="1"/>
    <xf numFmtId="3" fontId="11" fillId="3" borderId="38" xfId="0" applyNumberFormat="1" applyFont="1" applyFill="1" applyBorder="1"/>
    <xf numFmtId="164" fontId="11" fillId="2" borderId="46" xfId="0" applyNumberFormat="1" applyFont="1" applyFill="1" applyBorder="1"/>
    <xf numFmtId="3" fontId="11" fillId="3" borderId="50" xfId="0" applyNumberFormat="1" applyFont="1" applyFill="1" applyBorder="1"/>
    <xf numFmtId="164" fontId="11" fillId="2" borderId="29" xfId="0" applyNumberFormat="1" applyFont="1" applyFill="1" applyBorder="1"/>
    <xf numFmtId="3" fontId="11" fillId="2" borderId="31" xfId="0" applyNumberFormat="1" applyFont="1" applyFill="1" applyBorder="1"/>
    <xf numFmtId="3" fontId="11" fillId="3" borderId="39" xfId="0" applyNumberFormat="1" applyFont="1" applyFill="1" applyBorder="1"/>
    <xf numFmtId="3" fontId="11" fillId="3" borderId="3" xfId="0" applyNumberFormat="1" applyFont="1" applyFill="1" applyBorder="1"/>
    <xf numFmtId="3" fontId="11" fillId="3" borderId="44" xfId="0" applyNumberFormat="1" applyFont="1" applyFill="1" applyBorder="1"/>
    <xf numFmtId="3" fontId="11" fillId="3" borderId="27" xfId="0" applyNumberFormat="1" applyFont="1" applyFill="1" applyBorder="1"/>
    <xf numFmtId="164" fontId="11" fillId="2" borderId="44" xfId="0" applyNumberFormat="1" applyFont="1" applyFill="1" applyBorder="1"/>
    <xf numFmtId="3" fontId="11" fillId="3" borderId="8" xfId="0" applyNumberFormat="1" applyFont="1" applyFill="1" applyBorder="1"/>
    <xf numFmtId="164" fontId="13" fillId="3" borderId="3" xfId="0" applyNumberFormat="1" applyFont="1" applyFill="1" applyBorder="1"/>
    <xf numFmtId="3" fontId="11" fillId="3" borderId="13" xfId="0" applyNumberFormat="1" applyFont="1" applyFill="1" applyBorder="1"/>
    <xf numFmtId="0" fontId="11" fillId="3" borderId="14" xfId="0" applyFont="1" applyFill="1" applyBorder="1"/>
    <xf numFmtId="3" fontId="11" fillId="3" borderId="9" xfId="0" applyNumberFormat="1" applyFont="1" applyFill="1" applyBorder="1"/>
    <xf numFmtId="3" fontId="11" fillId="3" borderId="10" xfId="0" applyNumberFormat="1" applyFont="1" applyFill="1" applyBorder="1"/>
    <xf numFmtId="164" fontId="11" fillId="2" borderId="9" xfId="0" applyNumberFormat="1" applyFont="1" applyFill="1" applyBorder="1"/>
    <xf numFmtId="3" fontId="11" fillId="3" borderId="29" xfId="0" applyNumberFormat="1" applyFont="1" applyFill="1" applyBorder="1"/>
    <xf numFmtId="0" fontId="11" fillId="3" borderId="37" xfId="0" applyFont="1" applyFill="1" applyBorder="1"/>
    <xf numFmtId="3" fontId="11" fillId="3" borderId="45" xfId="0" applyNumberFormat="1" applyFont="1" applyFill="1" applyBorder="1"/>
    <xf numFmtId="0" fontId="28" fillId="6" borderId="0" xfId="0" applyFont="1" applyFill="1" applyAlignment="1">
      <alignment horizontal="centerContinuous"/>
    </xf>
    <xf numFmtId="0" fontId="11" fillId="6" borderId="0" xfId="0" applyFont="1" applyFill="1" applyAlignment="1">
      <alignment horizontal="centerContinuous"/>
    </xf>
    <xf numFmtId="0" fontId="11" fillId="9" borderId="15" xfId="0" applyFont="1" applyFill="1" applyBorder="1"/>
    <xf numFmtId="0" fontId="11" fillId="22" borderId="15" xfId="0" applyFont="1" applyFill="1" applyBorder="1" applyAlignment="1">
      <alignment horizontal="center"/>
    </xf>
    <xf numFmtId="0" fontId="11" fillId="22" borderId="61" xfId="0" applyFont="1" applyFill="1" applyBorder="1" applyAlignment="1">
      <alignment horizontal="center"/>
    </xf>
    <xf numFmtId="0" fontId="11" fillId="22" borderId="16" xfId="0" applyFont="1" applyFill="1" applyBorder="1" applyAlignment="1">
      <alignment horizontal="center"/>
    </xf>
    <xf numFmtId="0" fontId="11" fillId="22" borderId="54" xfId="0" applyFont="1" applyFill="1" applyBorder="1" applyAlignment="1">
      <alignment horizontal="center"/>
    </xf>
    <xf numFmtId="0" fontId="11" fillId="22" borderId="81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 vertical="center"/>
    </xf>
    <xf numFmtId="0" fontId="54" fillId="0" borderId="0" xfId="45" applyProtection="1">
      <protection locked="0"/>
    </xf>
    <xf numFmtId="0" fontId="10" fillId="24" borderId="24" xfId="0" applyFont="1" applyFill="1" applyBorder="1" applyAlignment="1">
      <alignment horizontal="centerContinuous"/>
    </xf>
    <xf numFmtId="4" fontId="11" fillId="3" borderId="14" xfId="0" applyNumberFormat="1" applyFont="1" applyFill="1" applyBorder="1" applyProtection="1">
      <protection locked="0"/>
    </xf>
    <xf numFmtId="4" fontId="11" fillId="3" borderId="49" xfId="0" applyNumberFormat="1" applyFont="1" applyFill="1" applyBorder="1" applyProtection="1">
      <protection locked="0"/>
    </xf>
    <xf numFmtId="9" fontId="11" fillId="3" borderId="49" xfId="0" applyNumberFormat="1" applyFont="1" applyFill="1" applyBorder="1" applyProtection="1">
      <protection locked="0"/>
    </xf>
    <xf numFmtId="2" fontId="13" fillId="3" borderId="49" xfId="0" applyNumberFormat="1" applyFont="1" applyFill="1" applyBorder="1" applyProtection="1">
      <protection locked="0"/>
    </xf>
    <xf numFmtId="0" fontId="1" fillId="3" borderId="49" xfId="0" applyFont="1" applyFill="1" applyBorder="1" applyProtection="1">
      <protection locked="0"/>
    </xf>
    <xf numFmtId="4" fontId="13" fillId="3" borderId="49" xfId="0" applyNumberFormat="1" applyFont="1" applyFill="1" applyBorder="1" applyProtection="1">
      <protection locked="0"/>
    </xf>
    <xf numFmtId="2" fontId="11" fillId="3" borderId="49" xfId="0" applyNumberFormat="1" applyFont="1" applyFill="1" applyBorder="1" applyProtection="1">
      <protection locked="0"/>
    </xf>
    <xf numFmtId="0" fontId="0" fillId="3" borderId="49" xfId="0" applyFill="1" applyBorder="1" applyProtection="1">
      <protection locked="0"/>
    </xf>
    <xf numFmtId="2" fontId="11" fillId="3" borderId="10" xfId="0" applyNumberFormat="1" applyFont="1" applyFill="1" applyBorder="1" applyProtection="1">
      <protection locked="0"/>
    </xf>
    <xf numFmtId="2" fontId="13" fillId="3" borderId="14" xfId="0" applyNumberFormat="1" applyFont="1" applyFill="1" applyBorder="1" applyProtection="1">
      <protection locked="0"/>
    </xf>
    <xf numFmtId="2" fontId="13" fillId="3" borderId="10" xfId="0" applyNumberFormat="1" applyFont="1" applyFill="1" applyBorder="1" applyProtection="1">
      <protection locked="0"/>
    </xf>
    <xf numFmtId="4" fontId="11" fillId="3" borderId="10" xfId="0" applyNumberFormat="1" applyFont="1" applyFill="1" applyBorder="1" applyProtection="1">
      <protection locked="0"/>
    </xf>
    <xf numFmtId="2" fontId="11" fillId="22" borderId="3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11" fillId="3" borderId="7" xfId="0" applyFont="1" applyFill="1" applyBorder="1" applyAlignment="1">
      <alignment horizontal="centerContinuous"/>
    </xf>
    <xf numFmtId="0" fontId="11" fillId="3" borderId="2" xfId="0" applyFont="1" applyFill="1" applyBorder="1" applyAlignment="1">
      <alignment horizontal="centerContinuous"/>
    </xf>
    <xf numFmtId="0" fontId="11" fillId="3" borderId="8" xfId="0" applyFont="1" applyFill="1" applyBorder="1" applyAlignment="1">
      <alignment horizontal="centerContinuous"/>
    </xf>
    <xf numFmtId="0" fontId="11" fillId="3" borderId="5" xfId="0" applyFont="1" applyFill="1" applyBorder="1"/>
    <xf numFmtId="0" fontId="0" fillId="3" borderId="9" xfId="0" applyFill="1" applyBorder="1"/>
    <xf numFmtId="0" fontId="0" fillId="3" borderId="2" xfId="0" applyFill="1" applyBorder="1" applyAlignment="1">
      <alignment horizontal="centerContinuous"/>
    </xf>
    <xf numFmtId="0" fontId="11" fillId="3" borderId="9" xfId="0" applyFont="1" applyFill="1" applyBorder="1" applyAlignment="1">
      <alignment horizontal="centerContinuous"/>
    </xf>
    <xf numFmtId="0" fontId="10" fillId="3" borderId="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2" xfId="0" applyFont="1" applyFill="1" applyBorder="1"/>
    <xf numFmtId="1" fontId="11" fillId="3" borderId="11" xfId="0" applyNumberFormat="1" applyFont="1" applyFill="1" applyBorder="1"/>
    <xf numFmtId="1" fontId="11" fillId="3" borderId="4" xfId="0" applyNumberFormat="1" applyFont="1" applyFill="1" applyBorder="1"/>
    <xf numFmtId="2" fontId="11" fillId="3" borderId="6" xfId="0" applyNumberFormat="1" applyFont="1" applyFill="1" applyBorder="1" applyProtection="1">
      <protection hidden="1"/>
    </xf>
    <xf numFmtId="172" fontId="11" fillId="3" borderId="0" xfId="0" applyNumberFormat="1" applyFont="1" applyFill="1" applyProtection="1">
      <protection hidden="1"/>
    </xf>
    <xf numFmtId="3" fontId="11" fillId="3" borderId="4" xfId="0" applyNumberFormat="1" applyFont="1" applyFill="1" applyBorder="1" applyProtection="1">
      <protection hidden="1"/>
    </xf>
    <xf numFmtId="3" fontId="11" fillId="3" borderId="0" xfId="0" applyNumberFormat="1" applyFont="1" applyFill="1" applyProtection="1">
      <protection hidden="1"/>
    </xf>
    <xf numFmtId="2" fontId="11" fillId="3" borderId="4" xfId="0" applyNumberFormat="1" applyFont="1" applyFill="1" applyBorder="1" applyProtection="1">
      <protection hidden="1"/>
    </xf>
    <xf numFmtId="9" fontId="11" fillId="3" borderId="4" xfId="0" applyNumberFormat="1" applyFont="1" applyFill="1" applyBorder="1" applyProtection="1">
      <protection hidden="1"/>
    </xf>
    <xf numFmtId="0" fontId="10" fillId="3" borderId="6" xfId="0" applyFont="1" applyFill="1" applyBorder="1"/>
    <xf numFmtId="4" fontId="10" fillId="3" borderId="0" xfId="0" applyNumberFormat="1" applyFont="1" applyFill="1"/>
    <xf numFmtId="3" fontId="10" fillId="3" borderId="4" xfId="0" applyNumberFormat="1" applyFont="1" applyFill="1" applyBorder="1" applyProtection="1">
      <protection hidden="1"/>
    </xf>
    <xf numFmtId="4" fontId="10" fillId="3" borderId="4" xfId="0" applyNumberFormat="1" applyFont="1" applyFill="1" applyBorder="1"/>
    <xf numFmtId="3" fontId="10" fillId="3" borderId="0" xfId="0" applyNumberFormat="1" applyFont="1" applyFill="1" applyProtection="1">
      <protection hidden="1"/>
    </xf>
    <xf numFmtId="2" fontId="10" fillId="3" borderId="4" xfId="0" applyNumberFormat="1" applyFont="1" applyFill="1" applyBorder="1"/>
    <xf numFmtId="0" fontId="10" fillId="3" borderId="6" xfId="0" applyFont="1" applyFill="1" applyBorder="1" applyAlignment="1">
      <alignment horizontal="center"/>
    </xf>
    <xf numFmtId="2" fontId="10" fillId="3" borderId="0" xfId="0" applyNumberFormat="1" applyFont="1" applyFill="1" applyAlignment="1" applyProtection="1">
      <alignment horizontal="centerContinuous"/>
      <protection hidden="1"/>
    </xf>
    <xf numFmtId="2" fontId="10" fillId="3" borderId="4" xfId="0" applyNumberFormat="1" applyFont="1" applyFill="1" applyBorder="1" applyAlignment="1">
      <alignment horizontal="centerContinuous"/>
    </xf>
    <xf numFmtId="0" fontId="11" fillId="3" borderId="6" xfId="0" applyFont="1" applyFill="1" applyBorder="1"/>
    <xf numFmtId="4" fontId="11" fillId="3" borderId="0" xfId="0" applyNumberFormat="1" applyFont="1" applyFill="1" applyProtection="1">
      <protection hidden="1"/>
    </xf>
    <xf numFmtId="4" fontId="10" fillId="3" borderId="0" xfId="0" applyNumberFormat="1" applyFont="1" applyFill="1" applyProtection="1">
      <protection hidden="1"/>
    </xf>
    <xf numFmtId="9" fontId="10" fillId="3" borderId="4" xfId="0" applyNumberFormat="1" applyFont="1" applyFill="1" applyBorder="1" applyProtection="1">
      <protection hidden="1"/>
    </xf>
    <xf numFmtId="2" fontId="10" fillId="3" borderId="4" xfId="0" applyNumberFormat="1" applyFont="1" applyFill="1" applyBorder="1" applyProtection="1">
      <protection hidden="1"/>
    </xf>
    <xf numFmtId="2" fontId="11" fillId="3" borderId="1" xfId="0" applyNumberFormat="1" applyFont="1" applyFill="1" applyBorder="1" applyProtection="1">
      <protection hidden="1"/>
    </xf>
    <xf numFmtId="2" fontId="11" fillId="3" borderId="9" xfId="0" applyNumberFormat="1" applyFont="1" applyFill="1" applyBorder="1" applyProtection="1">
      <protection hidden="1"/>
    </xf>
    <xf numFmtId="0" fontId="55" fillId="3" borderId="0" xfId="0" applyFont="1" applyFill="1" applyAlignment="1">
      <alignment horizontal="center"/>
    </xf>
    <xf numFmtId="0" fontId="11" fillId="3" borderId="10" xfId="0" applyFont="1" applyFill="1" applyBorder="1" applyAlignment="1">
      <alignment horizontal="center"/>
    </xf>
    <xf numFmtId="3" fontId="11" fillId="3" borderId="49" xfId="0" applyNumberFormat="1" applyFont="1" applyFill="1" applyBorder="1"/>
    <xf numFmtId="3" fontId="11" fillId="3" borderId="4" xfId="0" applyNumberFormat="1" applyFont="1" applyFill="1" applyBorder="1"/>
    <xf numFmtId="3" fontId="11" fillId="3" borderId="49" xfId="0" applyNumberFormat="1" applyFont="1" applyFill="1" applyBorder="1" applyProtection="1">
      <protection hidden="1"/>
    </xf>
    <xf numFmtId="2" fontId="11" fillId="3" borderId="49" xfId="0" applyNumberFormat="1" applyFont="1" applyFill="1" applyBorder="1" applyProtection="1">
      <protection hidden="1"/>
    </xf>
    <xf numFmtId="4" fontId="11" fillId="3" borderId="4" xfId="0" applyNumberFormat="1" applyFont="1" applyFill="1" applyBorder="1" applyProtection="1">
      <protection hidden="1"/>
    </xf>
    <xf numFmtId="9" fontId="11" fillId="3" borderId="49" xfId="0" applyNumberFormat="1" applyFont="1" applyFill="1" applyBorder="1" applyProtection="1">
      <protection hidden="1"/>
    </xf>
    <xf numFmtId="3" fontId="10" fillId="3" borderId="49" xfId="0" applyNumberFormat="1" applyFont="1" applyFill="1" applyBorder="1" applyProtection="1">
      <protection hidden="1"/>
    </xf>
    <xf numFmtId="2" fontId="10" fillId="3" borderId="49" xfId="0" applyNumberFormat="1" applyFont="1" applyFill="1" applyBorder="1"/>
    <xf numFmtId="0" fontId="11" fillId="3" borderId="4" xfId="0" applyFont="1" applyFill="1" applyBorder="1"/>
    <xf numFmtId="171" fontId="11" fillId="3" borderId="1" xfId="0" applyNumberFormat="1" applyFont="1" applyFill="1" applyBorder="1"/>
    <xf numFmtId="0" fontId="11" fillId="3" borderId="9" xfId="0" applyFont="1" applyFill="1" applyBorder="1"/>
    <xf numFmtId="0" fontId="55" fillId="3" borderId="0" xfId="0" applyFont="1" applyFill="1" applyAlignment="1">
      <alignment horizontal="centerContinuous"/>
    </xf>
    <xf numFmtId="0" fontId="1" fillId="4" borderId="6" xfId="0" applyFont="1" applyFill="1" applyBorder="1"/>
    <xf numFmtId="0" fontId="56" fillId="3" borderId="0" xfId="45" applyFont="1" applyFill="1" applyProtection="1">
      <protection locked="0"/>
    </xf>
    <xf numFmtId="0" fontId="57" fillId="3" borderId="0" xfId="45" applyFont="1" applyFill="1" applyBorder="1" applyProtection="1">
      <protection locked="0"/>
    </xf>
    <xf numFmtId="0" fontId="57" fillId="3" borderId="0" xfId="45" applyFont="1" applyFill="1" applyProtection="1">
      <protection locked="0"/>
    </xf>
    <xf numFmtId="0" fontId="57" fillId="3" borderId="0" xfId="45" applyFont="1" applyFill="1" applyBorder="1" applyAlignment="1" applyProtection="1">
      <alignment horizontal="left"/>
      <protection locked="0"/>
    </xf>
    <xf numFmtId="0" fontId="10" fillId="5" borderId="1" xfId="0" applyFont="1" applyFill="1" applyBorder="1" applyAlignment="1">
      <alignment vertical="center"/>
    </xf>
    <xf numFmtId="166" fontId="10" fillId="5" borderId="9" xfId="0" applyNumberFormat="1" applyFont="1" applyFill="1" applyBorder="1"/>
    <xf numFmtId="0" fontId="0" fillId="3" borderId="0" xfId="0" applyFill="1" applyProtection="1">
      <protection locked="0"/>
    </xf>
    <xf numFmtId="0" fontId="11" fillId="20" borderId="4" xfId="0" applyFont="1" applyFill="1" applyBorder="1"/>
    <xf numFmtId="0" fontId="10" fillId="16" borderId="0" xfId="0" applyFont="1" applyFill="1"/>
    <xf numFmtId="0" fontId="54" fillId="3" borderId="0" xfId="45" applyFill="1" applyBorder="1" applyProtection="1"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57" fillId="3" borderId="0" xfId="45" applyFont="1" applyFill="1" applyProtection="1"/>
    <xf numFmtId="0" fontId="57" fillId="3" borderId="6" xfId="45" applyFont="1" applyFill="1" applyBorder="1" applyProtection="1">
      <protection locked="0"/>
    </xf>
    <xf numFmtId="0" fontId="12" fillId="3" borderId="12" xfId="0" applyFont="1" applyFill="1" applyBorder="1"/>
    <xf numFmtId="0" fontId="0" fillId="3" borderId="11" xfId="0" applyFill="1" applyBorder="1"/>
    <xf numFmtId="0" fontId="0" fillId="3" borderId="13" xfId="0" applyFill="1" applyBorder="1"/>
    <xf numFmtId="0" fontId="12" fillId="3" borderId="6" xfId="0" applyFont="1" applyFill="1" applyBorder="1"/>
    <xf numFmtId="0" fontId="0" fillId="3" borderId="4" xfId="0" applyFill="1" applyBorder="1"/>
    <xf numFmtId="165" fontId="11" fillId="3" borderId="7" xfId="0" applyNumberFormat="1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Protection="1">
      <protection locked="0"/>
    </xf>
    <xf numFmtId="0" fontId="47" fillId="3" borderId="7" xfId="0" applyFont="1" applyFill="1" applyBorder="1" applyProtection="1">
      <protection locked="0"/>
    </xf>
    <xf numFmtId="0" fontId="47" fillId="3" borderId="0" xfId="0" applyFont="1" applyFill="1" applyProtection="1">
      <protection locked="0"/>
    </xf>
    <xf numFmtId="0" fontId="47" fillId="3" borderId="2" xfId="0" applyFont="1" applyFill="1" applyBorder="1" applyAlignment="1" applyProtection="1">
      <alignment horizontal="right"/>
      <protection locked="0"/>
    </xf>
    <xf numFmtId="0" fontId="11" fillId="3" borderId="13" xfId="0" applyFont="1" applyFill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  <xf numFmtId="2" fontId="10" fillId="3" borderId="0" xfId="0" applyNumberFormat="1" applyFont="1" applyFill="1" applyAlignment="1" applyProtection="1">
      <alignment horizontal="center"/>
      <protection hidden="1"/>
    </xf>
    <xf numFmtId="2" fontId="10" fillId="3" borderId="4" xfId="0" applyNumberFormat="1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Protection="1">
      <protection locked="0"/>
    </xf>
    <xf numFmtId="171" fontId="0" fillId="6" borderId="3" xfId="0" applyNumberFormat="1" applyFill="1" applyBorder="1" applyAlignment="1">
      <alignment horizontal="center"/>
    </xf>
    <xf numFmtId="168" fontId="6" fillId="15" borderId="0" xfId="0" applyNumberFormat="1" applyFont="1" applyFill="1" applyAlignment="1">
      <alignment wrapText="1"/>
    </xf>
    <xf numFmtId="168" fontId="6" fillId="71" borderId="0" xfId="0" applyNumberFormat="1" applyFont="1" applyFill="1" applyAlignment="1">
      <alignment wrapText="1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2" fontId="11" fillId="11" borderId="12" xfId="0" applyNumberFormat="1" applyFont="1" applyFill="1" applyBorder="1" applyAlignment="1">
      <alignment horizontal="center"/>
    </xf>
    <xf numFmtId="2" fontId="11" fillId="11" borderId="84" xfId="0" applyNumberFormat="1" applyFont="1" applyFill="1" applyBorder="1" applyAlignment="1">
      <alignment horizontal="center"/>
    </xf>
    <xf numFmtId="165" fontId="11" fillId="3" borderId="3" xfId="0" applyNumberFormat="1" applyFont="1" applyFill="1" applyBorder="1" applyAlignment="1" applyProtection="1">
      <alignment horizontal="right"/>
      <protection locked="0"/>
    </xf>
    <xf numFmtId="2" fontId="11" fillId="11" borderId="20" xfId="0" applyNumberFormat="1" applyFont="1" applyFill="1" applyBorder="1" applyAlignment="1">
      <alignment horizontal="center"/>
    </xf>
    <xf numFmtId="0" fontId="11" fillId="11" borderId="17" xfId="0" applyFont="1" applyFill="1" applyBorder="1" applyAlignment="1">
      <alignment horizontal="left"/>
    </xf>
    <xf numFmtId="165" fontId="11" fillId="11" borderId="20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left"/>
      <protection locked="0"/>
    </xf>
    <xf numFmtId="0" fontId="11" fillId="3" borderId="3" xfId="0" applyFont="1" applyFill="1" applyBorder="1" applyAlignment="1">
      <alignment horizontal="left"/>
    </xf>
    <xf numFmtId="165" fontId="6" fillId="8" borderId="3" xfId="0" applyNumberFormat="1" applyFont="1" applyFill="1" applyBorder="1"/>
    <xf numFmtId="0" fontId="6" fillId="3" borderId="8" xfId="0" applyFont="1" applyFill="1" applyBorder="1"/>
    <xf numFmtId="9" fontId="11" fillId="0" borderId="0" xfId="0" applyNumberFormat="1" applyFont="1"/>
    <xf numFmtId="0" fontId="6" fillId="4" borderId="4" xfId="0" applyFont="1" applyFill="1" applyBorder="1"/>
    <xf numFmtId="2" fontId="6" fillId="8" borderId="3" xfId="0" applyNumberFormat="1" applyFont="1" applyFill="1" applyBorder="1"/>
    <xf numFmtId="0" fontId="6" fillId="4" borderId="9" xfId="0" applyFont="1" applyFill="1" applyBorder="1"/>
    <xf numFmtId="0" fontId="57" fillId="3" borderId="24" xfId="45" applyFont="1" applyFill="1" applyBorder="1"/>
    <xf numFmtId="0" fontId="57" fillId="3" borderId="0" xfId="45" applyFont="1" applyFill="1"/>
    <xf numFmtId="0" fontId="13" fillId="3" borderId="32" xfId="0" applyFont="1" applyFill="1" applyBorder="1" applyAlignment="1">
      <alignment horizontal="left"/>
    </xf>
    <xf numFmtId="0" fontId="6" fillId="3" borderId="33" xfId="0" applyFont="1" applyFill="1" applyBorder="1"/>
    <xf numFmtId="0" fontId="58" fillId="3" borderId="0" xfId="0" applyFont="1" applyFill="1" applyAlignment="1">
      <alignment horizontal="left"/>
    </xf>
    <xf numFmtId="164" fontId="11" fillId="2" borderId="56" xfId="0" applyNumberFormat="1" applyFont="1" applyFill="1" applyBorder="1"/>
    <xf numFmtId="164" fontId="11" fillId="2" borderId="84" xfId="0" applyNumberFormat="1" applyFont="1" applyFill="1" applyBorder="1"/>
    <xf numFmtId="1" fontId="11" fillId="3" borderId="16" xfId="0" applyNumberFormat="1" applyFont="1" applyFill="1" applyBorder="1"/>
    <xf numFmtId="1" fontId="11" fillId="3" borderId="25" xfId="0" applyNumberFormat="1" applyFont="1" applyFill="1" applyBorder="1"/>
    <xf numFmtId="1" fontId="11" fillId="3" borderId="18" xfId="0" applyNumberFormat="1" applyFont="1" applyFill="1" applyBorder="1"/>
    <xf numFmtId="3" fontId="11" fillId="3" borderId="62" xfId="0" applyNumberFormat="1" applyFont="1" applyFill="1" applyBorder="1"/>
    <xf numFmtId="3" fontId="11" fillId="3" borderId="30" xfId="0" applyNumberFormat="1" applyFont="1" applyFill="1" applyBorder="1"/>
    <xf numFmtId="164" fontId="13" fillId="3" borderId="7" xfId="0" applyNumberFormat="1" applyFont="1" applyFill="1" applyBorder="1"/>
    <xf numFmtId="9" fontId="11" fillId="3" borderId="1" xfId="0" applyNumberFormat="1" applyFont="1" applyFill="1" applyBorder="1"/>
    <xf numFmtId="9" fontId="11" fillId="3" borderId="1" xfId="0" applyNumberFormat="1" applyFont="1" applyFill="1" applyBorder="1" applyProtection="1">
      <protection locked="0"/>
    </xf>
    <xf numFmtId="164" fontId="11" fillId="3" borderId="10" xfId="0" applyNumberFormat="1" applyFont="1" applyFill="1" applyBorder="1"/>
    <xf numFmtId="164" fontId="11" fillId="3" borderId="10" xfId="0" applyNumberFormat="1" applyFont="1" applyFill="1" applyBorder="1" applyProtection="1">
      <protection locked="0"/>
    </xf>
    <xf numFmtId="164" fontId="11" fillId="3" borderId="3" xfId="0" applyNumberFormat="1" applyFont="1" applyFill="1" applyBorder="1"/>
    <xf numFmtId="164" fontId="11" fillId="3" borderId="35" xfId="0" applyNumberFormat="1" applyFont="1" applyFill="1" applyBorder="1"/>
    <xf numFmtId="164" fontId="11" fillId="3" borderId="3" xfId="0" applyNumberFormat="1" applyFont="1" applyFill="1" applyBorder="1" applyProtection="1">
      <protection locked="0"/>
    </xf>
    <xf numFmtId="164" fontId="11" fillId="3" borderId="35" xfId="0" applyNumberFormat="1" applyFont="1" applyFill="1" applyBorder="1" applyProtection="1">
      <protection locked="0"/>
    </xf>
    <xf numFmtId="164" fontId="11" fillId="3" borderId="1" xfId="0" applyNumberFormat="1" applyFont="1" applyFill="1" applyBorder="1"/>
    <xf numFmtId="164" fontId="11" fillId="3" borderId="30" xfId="0" applyNumberFormat="1" applyFont="1" applyFill="1" applyBorder="1"/>
    <xf numFmtId="164" fontId="11" fillId="3" borderId="30" xfId="0" applyNumberFormat="1" applyFont="1" applyFill="1" applyBorder="1" applyProtection="1">
      <protection locked="0"/>
    </xf>
    <xf numFmtId="164" fontId="11" fillId="3" borderId="7" xfId="0" applyNumberFormat="1" applyFont="1" applyFill="1" applyBorder="1"/>
    <xf numFmtId="164" fontId="11" fillId="3" borderId="29" xfId="0" applyNumberFormat="1" applyFont="1" applyFill="1" applyBorder="1"/>
    <xf numFmtId="164" fontId="11" fillId="3" borderId="31" xfId="0" applyNumberFormat="1" applyFont="1" applyFill="1" applyBorder="1"/>
    <xf numFmtId="164" fontId="11" fillId="3" borderId="29" xfId="0" applyNumberFormat="1" applyFont="1" applyFill="1" applyBorder="1" applyProtection="1">
      <protection locked="0"/>
    </xf>
    <xf numFmtId="164" fontId="11" fillId="3" borderId="31" xfId="0" applyNumberFormat="1" applyFont="1" applyFill="1" applyBorder="1" applyProtection="1">
      <protection locked="0"/>
    </xf>
    <xf numFmtId="0" fontId="50" fillId="3" borderId="5" xfId="0" applyFont="1" applyFill="1" applyBorder="1"/>
    <xf numFmtId="0" fontId="10" fillId="3" borderId="0" xfId="0" applyFont="1" applyFill="1" applyAlignment="1">
      <alignment vertical="center"/>
    </xf>
    <xf numFmtId="4" fontId="11" fillId="3" borderId="30" xfId="0" applyNumberFormat="1" applyFont="1" applyFill="1" applyBorder="1"/>
    <xf numFmtId="3" fontId="11" fillId="3" borderId="30" xfId="0" applyNumberFormat="1" applyFont="1" applyFill="1" applyBorder="1" applyAlignment="1">
      <alignment horizontal="right"/>
    </xf>
    <xf numFmtId="3" fontId="11" fillId="3" borderId="31" xfId="0" applyNumberFormat="1" applyFont="1" applyFill="1" applyBorder="1" applyAlignment="1">
      <alignment horizontal="right"/>
    </xf>
    <xf numFmtId="0" fontId="11" fillId="3" borderId="23" xfId="0" applyFont="1" applyFill="1" applyBorder="1" applyAlignment="1">
      <alignment horizontal="centerContinuous"/>
    </xf>
    <xf numFmtId="0" fontId="6" fillId="3" borderId="39" xfId="0" applyFont="1" applyFill="1" applyBorder="1"/>
    <xf numFmtId="0" fontId="6" fillId="3" borderId="5" xfId="0" applyFont="1" applyFill="1" applyBorder="1"/>
    <xf numFmtId="0" fontId="59" fillId="22" borderId="0" xfId="0" applyFont="1" applyFill="1"/>
    <xf numFmtId="0" fontId="59" fillId="22" borderId="0" xfId="0" applyFont="1" applyFill="1" applyAlignment="1">
      <alignment horizontal="center"/>
    </xf>
    <xf numFmtId="164" fontId="11" fillId="19" borderId="10" xfId="0" applyNumberFormat="1" applyFont="1" applyFill="1" applyBorder="1"/>
    <xf numFmtId="164" fontId="11" fillId="19" borderId="27" xfId="0" applyNumberFormat="1" applyFont="1" applyFill="1" applyBorder="1"/>
    <xf numFmtId="2" fontId="11" fillId="19" borderId="28" xfId="0" applyNumberFormat="1" applyFont="1" applyFill="1" applyBorder="1"/>
    <xf numFmtId="164" fontId="11" fillId="19" borderId="3" xfId="0" applyNumberFormat="1" applyFont="1" applyFill="1" applyBorder="1"/>
    <xf numFmtId="164" fontId="11" fillId="19" borderId="35" xfId="0" applyNumberFormat="1" applyFont="1" applyFill="1" applyBorder="1"/>
    <xf numFmtId="3" fontId="11" fillId="19" borderId="44" xfId="0" applyNumberFormat="1" applyFont="1" applyFill="1" applyBorder="1"/>
    <xf numFmtId="164" fontId="11" fillId="19" borderId="30" xfId="0" applyNumberFormat="1" applyFont="1" applyFill="1" applyBorder="1"/>
    <xf numFmtId="164" fontId="11" fillId="19" borderId="29" xfId="0" applyNumberFormat="1" applyFont="1" applyFill="1" applyBorder="1"/>
    <xf numFmtId="164" fontId="11" fillId="19" borderId="31" xfId="0" applyNumberFormat="1" applyFont="1" applyFill="1" applyBorder="1"/>
    <xf numFmtId="3" fontId="60" fillId="7" borderId="40" xfId="0" applyNumberFormat="1" applyFont="1" applyFill="1" applyBorder="1" applyProtection="1">
      <protection locked="0"/>
    </xf>
    <xf numFmtId="3" fontId="60" fillId="7" borderId="24" xfId="0" applyNumberFormat="1" applyFont="1" applyFill="1" applyBorder="1" applyProtection="1">
      <protection locked="0"/>
    </xf>
    <xf numFmtId="3" fontId="60" fillId="7" borderId="41" xfId="0" applyNumberFormat="1" applyFont="1" applyFill="1" applyBorder="1" applyProtection="1">
      <protection locked="0"/>
    </xf>
    <xf numFmtId="3" fontId="60" fillId="7" borderId="30" xfId="0" applyNumberFormat="1" applyFont="1" applyFill="1" applyBorder="1" applyProtection="1">
      <protection locked="0"/>
    </xf>
    <xf numFmtId="0" fontId="61" fillId="3" borderId="0" xfId="45" applyFont="1" applyFill="1" applyProtection="1"/>
    <xf numFmtId="0" fontId="11" fillId="3" borderId="0" xfId="45" applyFont="1" applyFill="1" applyProtection="1"/>
    <xf numFmtId="0" fontId="11" fillId="5" borderId="20" xfId="0" applyFont="1" applyFill="1" applyBorder="1"/>
    <xf numFmtId="166" fontId="10" fillId="5" borderId="4" xfId="0" applyNumberFormat="1" applyFont="1" applyFill="1" applyBorder="1"/>
    <xf numFmtId="0" fontId="8" fillId="5" borderId="4" xfId="0" applyFont="1" applyFill="1" applyBorder="1"/>
    <xf numFmtId="0" fontId="11" fillId="5" borderId="20" xfId="0" applyFont="1" applyFill="1" applyBorder="1" applyAlignment="1">
      <alignment horizontal="right"/>
    </xf>
    <xf numFmtId="2" fontId="11" fillId="5" borderId="20" xfId="0" applyNumberFormat="1" applyFont="1" applyFill="1" applyBorder="1"/>
    <xf numFmtId="2" fontId="11" fillId="5" borderId="58" xfId="0" applyNumberFormat="1" applyFont="1" applyFill="1" applyBorder="1" applyAlignment="1">
      <alignment horizontal="right"/>
    </xf>
    <xf numFmtId="0" fontId="0" fillId="2" borderId="6" xfId="0" applyFill="1" applyBorder="1"/>
    <xf numFmtId="2" fontId="11" fillId="5" borderId="0" xfId="0" applyNumberFormat="1" applyFont="1" applyFill="1" applyAlignment="1" applyProtection="1">
      <alignment horizontal="right"/>
      <protection locked="0"/>
    </xf>
    <xf numFmtId="0" fontId="6" fillId="8" borderId="3" xfId="0" applyFont="1" applyFill="1" applyBorder="1"/>
    <xf numFmtId="164" fontId="11" fillId="2" borderId="56" xfId="0" applyNumberFormat="1" applyFont="1" applyFill="1" applyBorder="1" applyProtection="1">
      <protection locked="0"/>
    </xf>
    <xf numFmtId="164" fontId="11" fillId="19" borderId="1" xfId="0" applyNumberFormat="1" applyFont="1" applyFill="1" applyBorder="1"/>
    <xf numFmtId="164" fontId="11" fillId="2" borderId="84" xfId="0" applyNumberFormat="1" applyFont="1" applyFill="1" applyBorder="1" applyProtection="1">
      <protection locked="0"/>
    </xf>
    <xf numFmtId="0" fontId="6" fillId="3" borderId="62" xfId="0" applyFont="1" applyFill="1" applyBorder="1"/>
    <xf numFmtId="0" fontId="6" fillId="3" borderId="85" xfId="0" applyFont="1" applyFill="1" applyBorder="1"/>
    <xf numFmtId="164" fontId="11" fillId="19" borderId="7" xfId="0" applyNumberFormat="1" applyFont="1" applyFill="1" applyBorder="1"/>
    <xf numFmtId="164" fontId="11" fillId="2" borderId="5" xfId="0" applyNumberFormat="1" applyFont="1" applyFill="1" applyBorder="1" applyProtection="1">
      <protection locked="0"/>
    </xf>
    <xf numFmtId="164" fontId="13" fillId="3" borderId="7" xfId="0" applyNumberFormat="1" applyFont="1" applyFill="1" applyBorder="1" applyProtection="1">
      <protection locked="0"/>
    </xf>
    <xf numFmtId="0" fontId="0" fillId="3" borderId="54" xfId="0" applyFill="1" applyBorder="1"/>
    <xf numFmtId="0" fontId="0" fillId="3" borderId="6" xfId="0" applyFill="1" applyBorder="1"/>
    <xf numFmtId="0" fontId="0" fillId="3" borderId="20" xfId="0" applyFill="1" applyBorder="1" applyProtection="1">
      <protection locked="0"/>
    </xf>
    <xf numFmtId="4" fontId="61" fillId="3" borderId="0" xfId="45" applyNumberFormat="1" applyFont="1" applyFill="1" applyProtection="1"/>
    <xf numFmtId="2" fontId="0" fillId="3" borderId="6" xfId="0" applyNumberFormat="1" applyFill="1" applyBorder="1"/>
    <xf numFmtId="0" fontId="11" fillId="0" borderId="2" xfId="0" applyFont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57" fillId="3" borderId="20" xfId="45" applyFont="1" applyFill="1" applyBorder="1" applyProtection="1">
      <protection locked="0"/>
    </xf>
    <xf numFmtId="0" fontId="9" fillId="3" borderId="0" xfId="0" applyFont="1" applyFill="1" applyAlignment="1">
      <alignment horizontal="center"/>
    </xf>
    <xf numFmtId="0" fontId="57" fillId="3" borderId="0" xfId="45" applyFont="1" applyFill="1" applyProtection="1">
      <protection locked="0"/>
    </xf>
    <xf numFmtId="0" fontId="56" fillId="3" borderId="0" xfId="45" applyFont="1" applyFill="1" applyAlignment="1" applyProtection="1">
      <protection locked="0"/>
    </xf>
    <xf numFmtId="0" fontId="57" fillId="3" borderId="6" xfId="45" applyFont="1" applyFill="1" applyBorder="1" applyProtection="1">
      <protection locked="0"/>
    </xf>
    <xf numFmtId="0" fontId="56" fillId="3" borderId="6" xfId="45" applyFont="1" applyFill="1" applyBorder="1" applyProtection="1">
      <protection locked="0"/>
    </xf>
    <xf numFmtId="0" fontId="56" fillId="3" borderId="0" xfId="45" applyFont="1" applyFill="1" applyBorder="1" applyProtection="1">
      <protection locked="0"/>
    </xf>
    <xf numFmtId="0" fontId="56" fillId="3" borderId="20" xfId="45" applyFont="1" applyFill="1" applyBorder="1" applyProtection="1">
      <protection locked="0"/>
    </xf>
    <xf numFmtId="0" fontId="56" fillId="0" borderId="20" xfId="45" applyFont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Hyperlink 2" xfId="46" xr:uid="{A9E99659-980D-458F-B307-5C44F12BB187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6000000}"/>
    <cellStyle name="Normal 3" xfId="42" xr:uid="{00000000-0005-0000-0000-000027000000}"/>
    <cellStyle name="Normal 4" xfId="44" xr:uid="{00000000-0005-0000-0000-000028000000}"/>
    <cellStyle name="Note 2" xfId="43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7E2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93EDB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DCB9FF"/>
      <rgbColor rgb="00FFCC99"/>
      <rgbColor rgb="003366FF"/>
      <rgbColor rgb="0033CCCC"/>
      <rgbColor rgb="00E5FF9B"/>
      <rgbColor rgb="00FFCC00"/>
      <rgbColor rgb="00FF9900"/>
      <rgbColor rgb="00FF6600"/>
      <rgbColor rgb="00FCE430"/>
      <rgbColor rgb="00969696"/>
      <rgbColor rgb="00003366"/>
      <rgbColor rgb="00339966"/>
      <rgbColor rgb="00003300"/>
      <rgbColor rgb="00333300"/>
      <rgbColor rgb="00EBD7A5"/>
      <rgbColor rgb="00993366"/>
      <rgbColor rgb="00333399"/>
      <rgbColor rgb="00333333"/>
    </indexedColors>
    <mruColors>
      <color rgb="FF0000FF"/>
      <color rgb="FF74B230"/>
      <color rgb="FFFF33CC"/>
      <color rgb="FFE9E7E8"/>
      <color rgb="FFF13223"/>
      <color rgb="FFFF2B15"/>
      <color rgb="FFFF0000"/>
      <color rgb="FFFF5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694891</xdr:colOff>
      <xdr:row>0</xdr:row>
      <xdr:rowOff>96189</xdr:rowOff>
    </xdr:from>
    <xdr:to>
      <xdr:col>0</xdr:col>
      <xdr:colOff>706493</xdr:colOff>
      <xdr:row>0</xdr:row>
      <xdr:rowOff>96909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14:cNvPr>
            <xdr14:cNvContentPartPr/>
          </xdr14:nvContentPartPr>
          <xdr14:nvPr macro=""/>
          <xdr14:xfrm>
            <a:off x="694891" y="96189"/>
            <a:ext cx="6840" cy="72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8771" y="90069"/>
              <a:ext cx="19080" cy="12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2051418</xdr:colOff>
      <xdr:row>6</xdr:row>
      <xdr:rowOff>140970</xdr:rowOff>
    </xdr:to>
    <xdr:pic>
      <xdr:nvPicPr>
        <xdr:cNvPr id="3" name="Picture 2" descr="University of Arkansas System Division of Agriculture's Logo&#10;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51418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10-24T03:27:29.6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156 351 1375 0 0,'-12'1'128'0'0,"6"-1"-128"0"0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3"/>
  <sheetViews>
    <sheetView zoomScale="80" zoomScaleNormal="80" workbookViewId="0">
      <selection activeCell="C3" sqref="C3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5" width="2.73046875" customWidth="1"/>
    <col min="6" max="6" width="38" bestFit="1" customWidth="1"/>
    <col min="7" max="7" width="8.73046875" customWidth="1"/>
    <col min="8" max="9" width="2.73046875" customWidth="1"/>
    <col min="10" max="10" width="38" bestFit="1" customWidth="1"/>
    <col min="11" max="11" width="8.73046875" customWidth="1"/>
    <col min="12" max="12" width="8.1328125" customWidth="1"/>
    <col min="13" max="14" width="2.73046875" customWidth="1"/>
    <col min="15" max="15" width="40.86328125" bestFit="1" customWidth="1"/>
    <col min="16" max="16" width="10.1328125" bestFit="1" customWidth="1"/>
    <col min="17" max="18" width="9.86328125" bestFit="1" customWidth="1"/>
    <col min="19" max="19" width="19" bestFit="1" customWidth="1"/>
    <col min="20" max="22" width="2.73046875" customWidth="1"/>
    <col min="23" max="23" width="6.265625" customWidth="1"/>
    <col min="24" max="24" width="22.73046875" bestFit="1" customWidth="1"/>
    <col min="27" max="29" width="2.73046875" customWidth="1"/>
    <col min="30" max="30" width="16.3984375" bestFit="1" customWidth="1"/>
    <col min="31" max="31" width="40" bestFit="1" customWidth="1"/>
    <col min="32" max="32" width="14.3984375" bestFit="1" customWidth="1"/>
    <col min="34" max="34" width="10.1328125" bestFit="1" customWidth="1"/>
    <col min="36" max="37" width="2.73046875" customWidth="1"/>
  </cols>
  <sheetData>
    <row r="1" spans="2:35" ht="13.9" x14ac:dyDescent="0.4">
      <c r="B1" s="532" t="s">
        <v>782</v>
      </c>
      <c r="C1" s="653"/>
      <c r="D1" s="3"/>
      <c r="E1" s="1190"/>
      <c r="F1" s="4" t="s">
        <v>783</v>
      </c>
      <c r="G1" s="3"/>
      <c r="H1" s="3"/>
      <c r="I1" s="1190"/>
      <c r="J1" s="4" t="s">
        <v>787</v>
      </c>
      <c r="K1" s="3"/>
      <c r="L1" s="3"/>
      <c r="M1" s="1190"/>
      <c r="N1" s="3"/>
      <c r="O1" s="308" t="s">
        <v>521</v>
      </c>
      <c r="P1" s="1180" t="str">
        <f>IF(AND(Irrigation!B2&lt;3,Irrigation!B7=1),"Diesel",IF(Irrigation!B2=3,"None","Electric"))</f>
        <v>Diesel</v>
      </c>
      <c r="Q1" s="1180" t="str">
        <f>IF(Irrigation!B2&lt;3,"Diesel","None")</f>
        <v>Diesel</v>
      </c>
      <c r="R1" s="1180" t="s">
        <v>479</v>
      </c>
      <c r="S1" s="1180" t="s">
        <v>253</v>
      </c>
      <c r="T1" s="1191"/>
      <c r="U1" s="1190"/>
      <c r="V1" s="3"/>
      <c r="W1" s="650"/>
      <c r="X1" s="529" t="s">
        <v>531</v>
      </c>
      <c r="Y1" s="653"/>
      <c r="Z1" s="3"/>
      <c r="AA1" s="3"/>
      <c r="AB1" s="1190"/>
      <c r="AC1" s="3"/>
      <c r="AD1" s="308" t="s">
        <v>522</v>
      </c>
      <c r="AF1" s="4"/>
      <c r="AG1" s="4"/>
      <c r="AH1" s="3"/>
      <c r="AI1" s="3"/>
    </row>
    <row r="2" spans="2:35" ht="13.9" x14ac:dyDescent="0.4">
      <c r="B2" s="409" t="s">
        <v>583</v>
      </c>
      <c r="C2" s="846"/>
      <c r="D2" s="3"/>
      <c r="E2" s="1190"/>
      <c r="F2" s="1243" t="s">
        <v>583</v>
      </c>
      <c r="G2" s="397"/>
      <c r="H2" s="3"/>
      <c r="I2" s="1190"/>
      <c r="J2" s="1243" t="s">
        <v>788</v>
      </c>
      <c r="K2" s="397"/>
      <c r="L2" s="3"/>
      <c r="M2" s="1190"/>
      <c r="N2" s="3"/>
      <c r="O2" s="648" t="s">
        <v>15</v>
      </c>
      <c r="P2" s="1181">
        <f>Budget!D3</f>
        <v>105</v>
      </c>
      <c r="Q2" s="1177">
        <f>P2</f>
        <v>105</v>
      </c>
      <c r="R2" s="650">
        <v>220</v>
      </c>
      <c r="S2" s="1177">
        <f>IF(Irrigation!$B$2&lt;3,(Q2*$Q$36)+(R2*$R$36),A1_Link!Q2)</f>
        <v>158.72842096437361</v>
      </c>
      <c r="T2" s="650"/>
      <c r="U2" s="1190"/>
      <c r="V2" s="3"/>
      <c r="W2" s="3"/>
      <c r="X2" s="3"/>
      <c r="Y2" s="3"/>
      <c r="Z2" s="3"/>
      <c r="AA2" s="3"/>
      <c r="AB2" s="1190"/>
      <c r="AC2" s="3"/>
      <c r="AD2" s="4"/>
      <c r="AE2" s="656" t="s">
        <v>312</v>
      </c>
      <c r="AF2" s="657" t="s">
        <v>499</v>
      </c>
      <c r="AG2" s="409"/>
      <c r="AH2" s="530" t="s">
        <v>516</v>
      </c>
      <c r="AI2" s="3"/>
    </row>
    <row r="3" spans="2:35" ht="13.9" x14ac:dyDescent="0.4">
      <c r="B3" s="4" t="s">
        <v>15</v>
      </c>
      <c r="C3" s="1183">
        <f>Budget!D3</f>
        <v>105</v>
      </c>
      <c r="D3" s="3"/>
      <c r="E3" s="1190"/>
      <c r="F3" s="4" t="s">
        <v>2</v>
      </c>
      <c r="G3" s="1272" t="str">
        <f>Budget!C3</f>
        <v>Bu.</v>
      </c>
      <c r="H3" s="3"/>
      <c r="I3" s="1190"/>
      <c r="J3" s="651" t="s">
        <v>492</v>
      </c>
      <c r="K3" s="1183">
        <f>C3</f>
        <v>105</v>
      </c>
      <c r="L3" s="182"/>
      <c r="M3" s="1190"/>
      <c r="N3" s="3"/>
      <c r="O3" s="648" t="s">
        <v>21</v>
      </c>
      <c r="P3" s="1181">
        <f>Budget!E3</f>
        <v>4.75</v>
      </c>
      <c r="Q3" s="1177">
        <f>P3</f>
        <v>4.75</v>
      </c>
      <c r="R3" s="650">
        <v>4</v>
      </c>
      <c r="S3" s="1177">
        <f>IF(Irrigation!$B$2&lt;3,(Q3*$Q$36)+(R3*$R$36),A1_Link!Q3)</f>
        <v>4.399597254580172</v>
      </c>
      <c r="T3" s="650"/>
      <c r="U3" s="1190"/>
      <c r="V3" s="3"/>
      <c r="W3" s="3"/>
      <c r="X3" s="648" t="s">
        <v>21</v>
      </c>
      <c r="Y3" s="650">
        <f>Budget!E3</f>
        <v>4.75</v>
      </c>
      <c r="AA3" s="3"/>
      <c r="AB3" s="1190"/>
      <c r="AC3" s="3"/>
      <c r="AD3" s="4"/>
      <c r="AE3" s="4" t="s">
        <v>518</v>
      </c>
      <c r="AF3" s="4">
        <v>8</v>
      </c>
      <c r="AG3" s="183" t="s">
        <v>507</v>
      </c>
      <c r="AH3" s="650">
        <f>Seed_Chemical!F4*0.5</f>
        <v>13.52</v>
      </c>
      <c r="AI3" s="659">
        <f>AH3/Seed_Chemical!$F$8</f>
        <v>0.5</v>
      </c>
    </row>
    <row r="4" spans="2:35" ht="13.9" x14ac:dyDescent="0.4">
      <c r="B4" s="4" t="s">
        <v>21</v>
      </c>
      <c r="C4" s="666">
        <f>Budget!E3</f>
        <v>4.75</v>
      </c>
      <c r="D4" s="3"/>
      <c r="E4" s="1190"/>
      <c r="F4" s="4" t="s">
        <v>786</v>
      </c>
      <c r="G4" s="1189">
        <f>C3</f>
        <v>105</v>
      </c>
      <c r="H4" s="3"/>
      <c r="I4" s="1190"/>
      <c r="J4" s="651" t="s">
        <v>493</v>
      </c>
      <c r="K4" s="1245">
        <f>C4</f>
        <v>4.75</v>
      </c>
      <c r="L4" s="182"/>
      <c r="M4" s="1190"/>
      <c r="N4" s="3"/>
      <c r="O4" s="648" t="s">
        <v>480</v>
      </c>
      <c r="P4" s="1181" t="str">
        <f>IF(A2_Budget_Look_Up!B7&gt;0,SUM(P28:P30)," ")</f>
        <v xml:space="preserve"> </v>
      </c>
      <c r="Q4" s="1177" t="str">
        <f>P4</f>
        <v xml:space="preserve"> </v>
      </c>
      <c r="R4" s="650">
        <v>0</v>
      </c>
      <c r="S4" s="1177">
        <f>IF(Irrigation!$B$2&lt;3,(IF(A2_Budget_Look_Up!B7&gt;0,Q4,0)*$Q$36)+(IF(A2_Budget_Look_Up!B7&gt;0,R4,0)*$R$36),A1_Link!Q4)</f>
        <v>0</v>
      </c>
      <c r="T4" s="650"/>
      <c r="U4" s="1190"/>
      <c r="V4" s="3"/>
      <c r="W4" s="3"/>
      <c r="X4" s="648" t="s">
        <v>15</v>
      </c>
      <c r="Y4" s="650">
        <f>Budget!D3</f>
        <v>105</v>
      </c>
      <c r="Z4" s="4"/>
      <c r="AA4" s="3"/>
      <c r="AB4" s="1190"/>
      <c r="AC4" s="3"/>
      <c r="AD4" s="4"/>
      <c r="AE4" s="4" t="s">
        <v>511</v>
      </c>
      <c r="AF4" s="4">
        <v>131</v>
      </c>
      <c r="AG4" s="183" t="s">
        <v>507</v>
      </c>
      <c r="AH4" s="650">
        <f>Seed_Chemical!F4*0.5</f>
        <v>13.52</v>
      </c>
      <c r="AI4" s="659">
        <f>AH4/Seed_Chemical!$F$8</f>
        <v>0.5</v>
      </c>
    </row>
    <row r="5" spans="2:35" ht="13.9" x14ac:dyDescent="0.4">
      <c r="B5" s="651" t="s">
        <v>648</v>
      </c>
      <c r="C5" s="1182">
        <f>Budget!B3</f>
        <v>1</v>
      </c>
      <c r="D5" s="3"/>
      <c r="E5" s="1190"/>
      <c r="F5" s="651"/>
      <c r="G5" s="1186"/>
      <c r="H5" s="3"/>
      <c r="I5" s="1190"/>
      <c r="J5" s="651" t="s">
        <v>648</v>
      </c>
      <c r="K5" s="405">
        <f>C5</f>
        <v>1</v>
      </c>
      <c r="L5" s="182"/>
      <c r="M5" s="1190"/>
      <c r="N5" s="3"/>
      <c r="O5" s="648"/>
      <c r="P5" s="1181"/>
      <c r="Q5" s="1177"/>
      <c r="R5" s="650"/>
      <c r="S5" s="301"/>
      <c r="T5" s="3"/>
      <c r="U5" s="1190"/>
      <c r="V5" s="3"/>
      <c r="W5" s="3"/>
      <c r="X5" s="648" t="s">
        <v>818</v>
      </c>
      <c r="Y5" s="650">
        <f>IF(A2_Budget_Look_Up!B7&gt;0,Y13,0)</f>
        <v>0</v>
      </c>
      <c r="Z5" s="4"/>
      <c r="AA5" s="3"/>
      <c r="AB5" s="1190"/>
      <c r="AC5" s="3"/>
      <c r="AD5" s="4"/>
      <c r="AE5" s="4" t="s">
        <v>512</v>
      </c>
      <c r="AF5" s="4">
        <v>376</v>
      </c>
      <c r="AG5" s="183" t="s">
        <v>507</v>
      </c>
      <c r="AH5" s="650">
        <f>Seed_Chemical!F5</f>
        <v>0</v>
      </c>
      <c r="AI5" s="659">
        <f>AH5/Seed_Chemical!$F$8</f>
        <v>0</v>
      </c>
    </row>
    <row r="6" spans="2:35" ht="13.9" x14ac:dyDescent="0.4">
      <c r="B6" s="1185" t="s">
        <v>315</v>
      </c>
      <c r="C6" s="1186">
        <f>IF(A2_Budget_Look_Up!B7&gt;0,Budget!F4,0)</f>
        <v>0</v>
      </c>
      <c r="D6" s="3"/>
      <c r="E6" s="1190"/>
      <c r="F6" s="1185" t="s">
        <v>21</v>
      </c>
      <c r="G6" s="1186">
        <f>C4</f>
        <v>4.75</v>
      </c>
      <c r="H6" s="3"/>
      <c r="I6" s="1190"/>
      <c r="J6" s="652" t="s">
        <v>231</v>
      </c>
      <c r="K6" s="173">
        <f>K3*K4*(K5)</f>
        <v>498.75</v>
      </c>
      <c r="L6" s="182"/>
      <c r="M6" s="1190"/>
      <c r="N6" s="3"/>
      <c r="O6" s="648" t="s">
        <v>481</v>
      </c>
      <c r="P6" s="1181">
        <f>Budget!F6</f>
        <v>27.04</v>
      </c>
      <c r="Q6" s="1177">
        <f t="shared" ref="Q6:Q26" si="0">P6</f>
        <v>27.04</v>
      </c>
      <c r="R6" s="650">
        <v>125.73</v>
      </c>
      <c r="S6" s="1177">
        <f>IF(Irrigation!$B$2&lt;3,(Q6*$Q$36)+(R6*$R$36),A1_Link!Q6)</f>
        <v>73.148329260643763</v>
      </c>
      <c r="T6" s="650"/>
      <c r="U6" s="1190"/>
      <c r="V6" s="3"/>
      <c r="W6" s="3"/>
      <c r="X6" s="648"/>
      <c r="Y6" s="4"/>
      <c r="Z6" s="4"/>
      <c r="AA6" s="3"/>
      <c r="AB6" s="1190"/>
      <c r="AC6" s="3"/>
      <c r="AD6" s="845"/>
      <c r="AE6" s="4" t="s">
        <v>506</v>
      </c>
      <c r="AF6" s="4">
        <v>130</v>
      </c>
      <c r="AG6" s="183" t="s">
        <v>507</v>
      </c>
      <c r="AH6" s="650">
        <f t="shared" ref="AH6:AH20" si="1">P7</f>
        <v>98.291666666666657</v>
      </c>
      <c r="AI6" s="658"/>
    </row>
    <row r="7" spans="2:35" ht="13.9" x14ac:dyDescent="0.4">
      <c r="B7" s="1187"/>
      <c r="C7" s="1188"/>
      <c r="D7" s="3"/>
      <c r="E7" s="1190"/>
      <c r="F7" s="1187"/>
      <c r="G7" s="1186"/>
      <c r="H7" s="3"/>
      <c r="I7" s="1190"/>
      <c r="J7" s="652" t="s">
        <v>315</v>
      </c>
      <c r="K7" s="173">
        <f>IF(A2_Budget_Look_Up!B7&gt;0,Print_Budget!F4,0)</f>
        <v>0</v>
      </c>
      <c r="L7" s="182"/>
      <c r="M7" s="1190"/>
      <c r="N7" s="3"/>
      <c r="O7" s="648" t="s">
        <v>304</v>
      </c>
      <c r="P7" s="1181">
        <f>Budget!F7</f>
        <v>98.291666666666657</v>
      </c>
      <c r="Q7" s="1177">
        <f t="shared" si="0"/>
        <v>98.291666666666657</v>
      </c>
      <c r="R7" s="650">
        <v>104.82639999999999</v>
      </c>
      <c r="S7" s="1177">
        <f>IF(Irrigation!$B$2&lt;3,(Q7*$Q$36)+(R7*$R$36),A1_Link!Q7)</f>
        <v>101.34471800078194</v>
      </c>
      <c r="T7" s="650"/>
      <c r="U7" s="1190"/>
      <c r="V7" s="3"/>
      <c r="W7" s="3"/>
      <c r="X7" s="648" t="s">
        <v>495</v>
      </c>
      <c r="Y7" s="650">
        <f>SUM(Budget!F6:F18)+SUM(Budget!F20:F23)+Budget!F25+Budget!F26+(Budget!F28*(1-A1_Link!W12))+SUM(Budget!F29:F32)+SUM(Budget!F34:F37)-Budget!F36</f>
        <v>466.67387151767593</v>
      </c>
      <c r="Z7" s="4"/>
      <c r="AA7" s="3"/>
      <c r="AB7" s="1190"/>
      <c r="AC7" s="3"/>
      <c r="AD7" s="845"/>
      <c r="AE7" s="4" t="s">
        <v>506</v>
      </c>
      <c r="AF7" s="4">
        <v>130</v>
      </c>
      <c r="AG7" s="183" t="s">
        <v>507</v>
      </c>
      <c r="AH7" s="650">
        <f t="shared" si="1"/>
        <v>60.750000000000007</v>
      </c>
      <c r="AI7" s="3"/>
    </row>
    <row r="8" spans="2:35" ht="13.9" x14ac:dyDescent="0.4">
      <c r="B8" s="1185" t="s">
        <v>223</v>
      </c>
      <c r="C8" s="1186">
        <f>Budget!F6</f>
        <v>27.04</v>
      </c>
      <c r="D8" s="3"/>
      <c r="E8" s="1190"/>
      <c r="F8" s="4" t="s">
        <v>702</v>
      </c>
      <c r="G8" s="1182">
        <f>C5</f>
        <v>1</v>
      </c>
      <c r="H8" s="3"/>
      <c r="I8" s="1190"/>
      <c r="J8" s="3"/>
      <c r="K8" s="4"/>
      <c r="L8" s="182"/>
      <c r="M8" s="1190"/>
      <c r="N8" s="3"/>
      <c r="O8" s="648" t="s">
        <v>482</v>
      </c>
      <c r="P8" s="1181">
        <f>Budget!F8</f>
        <v>60.750000000000007</v>
      </c>
      <c r="Q8" s="1177">
        <f t="shared" si="0"/>
        <v>60.750000000000007</v>
      </c>
      <c r="R8" s="650">
        <v>30</v>
      </c>
      <c r="S8" s="1177">
        <f>IF(Irrigation!$B$2&lt;3,(Q8*$Q$36)+(R8*$R$36),A1_Link!Q8)</f>
        <v>46.383487437787061</v>
      </c>
      <c r="T8" s="650"/>
      <c r="U8" s="1190"/>
      <c r="V8" s="3"/>
      <c r="W8" s="3"/>
      <c r="X8" s="648" t="s">
        <v>1</v>
      </c>
      <c r="Y8" s="650">
        <f>Budget!F36</f>
        <v>31</v>
      </c>
      <c r="Z8" s="650"/>
      <c r="AA8" s="3"/>
      <c r="AB8" s="1190"/>
      <c r="AC8" s="3"/>
      <c r="AD8" s="845"/>
      <c r="AE8" s="4" t="s">
        <v>506</v>
      </c>
      <c r="AF8" s="4">
        <v>130</v>
      </c>
      <c r="AG8" s="183" t="s">
        <v>507</v>
      </c>
      <c r="AH8" s="650">
        <f t="shared" si="1"/>
        <v>26.4</v>
      </c>
      <c r="AI8" s="3"/>
    </row>
    <row r="9" spans="2:35" ht="13.9" x14ac:dyDescent="0.4">
      <c r="B9" s="1185" t="s">
        <v>224</v>
      </c>
      <c r="C9" s="1186">
        <f>SUM(Budget!F7:F13)</f>
        <v>199.79166666666666</v>
      </c>
      <c r="D9" s="3"/>
      <c r="E9" s="1190"/>
      <c r="F9" s="4"/>
      <c r="G9" s="1186"/>
      <c r="H9" s="3"/>
      <c r="I9" s="1190"/>
      <c r="J9" s="648" t="s">
        <v>777</v>
      </c>
      <c r="K9" s="663">
        <f>SUM(K23:K29)</f>
        <v>424.04491062562181</v>
      </c>
      <c r="L9" s="182">
        <v>491.31931557339078</v>
      </c>
      <c r="M9" s="1190"/>
      <c r="N9" s="3"/>
      <c r="O9" s="648" t="s">
        <v>483</v>
      </c>
      <c r="P9" s="1181">
        <f>Budget!F9</f>
        <v>26.4</v>
      </c>
      <c r="Q9" s="1177">
        <f t="shared" si="0"/>
        <v>26.4</v>
      </c>
      <c r="R9" s="650">
        <v>33.299999999999997</v>
      </c>
      <c r="S9" s="1177">
        <f>IF(Irrigation!$B$2&lt;3,(Q9*$Q$36)+(R9*$R$36),A1_Link!Q9)</f>
        <v>29.623705257862415</v>
      </c>
      <c r="T9" s="650"/>
      <c r="U9" s="1190"/>
      <c r="V9" s="3"/>
      <c r="W9" s="3"/>
      <c r="X9" s="648" t="s">
        <v>55</v>
      </c>
      <c r="Y9" s="650">
        <f>Trips!E45+Trips!E51+(Trips!E72*(1-W10))+Trips!E76</f>
        <v>10.52686500859007</v>
      </c>
      <c r="Z9" s="91"/>
      <c r="AA9" s="3"/>
      <c r="AB9" s="1190"/>
      <c r="AC9" s="3"/>
      <c r="AD9" s="845"/>
      <c r="AE9" s="4" t="s">
        <v>506</v>
      </c>
      <c r="AF9" s="4">
        <v>130</v>
      </c>
      <c r="AG9" s="183" t="s">
        <v>507</v>
      </c>
      <c r="AH9" s="650">
        <f t="shared" si="1"/>
        <v>14.350000000000001</v>
      </c>
      <c r="AI9" s="3"/>
    </row>
    <row r="10" spans="2:35" ht="13.9" x14ac:dyDescent="0.4">
      <c r="B10" s="1185" t="s">
        <v>494</v>
      </c>
      <c r="C10" s="1186">
        <f>SUM(Budget!F14:F18)</f>
        <v>62.027450000000009</v>
      </c>
      <c r="D10" s="3"/>
      <c r="E10" s="1190"/>
      <c r="F10" s="651"/>
      <c r="G10" s="1186"/>
      <c r="H10" s="3"/>
      <c r="I10" s="1190"/>
      <c r="J10" s="648" t="s">
        <v>1</v>
      </c>
      <c r="K10" s="665">
        <f>K31</f>
        <v>31</v>
      </c>
      <c r="L10" s="182">
        <v>0</v>
      </c>
      <c r="M10" s="1190"/>
      <c r="N10" s="3"/>
      <c r="O10" s="648" t="s">
        <v>484</v>
      </c>
      <c r="P10" s="1181">
        <f>SUM(Budget!F10:F13)</f>
        <v>14.350000000000001</v>
      </c>
      <c r="Q10" s="1177">
        <f t="shared" si="0"/>
        <v>14.350000000000001</v>
      </c>
      <c r="R10" s="650">
        <v>22.159999999999997</v>
      </c>
      <c r="S10" s="1177">
        <f>IF(Irrigation!$B$2&lt;3,(Q10*$Q$36)+(R10*$R$36),A1_Link!Q10)</f>
        <v>17.998860588971809</v>
      </c>
      <c r="T10" s="650"/>
      <c r="U10" s="1190"/>
      <c r="V10" s="3"/>
      <c r="W10" s="1307">
        <v>0</v>
      </c>
      <c r="X10" s="648" t="s">
        <v>497</v>
      </c>
      <c r="Y10" s="650">
        <f>Trips!E72*W10</f>
        <v>0</v>
      </c>
      <c r="Z10" s="650">
        <f>Budget!D$3</f>
        <v>105</v>
      </c>
      <c r="AA10" s="650"/>
      <c r="AB10" s="1190"/>
      <c r="AC10" s="3"/>
      <c r="AD10" s="845"/>
      <c r="AE10" s="4" t="s">
        <v>505</v>
      </c>
      <c r="AF10" s="4">
        <v>131</v>
      </c>
      <c r="AG10" s="183" t="s">
        <v>507</v>
      </c>
      <c r="AH10" s="650">
        <f t="shared" si="1"/>
        <v>32.388250000000006</v>
      </c>
      <c r="AI10" s="3"/>
    </row>
    <row r="11" spans="2:35" ht="13.9" x14ac:dyDescent="0.4">
      <c r="B11" s="1185" t="s">
        <v>225</v>
      </c>
      <c r="C11" s="1186">
        <f>SUM(Budget!F20:F23)</f>
        <v>76.5</v>
      </c>
      <c r="D11" s="3"/>
      <c r="E11" s="1190"/>
      <c r="F11" s="1185" t="s">
        <v>223</v>
      </c>
      <c r="G11" s="1186">
        <f>C8</f>
        <v>27.04</v>
      </c>
      <c r="H11" s="3"/>
      <c r="I11" s="1190"/>
      <c r="J11" s="648" t="s">
        <v>789</v>
      </c>
      <c r="K11" s="665">
        <f>K30+SUM(K32:K35)</f>
        <v>59.473507533297223</v>
      </c>
      <c r="L11" s="182">
        <v>58.670258247720405</v>
      </c>
      <c r="M11" s="1190"/>
      <c r="N11" s="3"/>
      <c r="O11" s="648" t="s">
        <v>183</v>
      </c>
      <c r="P11" s="1181">
        <f>Budget!F14</f>
        <v>32.388250000000006</v>
      </c>
      <c r="Q11" s="1177">
        <f t="shared" si="0"/>
        <v>32.388250000000006</v>
      </c>
      <c r="R11" s="650">
        <v>23.8</v>
      </c>
      <c r="S11" s="1177">
        <f>IF(Irrigation!$B$2&lt;3,(Q11*$Q$36)+(R11*$R$36),A1_Link!Q11)</f>
        <v>28.375788162197555</v>
      </c>
      <c r="T11" s="650"/>
      <c r="U11" s="1190"/>
      <c r="V11" s="3"/>
      <c r="W11" s="3"/>
      <c r="X11" s="648" t="s">
        <v>811</v>
      </c>
      <c r="Y11" s="650">
        <f>Budget!F27</f>
        <v>6.31768163265306</v>
      </c>
      <c r="Z11" s="650">
        <f>Budget!D$3</f>
        <v>105</v>
      </c>
      <c r="AA11" s="3"/>
      <c r="AB11" s="1190"/>
      <c r="AC11" s="650"/>
      <c r="AD11" s="845"/>
      <c r="AE11" s="4" t="s">
        <v>505</v>
      </c>
      <c r="AF11" s="4">
        <v>131</v>
      </c>
      <c r="AG11" s="183" t="s">
        <v>507</v>
      </c>
      <c r="AH11" s="650">
        <f t="shared" si="1"/>
        <v>29.639200000000002</v>
      </c>
      <c r="AI11" s="3"/>
    </row>
    <row r="12" spans="2:35" ht="13.9" x14ac:dyDescent="0.4">
      <c r="B12" s="1185" t="s">
        <v>421</v>
      </c>
      <c r="C12" s="1186">
        <f>Budget!F31+Budget!F32</f>
        <v>16.25</v>
      </c>
      <c r="D12" s="3"/>
      <c r="E12" s="1190"/>
      <c r="F12" s="1185" t="s">
        <v>420</v>
      </c>
      <c r="G12" s="1186">
        <f t="shared" ref="G12:G21" si="2">C9</f>
        <v>199.79166666666666</v>
      </c>
      <c r="H12" s="3"/>
      <c r="I12" s="1190"/>
      <c r="J12" s="648" t="s">
        <v>790</v>
      </c>
      <c r="K12" s="664">
        <f>SUM(K36:K37)</f>
        <v>27.3</v>
      </c>
      <c r="L12" s="182">
        <v>105.03</v>
      </c>
      <c r="M12" s="1190"/>
      <c r="N12" s="3"/>
      <c r="O12" s="648" t="s">
        <v>184</v>
      </c>
      <c r="P12" s="1181">
        <f>Budget!F15</f>
        <v>29.639200000000002</v>
      </c>
      <c r="Q12" s="1177">
        <f t="shared" si="0"/>
        <v>29.639200000000002</v>
      </c>
      <c r="R12" s="650">
        <v>0</v>
      </c>
      <c r="S12" s="1177">
        <f>IF(Irrigation!$B$2&lt;3,(Q12*$Q$36)+(R12*$R$36),A1_Link!Q12)</f>
        <v>15.791657263936848</v>
      </c>
      <c r="T12" s="650"/>
      <c r="U12" s="1190"/>
      <c r="V12" s="3"/>
      <c r="W12" s="1306">
        <v>0</v>
      </c>
      <c r="X12" s="648" t="s">
        <v>812</v>
      </c>
      <c r="Y12" s="1305">
        <f>Budget!F28*W12</f>
        <v>0</v>
      </c>
      <c r="Z12" s="650">
        <f>Budget!D$3</f>
        <v>105</v>
      </c>
      <c r="AA12" s="941"/>
      <c r="AB12" s="1190"/>
      <c r="AC12" s="3"/>
      <c r="AD12" s="845"/>
      <c r="AE12" s="4" t="s">
        <v>505</v>
      </c>
      <c r="AF12" s="4">
        <v>131</v>
      </c>
      <c r="AG12" s="183" t="s">
        <v>507</v>
      </c>
      <c r="AH12" s="650">
        <f t="shared" si="1"/>
        <v>0</v>
      </c>
      <c r="AI12" s="3"/>
    </row>
    <row r="13" spans="2:35" ht="13.9" x14ac:dyDescent="0.4">
      <c r="B13" s="1185" t="s">
        <v>779</v>
      </c>
      <c r="C13" s="1186">
        <f>Budget!F25+Budget!F27</f>
        <v>13.379969447676972</v>
      </c>
      <c r="D13" s="3"/>
      <c r="E13" s="1190"/>
      <c r="F13" s="1185" t="s">
        <v>494</v>
      </c>
      <c r="G13" s="1186">
        <f t="shared" si="2"/>
        <v>62.027450000000009</v>
      </c>
      <c r="H13" s="3"/>
      <c r="I13" s="1190"/>
      <c r="J13" s="652" t="s">
        <v>168</v>
      </c>
      <c r="K13" s="173">
        <f>SUM(K9:K12)-K7</f>
        <v>541.81841815891903</v>
      </c>
      <c r="L13" s="182"/>
      <c r="M13" s="1190"/>
      <c r="N13" s="3"/>
      <c r="O13" s="648" t="s">
        <v>91</v>
      </c>
      <c r="P13" s="1181">
        <f>SUM(Budget!F16:F18)</f>
        <v>0</v>
      </c>
      <c r="Q13" s="1177">
        <f t="shared" si="0"/>
        <v>0</v>
      </c>
      <c r="R13" s="650">
        <v>0</v>
      </c>
      <c r="S13" s="1177">
        <f>IF(Irrigation!$B$2&lt;3,(Q13*$Q$36)+(R13*$R$36),A1_Link!Q13)</f>
        <v>0</v>
      </c>
      <c r="T13" s="650"/>
      <c r="U13" s="1190"/>
      <c r="V13" s="3"/>
      <c r="W13" s="3"/>
      <c r="X13" s="648" t="s">
        <v>496</v>
      </c>
      <c r="Y13" s="650">
        <f>Budget!F40+Budget!F41+Budget!F42+IF(A2_Budget_Look_Up!B13&gt;0,Budget!F43,0)+IF(A2_Budget_Look_Up!B13&gt;0,Budget!F39,0)</f>
        <v>27.3</v>
      </c>
      <c r="Z13" s="650">
        <f>SUM(Y7:Y13)-Y5</f>
        <v>541.81841815891903</v>
      </c>
      <c r="AA13" s="3"/>
      <c r="AB13" s="1190"/>
      <c r="AC13" s="3"/>
      <c r="AD13" s="845"/>
      <c r="AE13" s="4" t="s">
        <v>501</v>
      </c>
      <c r="AF13" s="4">
        <v>19</v>
      </c>
      <c r="AG13" s="655">
        <v>1</v>
      </c>
      <c r="AH13" s="650">
        <f t="shared" si="1"/>
        <v>76.5</v>
      </c>
      <c r="AI13" s="3"/>
    </row>
    <row r="14" spans="2:35" ht="13.9" x14ac:dyDescent="0.4">
      <c r="B14" s="1185" t="s">
        <v>422</v>
      </c>
      <c r="C14" s="1186">
        <f>Budget!F29</f>
        <v>29.055824511278196</v>
      </c>
      <c r="D14" s="3"/>
      <c r="E14" s="1190"/>
      <c r="F14" s="1185" t="s">
        <v>225</v>
      </c>
      <c r="G14" s="1186">
        <f t="shared" si="2"/>
        <v>76.5</v>
      </c>
      <c r="H14" s="3"/>
      <c r="I14" s="1190"/>
      <c r="J14" s="648" t="s">
        <v>759</v>
      </c>
      <c r="K14" s="570">
        <f>K38</f>
        <v>0</v>
      </c>
      <c r="L14" s="182"/>
      <c r="M14" s="1190"/>
      <c r="N14" s="3"/>
      <c r="O14" s="648" t="s">
        <v>485</v>
      </c>
      <c r="P14" s="1181">
        <f>SUM(Budget!F20:F23)</f>
        <v>76.5</v>
      </c>
      <c r="Q14" s="1177">
        <f t="shared" si="0"/>
        <v>76.5</v>
      </c>
      <c r="R14" s="650">
        <v>7.0000000000000009</v>
      </c>
      <c r="S14" s="1177">
        <f>IF(Irrigation!$B$2&lt;3,(Q14*$Q$36)+(R14*$R$36),A1_Link!Q14)</f>
        <v>44.029345591095939</v>
      </c>
      <c r="T14" s="650"/>
      <c r="U14" s="1190"/>
      <c r="V14" s="3"/>
      <c r="W14" s="3"/>
      <c r="X14" s="4"/>
      <c r="Y14" s="4"/>
      <c r="Z14" s="4"/>
      <c r="AA14" s="3"/>
      <c r="AB14" s="1190"/>
      <c r="AC14" s="3"/>
      <c r="AD14" s="845"/>
      <c r="AE14" s="4" t="s">
        <v>503</v>
      </c>
      <c r="AF14" s="4">
        <v>326</v>
      </c>
      <c r="AG14" s="183" t="s">
        <v>507</v>
      </c>
      <c r="AH14" s="650">
        <f t="shared" si="1"/>
        <v>7.0622878150239119</v>
      </c>
      <c r="AI14" s="3"/>
    </row>
    <row r="15" spans="2:35" ht="13.9" x14ac:dyDescent="0.4">
      <c r="B15" s="1185" t="s">
        <v>778</v>
      </c>
      <c r="C15" s="1186">
        <f>Budget!F34+Budget!F35</f>
        <v>6</v>
      </c>
      <c r="D15" s="3"/>
      <c r="E15" s="1190"/>
      <c r="F15" s="1185" t="s">
        <v>780</v>
      </c>
      <c r="G15" s="1186">
        <f t="shared" si="2"/>
        <v>16.25</v>
      </c>
      <c r="H15" s="3"/>
      <c r="I15" s="1190"/>
      <c r="J15" s="652" t="s">
        <v>233</v>
      </c>
      <c r="K15" s="173">
        <f>(K3*K4*K5)-K13-K14</f>
        <v>-43.06841815891903</v>
      </c>
      <c r="L15" s="182"/>
      <c r="M15" s="1190"/>
      <c r="N15" s="3"/>
      <c r="O15" s="648" t="s">
        <v>424</v>
      </c>
      <c r="P15" s="1181">
        <f>Budget!F25</f>
        <v>7.0622878150239119</v>
      </c>
      <c r="Q15" s="1177">
        <f t="shared" si="0"/>
        <v>7.0622878150239119</v>
      </c>
      <c r="R15" s="650">
        <v>10.547472063880164</v>
      </c>
      <c r="S15" s="1177">
        <f>IF(Irrigation!$B$2&lt;3,(Q15*$Q$36)+(R15*$R$36),A1_Link!Q15)</f>
        <v>8.6905786538148071</v>
      </c>
      <c r="T15" s="650"/>
      <c r="U15" s="1190"/>
      <c r="V15" s="3"/>
      <c r="W15" s="3"/>
      <c r="X15" s="648" t="s">
        <v>584</v>
      </c>
      <c r="Y15" s="650">
        <f>Budget!F48</f>
        <v>102.67392093091048</v>
      </c>
      <c r="Z15" s="845"/>
      <c r="AA15" s="3"/>
      <c r="AB15" s="1190"/>
      <c r="AC15" s="3"/>
      <c r="AD15" s="845"/>
      <c r="AE15" s="4" t="s">
        <v>502</v>
      </c>
      <c r="AF15" s="4">
        <v>417</v>
      </c>
      <c r="AG15" s="655">
        <v>1</v>
      </c>
      <c r="AH15" s="650">
        <f t="shared" si="1"/>
        <v>5.9483136128870413</v>
      </c>
      <c r="AI15" s="3"/>
    </row>
    <row r="16" spans="2:35" ht="13.9" x14ac:dyDescent="0.4">
      <c r="B16" s="1185" t="s">
        <v>1</v>
      </c>
      <c r="C16" s="1186">
        <f>Budget!F36</f>
        <v>31</v>
      </c>
      <c r="D16" s="3"/>
      <c r="E16" s="1190"/>
      <c r="F16" s="1185" t="s">
        <v>779</v>
      </c>
      <c r="G16" s="1186">
        <f t="shared" si="2"/>
        <v>13.379969447676972</v>
      </c>
      <c r="H16" s="3"/>
      <c r="I16" s="1190"/>
      <c r="J16" s="652"/>
      <c r="K16" s="4"/>
      <c r="L16" s="182"/>
      <c r="M16" s="1190"/>
      <c r="N16" s="3"/>
      <c r="O16" s="648" t="s">
        <v>423</v>
      </c>
      <c r="P16" s="1181">
        <f>Budget!F26</f>
        <v>5.9483136128870413</v>
      </c>
      <c r="Q16" s="1177">
        <f t="shared" si="0"/>
        <v>5.9483136128870413</v>
      </c>
      <c r="R16" s="650">
        <v>9.3388892486480266</v>
      </c>
      <c r="S16" s="1177">
        <f>IF(Irrigation!$B$2&lt;3,(Q16*$Q$36)+(R16*$R$36),A1_Link!Q16)</f>
        <v>7.5324029613193453</v>
      </c>
      <c r="T16" s="650"/>
      <c r="U16" s="1190"/>
      <c r="V16" s="3"/>
      <c r="W16" s="3"/>
      <c r="X16" s="648" t="s">
        <v>303</v>
      </c>
      <c r="Y16" s="650">
        <f>Budget!F49</f>
        <v>33.48374564999834</v>
      </c>
      <c r="Z16" s="4"/>
      <c r="AA16" s="3"/>
      <c r="AB16" s="1190"/>
      <c r="AC16" s="3"/>
      <c r="AD16" s="845"/>
      <c r="AE16" s="4" t="s">
        <v>503</v>
      </c>
      <c r="AF16" s="4">
        <v>326</v>
      </c>
      <c r="AG16" s="183" t="s">
        <v>507</v>
      </c>
      <c r="AH16" s="650">
        <f t="shared" si="1"/>
        <v>6.31768163265306</v>
      </c>
      <c r="AI16" s="3"/>
    </row>
    <row r="17" spans="2:35" ht="13.9" x14ac:dyDescent="0.4">
      <c r="B17" s="1185" t="s">
        <v>226</v>
      </c>
      <c r="C17" s="1186">
        <f>Budget!F26+Budget!F28+Budget!F30</f>
        <v>22.281558492000876</v>
      </c>
      <c r="D17" s="3"/>
      <c r="E17" s="1190"/>
      <c r="F17" s="1185" t="s">
        <v>422</v>
      </c>
      <c r="G17" s="1186">
        <f t="shared" si="2"/>
        <v>29.055824511278196</v>
      </c>
      <c r="H17" s="3"/>
      <c r="I17" s="1190"/>
      <c r="J17" s="648" t="s">
        <v>249</v>
      </c>
      <c r="K17" s="978">
        <f>SUM(K40:K42)</f>
        <v>141.29136262745436</v>
      </c>
      <c r="L17" s="182">
        <v>96.924275428890212</v>
      </c>
      <c r="M17" s="1190"/>
      <c r="N17" s="3"/>
      <c r="O17" s="648" t="s">
        <v>425</v>
      </c>
      <c r="P17" s="1181">
        <f>(Budget!F27/Budget!D3)*P2</f>
        <v>6.31768163265306</v>
      </c>
      <c r="Q17" s="1177">
        <f t="shared" si="0"/>
        <v>6.31768163265306</v>
      </c>
      <c r="R17" s="650">
        <v>7.4958759183673482</v>
      </c>
      <c r="S17" s="1177">
        <f>IF(Irrigation!$B$2&lt;3,(Q17*$Q$36)+(R17*$R$36),A1_Link!Q17)</f>
        <v>6.8681383157893805</v>
      </c>
      <c r="T17" s="650"/>
      <c r="U17" s="1190"/>
      <c r="V17" s="3"/>
      <c r="W17" s="3"/>
      <c r="X17" s="648" t="s">
        <v>585</v>
      </c>
      <c r="Y17" s="650">
        <f>Budget!F50</f>
        <v>5.1336960465455244</v>
      </c>
      <c r="Z17" s="650">
        <f>SUM(Y15:Y17)</f>
        <v>141.29136262745436</v>
      </c>
      <c r="AA17" s="3"/>
      <c r="AB17" s="1190"/>
      <c r="AC17" s="3"/>
      <c r="AD17" s="845"/>
      <c r="AE17" s="4" t="s">
        <v>502</v>
      </c>
      <c r="AF17" s="4">
        <v>417</v>
      </c>
      <c r="AG17" s="655">
        <v>1</v>
      </c>
      <c r="AH17" s="650">
        <f t="shared" si="1"/>
        <v>12.5670990457805</v>
      </c>
      <c r="AI17" s="3"/>
    </row>
    <row r="18" spans="2:35" ht="13.9" x14ac:dyDescent="0.4">
      <c r="B18" s="1185" t="s">
        <v>214</v>
      </c>
      <c r="C18" s="1186">
        <f>Trips!E45+Trips!E51+Trips!E72+Trips!E76</f>
        <v>10.52686500859007</v>
      </c>
      <c r="D18" s="3"/>
      <c r="E18" s="1190"/>
      <c r="F18" s="1185" t="s">
        <v>778</v>
      </c>
      <c r="G18" s="1186">
        <f t="shared" si="2"/>
        <v>6</v>
      </c>
      <c r="H18" s="3"/>
      <c r="I18" s="1190"/>
      <c r="J18" s="308" t="s">
        <v>650</v>
      </c>
      <c r="K18" s="173">
        <f>K13+K17</f>
        <v>683.10978078637345</v>
      </c>
      <c r="L18" s="182"/>
      <c r="M18" s="1190"/>
      <c r="N18" s="3"/>
      <c r="O18" s="648" t="s">
        <v>17</v>
      </c>
      <c r="P18" s="1181">
        <f>(Budget!F28/Budget!D3)*P2</f>
        <v>12.5670990457805</v>
      </c>
      <c r="Q18" s="1177">
        <f t="shared" si="0"/>
        <v>12.5670990457805</v>
      </c>
      <c r="R18" s="650">
        <v>12.958564105965449</v>
      </c>
      <c r="S18" s="1177">
        <f>IF(Irrigation!$B$2&lt;3,(Q18*$Q$36)+(R18*$R$36),A1_Link!Q18)</f>
        <v>12.74999295488016</v>
      </c>
      <c r="T18" s="650"/>
      <c r="U18" s="1190"/>
      <c r="V18" s="3"/>
      <c r="W18" s="3"/>
      <c r="X18" s="3"/>
      <c r="Y18" s="3"/>
      <c r="Z18" s="3"/>
      <c r="AA18" s="3"/>
      <c r="AB18" s="1190"/>
      <c r="AC18" s="3"/>
      <c r="AD18" s="845"/>
      <c r="AE18" s="4" t="s">
        <v>503</v>
      </c>
      <c r="AF18" s="4">
        <v>326</v>
      </c>
      <c r="AG18" s="183" t="s">
        <v>507</v>
      </c>
      <c r="AH18" s="650">
        <f t="shared" si="1"/>
        <v>29.055824511278196</v>
      </c>
      <c r="AI18" s="3"/>
    </row>
    <row r="19" spans="2:35" ht="13.9" x14ac:dyDescent="0.4">
      <c r="B19" s="1185" t="s">
        <v>28</v>
      </c>
      <c r="C19" s="1186">
        <f>Budget!F37</f>
        <v>20.665084032706279</v>
      </c>
      <c r="D19" s="3"/>
      <c r="E19" s="1190"/>
      <c r="F19" s="1185" t="s">
        <v>1</v>
      </c>
      <c r="G19" s="1186">
        <f t="shared" si="2"/>
        <v>31</v>
      </c>
      <c r="H19" s="3"/>
      <c r="I19" s="1190"/>
      <c r="J19" s="3"/>
      <c r="K19" s="4"/>
      <c r="L19" s="182"/>
      <c r="M19" s="1190"/>
      <c r="N19" s="3"/>
      <c r="O19" s="648" t="s">
        <v>196</v>
      </c>
      <c r="P19" s="1181">
        <f>Budget!F29</f>
        <v>29.055824511278196</v>
      </c>
      <c r="Q19" s="1177">
        <f t="shared" si="0"/>
        <v>29.055824511278196</v>
      </c>
      <c r="R19" s="650">
        <v>27.046874608695653</v>
      </c>
      <c r="S19" s="1177">
        <f>IF(Irrigation!$B$2&lt;3,(Q19*$Q$36)+(R19*$R$36),A1_Link!Q19)</f>
        <v>28.11723576291044</v>
      </c>
      <c r="T19" s="650"/>
      <c r="U19" s="1190"/>
      <c r="V19" s="3"/>
      <c r="W19" s="364" t="s">
        <v>1047</v>
      </c>
      <c r="X19" s="364"/>
      <c r="Y19" s="364"/>
      <c r="Z19" s="364"/>
      <c r="AA19" s="3"/>
      <c r="AB19" s="1190"/>
      <c r="AC19" s="3"/>
      <c r="AD19" s="845"/>
      <c r="AE19" s="4" t="s">
        <v>502</v>
      </c>
      <c r="AF19" s="4">
        <v>417</v>
      </c>
      <c r="AG19" s="655">
        <v>1</v>
      </c>
      <c r="AH19" s="650">
        <f t="shared" si="1"/>
        <v>3.7661458333333329</v>
      </c>
      <c r="AI19" s="3"/>
    </row>
    <row r="20" spans="2:35" ht="13.9" x14ac:dyDescent="0.4">
      <c r="B20" s="1185" t="s">
        <v>435</v>
      </c>
      <c r="C20" s="1186">
        <f>Budget!F38</f>
        <v>0</v>
      </c>
      <c r="D20" s="3"/>
      <c r="E20" s="1190"/>
      <c r="F20" s="1185" t="s">
        <v>205</v>
      </c>
      <c r="G20" s="1186">
        <f t="shared" si="2"/>
        <v>22.281558492000876</v>
      </c>
      <c r="H20" s="3"/>
      <c r="I20" s="1190"/>
      <c r="J20" s="308" t="s">
        <v>761</v>
      </c>
      <c r="K20" s="173">
        <f>(K3*K4*K5)-K14-K18</f>
        <v>-184.35978078637345</v>
      </c>
      <c r="L20" s="182"/>
      <c r="M20" s="1190"/>
      <c r="N20" s="3"/>
      <c r="O20" s="648" t="s">
        <v>295</v>
      </c>
      <c r="P20" s="1181">
        <f>Budget!F30</f>
        <v>3.7661458333333329</v>
      </c>
      <c r="Q20" s="1177">
        <f t="shared" si="0"/>
        <v>3.7661458333333329</v>
      </c>
      <c r="R20" s="650">
        <v>1.6916666666666667</v>
      </c>
      <c r="S20" s="1177">
        <f>IF(Irrigation!$B$2&lt;3,(Q20*$Q$36)+(R20*$R$36),A1_Link!Q20)</f>
        <v>2.7969415729116838</v>
      </c>
      <c r="T20" s="650"/>
      <c r="U20" s="1190"/>
      <c r="V20" s="3"/>
      <c r="W20" s="364" t="s">
        <v>1048</v>
      </c>
      <c r="X20" s="364"/>
      <c r="Y20" s="364"/>
      <c r="Z20" s="364"/>
      <c r="AA20" s="3"/>
      <c r="AB20" s="1190"/>
      <c r="AC20" s="3"/>
      <c r="AD20" s="845"/>
      <c r="AE20" s="4" t="s">
        <v>500</v>
      </c>
      <c r="AF20" s="4">
        <v>323</v>
      </c>
      <c r="AG20" s="183" t="s">
        <v>507</v>
      </c>
      <c r="AH20" s="650">
        <f t="shared" si="1"/>
        <v>16.25</v>
      </c>
      <c r="AI20" s="3"/>
    </row>
    <row r="21" spans="2:35" ht="13.9" x14ac:dyDescent="0.4">
      <c r="B21" s="1185" t="s">
        <v>790</v>
      </c>
      <c r="C21" s="1186">
        <f>Budget!F40+Budget!F41+IF(A2_Budget_Look_Up!B13&gt;0,Budget!F39,0)</f>
        <v>26.25</v>
      </c>
      <c r="D21" s="3"/>
      <c r="E21" s="1190"/>
      <c r="F21" s="1185" t="s">
        <v>214</v>
      </c>
      <c r="G21" s="1186">
        <f t="shared" si="2"/>
        <v>10.52686500859007</v>
      </c>
      <c r="H21" s="3"/>
      <c r="I21" s="1190"/>
      <c r="J21" s="3"/>
      <c r="K21" s="3"/>
      <c r="L21" s="182"/>
      <c r="M21" s="1190"/>
      <c r="N21" s="3"/>
      <c r="O21" s="648" t="s">
        <v>258</v>
      </c>
      <c r="P21" s="1181">
        <f>Budget!F31</f>
        <v>16.25</v>
      </c>
      <c r="Q21" s="1177">
        <f t="shared" si="0"/>
        <v>16.25</v>
      </c>
      <c r="R21" s="650">
        <v>3.45</v>
      </c>
      <c r="S21" s="1177">
        <f>IF(Irrigation!$B$2&lt;3,(Q21*$Q$36)+(R21*$R$36),A1_Link!Q21)</f>
        <v>10.269793144834937</v>
      </c>
      <c r="T21" s="650"/>
      <c r="U21" s="1190"/>
      <c r="V21" s="3"/>
      <c r="W21" s="365"/>
      <c r="X21" s="365"/>
      <c r="Y21" s="365"/>
      <c r="Z21" s="365"/>
      <c r="AA21" s="3"/>
      <c r="AB21" s="1190"/>
      <c r="AC21" s="3"/>
      <c r="AD21" s="845"/>
      <c r="AE21" s="4"/>
      <c r="AF21" s="4"/>
      <c r="AG21" s="183"/>
      <c r="AH21" s="650"/>
      <c r="AI21" s="3"/>
    </row>
    <row r="22" spans="2:35" ht="13.9" x14ac:dyDescent="0.4">
      <c r="B22" s="1185" t="s">
        <v>760</v>
      </c>
      <c r="C22" s="1189">
        <f>Budget!F42+IF(A2_Budget_Look_Up!B13&gt;0,Budget!F43,0)</f>
        <v>1.05</v>
      </c>
      <c r="D22" s="3"/>
      <c r="E22" s="1190"/>
      <c r="F22" s="1185" t="s">
        <v>784</v>
      </c>
      <c r="G22" s="1186">
        <f>SUM(G11:G21)*(0.0475/2)</f>
        <v>11.729016685497553</v>
      </c>
      <c r="H22" s="3"/>
      <c r="I22" s="1190"/>
      <c r="J22" s="3"/>
      <c r="K22" s="3"/>
      <c r="L22" s="1247" t="s">
        <v>792</v>
      </c>
      <c r="M22" s="1190"/>
      <c r="N22" s="3"/>
      <c r="O22" s="648" t="s">
        <v>486</v>
      </c>
      <c r="P22" s="1181">
        <f>Budget!F32</f>
        <v>0</v>
      </c>
      <c r="Q22" s="1177">
        <f t="shared" si="0"/>
        <v>0</v>
      </c>
      <c r="R22" s="650">
        <v>0</v>
      </c>
      <c r="S22" s="1177">
        <f>IF(Irrigation!$B$2&lt;3,(Q22*$Q$36)+(R22*$R$36),A1_Link!Q22)</f>
        <v>0</v>
      </c>
      <c r="T22" s="650"/>
      <c r="U22" s="1190"/>
      <c r="V22" s="3"/>
      <c r="W22" s="364" t="s">
        <v>813</v>
      </c>
      <c r="X22" s="364"/>
      <c r="Y22" s="364"/>
      <c r="Z22" s="364"/>
      <c r="AA22" s="3"/>
      <c r="AB22" s="1190"/>
      <c r="AC22" s="3"/>
      <c r="AD22" s="845"/>
      <c r="AE22" s="4" t="s">
        <v>501</v>
      </c>
      <c r="AF22" s="4">
        <v>19</v>
      </c>
      <c r="AG22" s="655">
        <v>1</v>
      </c>
      <c r="AH22" s="650">
        <f>P22</f>
        <v>0</v>
      </c>
      <c r="AI22" s="3"/>
    </row>
    <row r="23" spans="2:35" ht="13.9" x14ac:dyDescent="0.4">
      <c r="B23" s="648" t="s">
        <v>759</v>
      </c>
      <c r="C23" s="665">
        <f>Budget!F44</f>
        <v>0</v>
      </c>
      <c r="D23" s="3"/>
      <c r="E23" s="1190"/>
      <c r="F23" s="1185" t="s">
        <v>435</v>
      </c>
      <c r="G23" s="1186">
        <f>C20</f>
        <v>0</v>
      </c>
      <c r="H23" s="3"/>
      <c r="I23" s="1190"/>
      <c r="J23" s="1185" t="s">
        <v>223</v>
      </c>
      <c r="K23" s="1248">
        <f>C8*L23</f>
        <v>27.04</v>
      </c>
      <c r="L23" s="1251">
        <v>1</v>
      </c>
      <c r="M23" s="1190"/>
      <c r="N23" s="3"/>
      <c r="O23" s="648" t="s">
        <v>214</v>
      </c>
      <c r="P23" s="1181">
        <f>Budget!F33</f>
        <v>17.645265008590073</v>
      </c>
      <c r="Q23" s="1177">
        <f t="shared" si="0"/>
        <v>17.645265008590073</v>
      </c>
      <c r="R23" s="650">
        <v>11.817977438585899</v>
      </c>
      <c r="S23" s="1177">
        <f>IF(Irrigation!$B$2&lt;3,(Q23*$Q$36)+(R23*$R$36),A1_Link!Q23)</f>
        <v>14.922734924749673</v>
      </c>
      <c r="T23" s="650"/>
      <c r="U23" s="1190"/>
      <c r="V23" s="3"/>
      <c r="W23" s="364" t="s">
        <v>880</v>
      </c>
      <c r="X23" s="364"/>
      <c r="Y23" s="364"/>
      <c r="Z23" s="364"/>
      <c r="AA23" s="3"/>
      <c r="AB23" s="1190"/>
      <c r="AC23" s="3"/>
      <c r="AD23" s="845"/>
      <c r="AE23" s="4" t="s">
        <v>509</v>
      </c>
      <c r="AF23" s="4"/>
      <c r="AG23" s="4"/>
      <c r="AH23" s="650">
        <f>P23</f>
        <v>17.645265008590073</v>
      </c>
      <c r="AI23" s="3"/>
    </row>
    <row r="24" spans="2:35" ht="13.9" x14ac:dyDescent="0.4">
      <c r="B24" s="3"/>
      <c r="C24" s="1184"/>
      <c r="D24" s="3"/>
      <c r="E24" s="1190"/>
      <c r="F24" s="1185" t="s">
        <v>785</v>
      </c>
      <c r="G24" s="1186">
        <f>C21+C22</f>
        <v>27.3</v>
      </c>
      <c r="H24" s="3"/>
      <c r="I24" s="1190"/>
      <c r="J24" s="1185" t="s">
        <v>224</v>
      </c>
      <c r="K24" s="1249">
        <f t="shared" ref="K24:K38" si="3">C9*L24</f>
        <v>199.79166666666666</v>
      </c>
      <c r="L24" s="1251">
        <v>1</v>
      </c>
      <c r="M24" s="1190"/>
      <c r="N24" s="3"/>
      <c r="O24" s="648" t="s">
        <v>23</v>
      </c>
      <c r="P24" s="1181">
        <f>Budget!F34</f>
        <v>6</v>
      </c>
      <c r="Q24" s="1177">
        <f t="shared" si="0"/>
        <v>6</v>
      </c>
      <c r="R24" s="650">
        <v>0</v>
      </c>
      <c r="S24" s="1177">
        <f>IF(Irrigation!$B$2&lt;3,(Q24*$Q$36)+(R24*$R$36),A1_Link!Q24)</f>
        <v>3.1967780366413763</v>
      </c>
      <c r="T24" s="650"/>
      <c r="U24" s="1190"/>
      <c r="V24" s="3"/>
      <c r="W24" s="364" t="s">
        <v>881</v>
      </c>
      <c r="X24" s="364"/>
      <c r="Y24" s="364"/>
      <c r="Z24" s="365"/>
      <c r="AA24" s="3"/>
      <c r="AB24" s="1190"/>
      <c r="AC24" s="3"/>
      <c r="AD24" s="845"/>
      <c r="AE24" s="4" t="s">
        <v>501</v>
      </c>
      <c r="AF24" s="4">
        <v>19</v>
      </c>
      <c r="AG24" s="655">
        <v>1</v>
      </c>
      <c r="AH24" s="650">
        <f>P24</f>
        <v>6</v>
      </c>
      <c r="AI24" s="3"/>
    </row>
    <row r="25" spans="2:35" ht="13.9" x14ac:dyDescent="0.4">
      <c r="B25" s="648" t="s">
        <v>123</v>
      </c>
      <c r="C25" s="665">
        <f>Budget!F48</f>
        <v>102.67392093091048</v>
      </c>
      <c r="D25" s="3"/>
      <c r="E25" s="1190"/>
      <c r="F25" s="1185" t="s">
        <v>16</v>
      </c>
      <c r="G25" s="1189">
        <f>C23</f>
        <v>0</v>
      </c>
      <c r="H25" s="3"/>
      <c r="I25" s="1190"/>
      <c r="J25" s="1185" t="s">
        <v>494</v>
      </c>
      <c r="K25" s="1249">
        <f t="shared" si="3"/>
        <v>62.027450000000009</v>
      </c>
      <c r="L25" s="1251">
        <v>1</v>
      </c>
      <c r="M25" s="1190"/>
      <c r="N25" s="3"/>
      <c r="O25" s="648" t="s">
        <v>487</v>
      </c>
      <c r="P25" s="1181">
        <f>Budget!F35</f>
        <v>0</v>
      </c>
      <c r="Q25" s="1177">
        <f t="shared" si="0"/>
        <v>0</v>
      </c>
      <c r="R25" s="650">
        <v>0</v>
      </c>
      <c r="S25" s="1177">
        <f>IF(Irrigation!$B$2&lt;3,(Q25*$Q$36)+(R25*$R$36),A1_Link!Q25)</f>
        <v>0</v>
      </c>
      <c r="T25" s="650"/>
      <c r="U25" s="1190"/>
      <c r="V25" s="3"/>
      <c r="W25" s="4"/>
      <c r="X25" s="4"/>
      <c r="Y25" s="4"/>
      <c r="Z25" s="3"/>
      <c r="AA25" s="3"/>
      <c r="AB25" s="1190"/>
      <c r="AC25" s="3"/>
      <c r="AD25" s="845"/>
      <c r="AE25" s="4" t="s">
        <v>501</v>
      </c>
      <c r="AF25" s="4">
        <v>19</v>
      </c>
      <c r="AG25" s="655">
        <v>1</v>
      </c>
      <c r="AH25" s="650">
        <f>P25</f>
        <v>0</v>
      </c>
      <c r="AI25" s="3"/>
    </row>
    <row r="26" spans="2:35" ht="13.9" x14ac:dyDescent="0.4">
      <c r="B26" s="648" t="s">
        <v>303</v>
      </c>
      <c r="C26" s="665">
        <f>Budget!F49</f>
        <v>33.48374564999834</v>
      </c>
      <c r="D26" s="3"/>
      <c r="E26" s="1190"/>
      <c r="F26" s="648"/>
      <c r="G26" s="665"/>
      <c r="H26" s="3"/>
      <c r="I26" s="1190"/>
      <c r="J26" s="1185" t="s">
        <v>225</v>
      </c>
      <c r="K26" s="1249">
        <f t="shared" si="3"/>
        <v>76.5</v>
      </c>
      <c r="L26" s="1251">
        <v>1</v>
      </c>
      <c r="M26" s="1190"/>
      <c r="N26" s="3"/>
      <c r="O26" s="648" t="s">
        <v>1</v>
      </c>
      <c r="P26" s="1181">
        <f>Budget!F36</f>
        <v>31</v>
      </c>
      <c r="Q26" s="1177">
        <f t="shared" si="0"/>
        <v>31</v>
      </c>
      <c r="R26" s="650">
        <v>0</v>
      </c>
      <c r="S26" s="1177">
        <f>IF(Irrigation!$B$2&lt;3,(Q26*$Q$36)+(R26*$R$36),A1_Link!Q26)</f>
        <v>16.516686522647113</v>
      </c>
      <c r="T26" s="650"/>
      <c r="U26" s="1190"/>
      <c r="V26" s="3"/>
      <c r="W26" s="3"/>
      <c r="X26" s="3"/>
      <c r="Y26" s="3"/>
      <c r="Z26" s="3"/>
      <c r="AA26" s="3"/>
      <c r="AB26" s="1190"/>
      <c r="AC26" s="3"/>
      <c r="AD26" s="845"/>
      <c r="AE26" s="4" t="s">
        <v>515</v>
      </c>
      <c r="AF26" s="4"/>
      <c r="AG26" s="4"/>
      <c r="AH26" s="650">
        <f>P27</f>
        <v>20.665084032706279</v>
      </c>
      <c r="AI26" s="650">
        <f>SUM(AH3:AH26)</f>
        <v>490.63681815891903</v>
      </c>
    </row>
    <row r="27" spans="2:35" ht="13.9" x14ac:dyDescent="0.4">
      <c r="B27" s="648" t="s">
        <v>585</v>
      </c>
      <c r="C27" s="664">
        <f>Budget!F50</f>
        <v>5.1336960465455244</v>
      </c>
      <c r="D27" s="3"/>
      <c r="E27" s="1190"/>
      <c r="F27" s="648" t="s">
        <v>997</v>
      </c>
      <c r="G27" s="1186">
        <f>C25+C26</f>
        <v>136.15766658090882</v>
      </c>
      <c r="H27" s="3"/>
      <c r="I27" s="1190"/>
      <c r="J27" s="1185" t="s">
        <v>421</v>
      </c>
      <c r="K27" s="1249">
        <f t="shared" si="3"/>
        <v>16.25</v>
      </c>
      <c r="L27" s="1251">
        <v>1</v>
      </c>
      <c r="M27" s="1190"/>
      <c r="N27" s="173"/>
      <c r="O27" s="648" t="s">
        <v>263</v>
      </c>
      <c r="P27" s="1181">
        <f>SUM(P6:P26)*((Budget!D37/100)/2)</f>
        <v>20.665084032706279</v>
      </c>
      <c r="Q27" s="1177">
        <f>P27</f>
        <v>20.665084032706279</v>
      </c>
      <c r="R27" s="650">
        <v>10.240138351206717</v>
      </c>
      <c r="S27" s="1177">
        <f>IF(Irrigation!$B$2&lt;3,(Q27*$Q$36)+(R27*$R$36),A1_Link!Q27)</f>
        <v>15.79451124917291</v>
      </c>
      <c r="T27" s="650"/>
      <c r="U27" s="1190"/>
      <c r="V27" s="3"/>
      <c r="W27" s="3"/>
      <c r="X27" s="3"/>
      <c r="Y27" s="3"/>
      <c r="Z27" s="3"/>
      <c r="AA27" s="3"/>
      <c r="AB27" s="1190"/>
      <c r="AC27" s="3"/>
      <c r="AD27" s="845"/>
      <c r="AE27" s="4" t="s">
        <v>501</v>
      </c>
      <c r="AF27" s="4">
        <v>19</v>
      </c>
      <c r="AG27" s="655">
        <v>1</v>
      </c>
      <c r="AH27" s="650">
        <f>P28</f>
        <v>0</v>
      </c>
      <c r="AI27" s="3"/>
    </row>
    <row r="28" spans="2:35" ht="13.9" x14ac:dyDescent="0.4">
      <c r="B28" s="1273"/>
      <c r="C28" s="3"/>
      <c r="D28" s="3"/>
      <c r="E28" s="1190"/>
      <c r="F28" s="648" t="s">
        <v>585</v>
      </c>
      <c r="G28" s="1271">
        <f>C27</f>
        <v>5.1336960465455244</v>
      </c>
      <c r="H28" s="3"/>
      <c r="I28" s="1190"/>
      <c r="J28" s="1185" t="s">
        <v>779</v>
      </c>
      <c r="K28" s="1249">
        <f t="shared" si="3"/>
        <v>13.379969447676972</v>
      </c>
      <c r="L28" s="1251">
        <v>1</v>
      </c>
      <c r="M28" s="1190"/>
      <c r="N28" s="3"/>
      <c r="O28" s="648" t="s">
        <v>488</v>
      </c>
      <c r="P28" s="1181">
        <f>Budget!F40+IF(A2_Budget_Look_Up!B13&gt;0,Budget!F39,0)</f>
        <v>0</v>
      </c>
      <c r="Q28" s="1177">
        <f>P28</f>
        <v>0</v>
      </c>
      <c r="R28" s="650">
        <v>41.8</v>
      </c>
      <c r="S28" s="1177">
        <f>IF(Irrigation!$B$2&lt;3,(Q28*$Q$36)+(R28*$R$36),A1_Link!Q28)</f>
        <v>19.529113011398408</v>
      </c>
      <c r="T28" s="650"/>
      <c r="U28" s="1190"/>
      <c r="V28" s="3"/>
      <c r="W28" s="3"/>
      <c r="X28" s="3"/>
      <c r="Y28" s="3"/>
      <c r="Z28" s="3"/>
      <c r="AA28" s="3"/>
      <c r="AB28" s="1190"/>
      <c r="AC28" s="3"/>
      <c r="AD28" s="845"/>
      <c r="AE28" s="4" t="s">
        <v>504</v>
      </c>
      <c r="AF28" s="4">
        <v>340</v>
      </c>
      <c r="AG28" s="655">
        <v>1</v>
      </c>
      <c r="AH28" s="650">
        <f>P29</f>
        <v>26.25</v>
      </c>
      <c r="AI28" s="3"/>
    </row>
    <row r="29" spans="2:35" ht="13.9" x14ac:dyDescent="0.4">
      <c r="B29" s="652" t="s">
        <v>777</v>
      </c>
      <c r="C29" s="173">
        <f>SUM(C8:C14)</f>
        <v>424.04491062562181</v>
      </c>
      <c r="D29" s="3"/>
      <c r="E29" s="1190"/>
      <c r="F29" s="648"/>
      <c r="G29" s="3"/>
      <c r="H29" s="3"/>
      <c r="I29" s="1190"/>
      <c r="J29" s="1185" t="s">
        <v>422</v>
      </c>
      <c r="K29" s="1249">
        <f t="shared" si="3"/>
        <v>29.055824511278196</v>
      </c>
      <c r="L29" s="1251">
        <v>1</v>
      </c>
      <c r="M29" s="1190"/>
      <c r="N29" s="3"/>
      <c r="O29" s="648" t="s">
        <v>489</v>
      </c>
      <c r="P29" s="1181">
        <f>Budget!F41</f>
        <v>26.25</v>
      </c>
      <c r="Q29" s="1177">
        <f>P29</f>
        <v>26.25</v>
      </c>
      <c r="R29" s="650">
        <v>55</v>
      </c>
      <c r="S29" s="1177">
        <f>IF(Irrigation!$B$2&lt;3,(Q29*$Q$36)+(R29*$R$36),A1_Link!Q29)</f>
        <v>39.682105241093403</v>
      </c>
      <c r="T29" s="650"/>
      <c r="U29" s="1190"/>
      <c r="V29" s="3"/>
      <c r="W29" s="3"/>
      <c r="X29" s="3"/>
      <c r="Y29" s="3"/>
      <c r="Z29" s="3"/>
      <c r="AA29" s="3"/>
      <c r="AB29" s="1190"/>
      <c r="AC29" s="3"/>
      <c r="AD29" s="845"/>
      <c r="AE29" s="4" t="s">
        <v>501</v>
      </c>
      <c r="AF29" s="4">
        <v>19</v>
      </c>
      <c r="AG29" s="655">
        <v>1</v>
      </c>
      <c r="AH29" s="650">
        <f>P30</f>
        <v>1.05</v>
      </c>
      <c r="AI29" s="3"/>
    </row>
    <row r="30" spans="2:35" ht="13.9" x14ac:dyDescent="0.4">
      <c r="B30" s="652" t="s">
        <v>640</v>
      </c>
      <c r="C30" s="173">
        <f>SUM(C8:C18)</f>
        <v>493.85333412621276</v>
      </c>
      <c r="D30" s="3"/>
      <c r="E30" s="1190"/>
      <c r="F30" s="3"/>
      <c r="G30" s="3"/>
      <c r="H30" s="3"/>
      <c r="I30" s="1190"/>
      <c r="J30" s="1185" t="s">
        <v>778</v>
      </c>
      <c r="K30" s="1249">
        <f t="shared" si="3"/>
        <v>6</v>
      </c>
      <c r="L30" s="1251">
        <v>1</v>
      </c>
      <c r="M30" s="1190"/>
      <c r="N30" s="533"/>
      <c r="O30" s="648" t="s">
        <v>490</v>
      </c>
      <c r="P30" s="1181">
        <f>Budget!F42+IF(A2_Budget_Look_Up!B13&gt;0,Budget!F43,0)</f>
        <v>1.05</v>
      </c>
      <c r="Q30" s="1177">
        <f>P30</f>
        <v>1.05</v>
      </c>
      <c r="R30" s="650">
        <v>2.2000000000000002</v>
      </c>
      <c r="S30" s="1177">
        <f>IF(Irrigation!$B$2&lt;3,(Q30*$Q$36)+(R30*$R$36),A1_Link!Q30)</f>
        <v>1.5872842096437361</v>
      </c>
      <c r="T30" s="1192"/>
      <c r="U30" s="1190"/>
      <c r="V30" s="3"/>
      <c r="W30" s="3"/>
      <c r="X30" s="3"/>
      <c r="Y30" s="3"/>
      <c r="Z30" s="3"/>
      <c r="AA30" s="3"/>
      <c r="AB30" s="1190"/>
      <c r="AC30" s="3"/>
      <c r="AD30" s="4"/>
      <c r="AE30" s="4" t="s">
        <v>510</v>
      </c>
      <c r="AF30" s="3"/>
      <c r="AG30" s="3"/>
      <c r="AH30" s="650">
        <v>0</v>
      </c>
      <c r="AI30" s="3"/>
    </row>
    <row r="31" spans="2:35" ht="13.9" x14ac:dyDescent="0.4">
      <c r="B31" s="652" t="s">
        <v>229</v>
      </c>
      <c r="C31" s="173">
        <f>SUM(C8:C22)-(C6)</f>
        <v>541.81841815891903</v>
      </c>
      <c r="D31" s="3"/>
      <c r="E31" s="1190"/>
      <c r="F31" s="1308">
        <f>SUM(C8:C22)</f>
        <v>541.81841815891903</v>
      </c>
      <c r="G31" s="3"/>
      <c r="H31" s="3"/>
      <c r="I31" s="1190"/>
      <c r="J31" s="1185" t="s">
        <v>1</v>
      </c>
      <c r="K31" s="1249">
        <f t="shared" si="3"/>
        <v>31</v>
      </c>
      <c r="L31" s="1251">
        <v>1</v>
      </c>
      <c r="M31" s="1190"/>
      <c r="N31" s="534"/>
      <c r="O31" s="1309">
        <f>P31+IF(A2_Budget_Look_Up!B7&gt;0,P4,0)</f>
        <v>548.93681815891898</v>
      </c>
      <c r="P31" s="1178">
        <f>SUM(P6:P30)-IF(A2_Budget_Look_Up!B7&gt;0,P4,0)</f>
        <v>548.93681815891898</v>
      </c>
      <c r="Q31" s="1178">
        <f>SUM(Q6:Q30)-IF(A2_Budget_Look_Up!B7&gt;0,Q4,0)</f>
        <v>548.93681815891898</v>
      </c>
      <c r="R31" s="1178">
        <f>SUM(R6:R30)-IF(A2_Budget_Look_Up!B7&gt;0,R4,0)</f>
        <v>540.40385840201589</v>
      </c>
      <c r="S31" s="1179">
        <f>SUM(S6:S30)-IF(A2_Budget_Look_Up!B7&gt;0,S4,0)</f>
        <v>544.95018812508465</v>
      </c>
      <c r="T31" s="650"/>
      <c r="U31" s="1190"/>
      <c r="V31" s="3"/>
      <c r="W31" s="3"/>
      <c r="X31" s="3"/>
      <c r="Y31" s="3"/>
      <c r="Z31" s="3"/>
      <c r="AA31" s="3"/>
      <c r="AB31" s="1190"/>
      <c r="AC31" s="3"/>
      <c r="AD31" s="3"/>
      <c r="AE31" s="4" t="s">
        <v>508</v>
      </c>
      <c r="AF31" s="3"/>
      <c r="AG31" s="3"/>
      <c r="AH31" s="650">
        <f>P32</f>
        <v>102.67392093091048</v>
      </c>
      <c r="AI31" s="3"/>
    </row>
    <row r="32" spans="2:35" ht="13.9" x14ac:dyDescent="0.4">
      <c r="B32" s="173" t="s">
        <v>249</v>
      </c>
      <c r="C32" s="173">
        <f>SUM(C25:C27)</f>
        <v>141.29136262745436</v>
      </c>
      <c r="D32" s="3"/>
      <c r="E32" s="1190"/>
      <c r="F32" s="308" t="s">
        <v>924</v>
      </c>
      <c r="G32" s="1527"/>
      <c r="H32" s="3"/>
      <c r="I32" s="1190"/>
      <c r="J32" s="1185" t="s">
        <v>226</v>
      </c>
      <c r="K32" s="1249">
        <f t="shared" si="3"/>
        <v>22.281558492000876</v>
      </c>
      <c r="L32" s="1251">
        <v>1</v>
      </c>
      <c r="M32" s="1190"/>
      <c r="N32" s="183"/>
      <c r="O32" s="648" t="s">
        <v>123</v>
      </c>
      <c r="P32" s="1181">
        <f>Budget!F48</f>
        <v>102.67392093091048</v>
      </c>
      <c r="Q32" s="1177">
        <f>P32</f>
        <v>102.67392093091048</v>
      </c>
      <c r="R32" s="650">
        <v>62.654368717931924</v>
      </c>
      <c r="S32" s="1177">
        <f>IF(Irrigation!$B$2&lt;3,(Q32*$Q$36)+(R32*$R$36),A1_Link!Q32)</f>
        <v>83.976639643044038</v>
      </c>
      <c r="T32" s="650"/>
      <c r="U32" s="1190"/>
      <c r="V32" s="3"/>
      <c r="W32" s="3"/>
      <c r="X32" s="3"/>
      <c r="Y32" s="3"/>
      <c r="Z32" s="3"/>
      <c r="AA32" s="3"/>
      <c r="AB32" s="1190"/>
      <c r="AC32" s="3"/>
      <c r="AD32" s="3"/>
      <c r="AE32" s="4" t="s">
        <v>508</v>
      </c>
      <c r="AF32" s="3"/>
      <c r="AG32" s="3"/>
      <c r="AH32" s="650">
        <f>P33</f>
        <v>33.48374564999834</v>
      </c>
      <c r="AI32" s="3"/>
    </row>
    <row r="33" spans="2:35" ht="13.9" x14ac:dyDescent="0.4">
      <c r="B33" s="308" t="s">
        <v>650</v>
      </c>
      <c r="C33" s="173">
        <f>C31+C32</f>
        <v>683.10978078637345</v>
      </c>
      <c r="D33" s="3"/>
      <c r="E33" s="1190"/>
      <c r="F33" s="4"/>
      <c r="G33" s="3"/>
      <c r="H33" s="3"/>
      <c r="I33" s="1190"/>
      <c r="J33" s="1185" t="s">
        <v>214</v>
      </c>
      <c r="K33" s="1249">
        <f t="shared" si="3"/>
        <v>10.52686500859007</v>
      </c>
      <c r="L33" s="1251">
        <v>1</v>
      </c>
      <c r="M33" s="1190"/>
      <c r="N33" s="182"/>
      <c r="O33" s="648" t="s">
        <v>303</v>
      </c>
      <c r="P33" s="1181">
        <f>Budget!F49</f>
        <v>33.48374564999834</v>
      </c>
      <c r="Q33" s="1177">
        <f>P33</f>
        <v>33.48374564999834</v>
      </c>
      <c r="R33" s="650">
        <v>11.440610711903465</v>
      </c>
      <c r="S33" s="1177">
        <f>IF(Irrigation!$B$2&lt;3,(Q33*$Q$36)+(R33*$R$36),A1_Link!Q33)</f>
        <v>23.185112316707443</v>
      </c>
      <c r="T33" s="650"/>
      <c r="U33" s="1190"/>
      <c r="V33" s="3"/>
      <c r="W33" s="3"/>
      <c r="X33" s="3"/>
      <c r="Y33" s="3"/>
      <c r="Z33" s="3"/>
      <c r="AA33" s="3"/>
      <c r="AB33" s="1190"/>
      <c r="AC33" s="3"/>
      <c r="AD33" s="3"/>
      <c r="AE33" s="4" t="s">
        <v>508</v>
      </c>
      <c r="AF33" s="3"/>
      <c r="AG33" s="3"/>
      <c r="AH33" s="650">
        <f>P34</f>
        <v>5.1336960465455244</v>
      </c>
      <c r="AI33" s="3"/>
    </row>
    <row r="34" spans="2:35" ht="13.9" x14ac:dyDescent="0.4">
      <c r="B34" s="308" t="s">
        <v>761</v>
      </c>
      <c r="C34" s="173">
        <f>(C3*C4*C5)-C23-C33</f>
        <v>-184.35978078637345</v>
      </c>
      <c r="D34" s="3"/>
      <c r="E34" s="1190"/>
      <c r="F34" s="4"/>
      <c r="G34" s="3"/>
      <c r="H34" s="3"/>
      <c r="I34" s="1190"/>
      <c r="J34" s="1185" t="s">
        <v>28</v>
      </c>
      <c r="K34" s="1249">
        <f t="shared" si="3"/>
        <v>20.665084032706279</v>
      </c>
      <c r="L34" s="1251">
        <v>1</v>
      </c>
      <c r="M34" s="1190"/>
      <c r="N34" s="182"/>
      <c r="O34" s="648" t="s">
        <v>491</v>
      </c>
      <c r="P34" s="1181">
        <f>Budget!F50</f>
        <v>5.1336960465455244</v>
      </c>
      <c r="Q34" s="1177">
        <f>P34</f>
        <v>5.1336960465455244</v>
      </c>
      <c r="R34" s="650">
        <v>7.4094979429835393</v>
      </c>
      <c r="S34" s="1177">
        <f>IF(Irrigation!$B$2&lt;3,(Q34*$Q$36)+(R34*$R$36),A1_Link!Q34)</f>
        <v>6.1969590232702334</v>
      </c>
      <c r="T34" s="1192"/>
      <c r="U34" s="1190"/>
      <c r="V34" s="3"/>
      <c r="W34" s="3"/>
      <c r="X34" s="3"/>
      <c r="Y34" s="3"/>
      <c r="Z34" s="3"/>
      <c r="AA34" s="3"/>
      <c r="AB34" s="1190"/>
      <c r="AC34" s="3"/>
      <c r="AD34" s="3"/>
      <c r="AE34" s="4" t="s">
        <v>514</v>
      </c>
      <c r="AF34" s="3"/>
      <c r="AG34" s="3"/>
      <c r="AH34" s="650">
        <v>0</v>
      </c>
      <c r="AI34" s="3"/>
    </row>
    <row r="35" spans="2:35" ht="13.9" x14ac:dyDescent="0.4">
      <c r="B35" s="3"/>
      <c r="C35" s="3"/>
      <c r="D35" s="3"/>
      <c r="E35" s="1190"/>
      <c r="F35" s="4"/>
      <c r="G35" s="3"/>
      <c r="H35" s="3"/>
      <c r="I35" s="1190"/>
      <c r="J35" s="1185" t="s">
        <v>435</v>
      </c>
      <c r="K35" s="1249">
        <f t="shared" si="3"/>
        <v>0</v>
      </c>
      <c r="L35" s="1251">
        <v>1</v>
      </c>
      <c r="M35" s="1190"/>
      <c r="N35" s="173"/>
      <c r="O35" s="649"/>
      <c r="P35" s="1178">
        <f>SUM(P32:P34)</f>
        <v>141.29136262745436</v>
      </c>
      <c r="Q35" s="1178">
        <f>SUM(Q32:Q34)</f>
        <v>141.29136262745436</v>
      </c>
      <c r="R35" s="1178">
        <f>SUM(R32:R34)</f>
        <v>81.504477372818926</v>
      </c>
      <c r="S35" s="1179">
        <f>SUM(S32:S34)</f>
        <v>113.35871098302172</v>
      </c>
      <c r="T35" s="3"/>
      <c r="U35" s="1190"/>
      <c r="V35" s="3"/>
      <c r="W35" s="3"/>
      <c r="X35" s="3"/>
      <c r="Y35" s="3"/>
      <c r="Z35" s="3"/>
      <c r="AA35" s="3"/>
      <c r="AB35" s="1190"/>
      <c r="AC35" s="3"/>
      <c r="AD35" s="3"/>
      <c r="AE35" s="4" t="s">
        <v>517</v>
      </c>
      <c r="AF35" s="3"/>
      <c r="AG35" s="3"/>
      <c r="AH35" s="650">
        <v>0</v>
      </c>
      <c r="AI35" s="3"/>
    </row>
    <row r="36" spans="2:35" ht="13.9" x14ac:dyDescent="0.4">
      <c r="B36" s="532" t="s">
        <v>814</v>
      </c>
      <c r="C36" s="532"/>
      <c r="D36" s="3"/>
      <c r="E36" s="1190"/>
      <c r="F36" s="1310"/>
      <c r="G36" s="3"/>
      <c r="H36" s="3"/>
      <c r="I36" s="1190"/>
      <c r="J36" s="1185" t="s">
        <v>790</v>
      </c>
      <c r="K36" s="1249">
        <f t="shared" si="3"/>
        <v>26.25</v>
      </c>
      <c r="L36" s="1251">
        <v>1</v>
      </c>
      <c r="M36" s="1190"/>
      <c r="N36" s="410"/>
      <c r="O36" s="3"/>
      <c r="P36" s="4"/>
      <c r="Q36" s="1340">
        <f>Q38/(Q38+R38)</f>
        <v>0.53279633944022942</v>
      </c>
      <c r="R36" s="1340">
        <f>R38/(Q38+R38)</f>
        <v>0.46720366055977058</v>
      </c>
      <c r="S36" s="4"/>
      <c r="T36" s="3"/>
      <c r="U36" s="1190"/>
      <c r="V36" s="3"/>
      <c r="W36" s="3"/>
      <c r="X36" s="3"/>
      <c r="Y36" s="3"/>
      <c r="Z36" s="3"/>
      <c r="AA36" s="3"/>
      <c r="AB36" s="1190"/>
      <c r="AC36" s="3"/>
      <c r="AD36" s="3"/>
      <c r="AE36" s="4" t="s">
        <v>513</v>
      </c>
      <c r="AF36" s="3"/>
      <c r="AG36" s="3"/>
      <c r="AH36" s="650">
        <f>Budget!F3-(SUM(AH3:AH29)-IF(A2_Budget_Look_Up!B7&gt;0,Budget!F4,0))-AH30-SUM(AH31:AH33)-AH34-AH35</f>
        <v>-160.47818078637334</v>
      </c>
      <c r="AI36" s="3"/>
    </row>
    <row r="37" spans="2:35" ht="13.9" x14ac:dyDescent="0.4">
      <c r="B37" s="1311" t="s">
        <v>777</v>
      </c>
      <c r="C37" s="1312">
        <v>495.44496786680213</v>
      </c>
      <c r="D37" s="3"/>
      <c r="E37" s="1190"/>
      <c r="F37" s="4"/>
      <c r="G37" s="3"/>
      <c r="H37" s="3"/>
      <c r="I37" s="1190"/>
      <c r="J37" s="1185" t="s">
        <v>760</v>
      </c>
      <c r="K37" s="1249">
        <f t="shared" si="3"/>
        <v>1.05</v>
      </c>
      <c r="L37" s="1251">
        <v>1</v>
      </c>
      <c r="M37" s="1190"/>
      <c r="N37" s="3"/>
      <c r="O37" s="3"/>
      <c r="P37" s="3"/>
      <c r="Q37" s="3"/>
      <c r="R37" s="3"/>
      <c r="S37" s="3"/>
      <c r="T37" s="3"/>
      <c r="U37" s="1190"/>
      <c r="V37" s="3"/>
      <c r="W37" s="3"/>
      <c r="X37" s="3"/>
      <c r="Y37" s="3"/>
      <c r="Z37" s="3"/>
      <c r="AA37" s="3"/>
      <c r="AB37" s="1190"/>
      <c r="AC37" s="3"/>
      <c r="AD37" s="3"/>
      <c r="AE37" s="3"/>
      <c r="AF37" s="3"/>
      <c r="AG37" s="3"/>
      <c r="AH37" s="3"/>
      <c r="AI37" s="3"/>
    </row>
    <row r="38" spans="2:35" ht="13.9" x14ac:dyDescent="0.4">
      <c r="B38" s="1311" t="s">
        <v>640</v>
      </c>
      <c r="C38" s="1312">
        <v>584.04647036120616</v>
      </c>
      <c r="D38" s="3"/>
      <c r="E38" s="1190"/>
      <c r="F38" s="4"/>
      <c r="G38" s="3"/>
      <c r="H38" s="3"/>
      <c r="I38" s="1190"/>
      <c r="J38" s="648" t="s">
        <v>759</v>
      </c>
      <c r="K38" s="1249">
        <f t="shared" si="3"/>
        <v>0</v>
      </c>
      <c r="L38" s="1251">
        <v>1</v>
      </c>
      <c r="M38" s="1190"/>
      <c r="N38" s="3"/>
      <c r="O38" s="3"/>
      <c r="P38" s="1342" t="s">
        <v>47</v>
      </c>
      <c r="Q38" s="1341">
        <f>2529855+418649</f>
        <v>2948504</v>
      </c>
      <c r="R38" s="1341">
        <f>2232279+353234</f>
        <v>2585513</v>
      </c>
      <c r="S38" s="3"/>
      <c r="T38" s="3"/>
      <c r="U38" s="1190"/>
      <c r="V38" s="3"/>
      <c r="W38" s="3"/>
      <c r="X38" s="3"/>
      <c r="Y38" s="3"/>
      <c r="Z38" s="3"/>
      <c r="AA38" s="3"/>
      <c r="AB38" s="1190"/>
      <c r="AC38" s="3"/>
      <c r="AD38" s="3"/>
      <c r="AE38" s="3"/>
      <c r="AF38" s="3"/>
      <c r="AG38" s="3"/>
      <c r="AH38" s="3"/>
      <c r="AI38" s="3"/>
    </row>
    <row r="39" spans="2:35" ht="13.9" x14ac:dyDescent="0.4">
      <c r="B39" s="1311" t="s">
        <v>229</v>
      </c>
      <c r="C39" s="1312">
        <v>598.69757403228493</v>
      </c>
      <c r="D39" s="3"/>
      <c r="E39" s="1190"/>
      <c r="F39" s="4"/>
      <c r="G39" s="3"/>
      <c r="H39" s="3"/>
      <c r="I39" s="1190"/>
      <c r="J39" s="3"/>
      <c r="K39" s="1184"/>
      <c r="L39" s="3"/>
      <c r="M39" s="1190"/>
      <c r="N39" s="3"/>
      <c r="O39" s="3"/>
      <c r="P39" s="3"/>
      <c r="Q39" s="3"/>
      <c r="R39" s="3"/>
      <c r="S39" s="3"/>
      <c r="T39" s="3"/>
      <c r="U39" s="1190"/>
      <c r="V39" s="3"/>
      <c r="W39" s="3"/>
      <c r="X39" s="3"/>
      <c r="Y39" s="3"/>
      <c r="Z39" s="3"/>
      <c r="AA39" s="3"/>
      <c r="AB39" s="1190"/>
      <c r="AC39" s="3"/>
      <c r="AD39" s="3"/>
      <c r="AE39" s="3"/>
      <c r="AF39" s="3"/>
      <c r="AG39" s="3"/>
      <c r="AH39" s="3"/>
      <c r="AI39" s="3"/>
    </row>
    <row r="40" spans="2:35" ht="13.9" x14ac:dyDescent="0.4">
      <c r="B40" s="1312" t="s">
        <v>249</v>
      </c>
      <c r="C40" s="1312">
        <v>160.98534022312049</v>
      </c>
      <c r="D40" s="3"/>
      <c r="E40" s="1190"/>
      <c r="F40" s="3"/>
      <c r="G40" s="3"/>
      <c r="H40" s="3"/>
      <c r="I40" s="1190"/>
      <c r="J40" s="648" t="s">
        <v>123</v>
      </c>
      <c r="K40" s="1249">
        <f>C25*L40</f>
        <v>102.67392093091048</v>
      </c>
      <c r="L40" s="978">
        <v>1</v>
      </c>
      <c r="M40" s="1190"/>
      <c r="N40" s="3"/>
      <c r="O40" s="3"/>
      <c r="P40" s="3"/>
      <c r="Q40" s="3"/>
      <c r="R40" s="3"/>
      <c r="S40" s="3"/>
      <c r="T40" s="3"/>
      <c r="U40" s="1190"/>
      <c r="V40" s="3"/>
      <c r="W40" s="3"/>
      <c r="X40" s="3"/>
      <c r="Y40" s="3"/>
      <c r="Z40" s="3"/>
      <c r="AA40" s="3"/>
      <c r="AB40" s="1190"/>
      <c r="AC40" s="3"/>
      <c r="AD40" s="3"/>
      <c r="AE40" s="3"/>
      <c r="AF40" s="3"/>
      <c r="AG40" s="3"/>
      <c r="AH40" s="3"/>
      <c r="AI40" s="3"/>
    </row>
    <row r="41" spans="2:35" ht="13.9" x14ac:dyDescent="0.4">
      <c r="B41" s="1313" t="s">
        <v>650</v>
      </c>
      <c r="C41" s="1312">
        <v>759.68291425540542</v>
      </c>
      <c r="D41" s="3"/>
      <c r="E41" s="1190"/>
      <c r="F41" s="3"/>
      <c r="G41" s="3"/>
      <c r="H41" s="3"/>
      <c r="I41" s="1190"/>
      <c r="J41" s="648" t="s">
        <v>303</v>
      </c>
      <c r="K41" s="1249">
        <f>C26*L41</f>
        <v>33.48374564999834</v>
      </c>
      <c r="L41" s="1251">
        <v>1</v>
      </c>
      <c r="M41" s="1190"/>
      <c r="N41" s="3"/>
      <c r="O41" s="3"/>
      <c r="P41" s="3"/>
      <c r="Q41" s="3"/>
      <c r="R41" s="3"/>
      <c r="S41" s="3"/>
      <c r="T41" s="3"/>
      <c r="U41" s="1190"/>
      <c r="V41" s="3"/>
      <c r="W41" s="3"/>
      <c r="X41" s="3"/>
      <c r="Y41" s="3"/>
      <c r="Z41" s="3"/>
      <c r="AA41" s="3"/>
      <c r="AB41" s="1190"/>
      <c r="AC41" s="3"/>
      <c r="AD41" s="3"/>
      <c r="AE41" s="3"/>
      <c r="AF41" s="3"/>
      <c r="AG41" s="3"/>
      <c r="AH41" s="3"/>
      <c r="AI41" s="3"/>
    </row>
    <row r="42" spans="2:35" ht="13.9" x14ac:dyDescent="0.4">
      <c r="B42" s="1313" t="s">
        <v>761</v>
      </c>
      <c r="C42" s="1312">
        <v>20.317085744594579</v>
      </c>
      <c r="D42" s="3"/>
      <c r="E42" s="1190"/>
      <c r="F42" s="3"/>
      <c r="G42" s="3"/>
      <c r="H42" s="3"/>
      <c r="I42" s="1190"/>
      <c r="J42" s="648" t="s">
        <v>585</v>
      </c>
      <c r="K42" s="1250">
        <f>C27*L42</f>
        <v>5.1336960465455244</v>
      </c>
      <c r="L42" s="1251">
        <v>1</v>
      </c>
      <c r="M42" s="1190"/>
      <c r="N42" s="3"/>
      <c r="O42" s="3"/>
      <c r="P42" s="3"/>
      <c r="Q42" s="3"/>
      <c r="R42" s="3"/>
      <c r="S42" s="3"/>
      <c r="T42" s="3"/>
      <c r="U42" s="1190"/>
      <c r="V42" s="3"/>
      <c r="W42" s="3"/>
      <c r="X42" s="3"/>
      <c r="Y42" s="3"/>
      <c r="Z42" s="3"/>
      <c r="AA42" s="3"/>
      <c r="AB42" s="1190"/>
      <c r="AC42" s="3"/>
      <c r="AD42" s="3"/>
      <c r="AE42" s="3"/>
      <c r="AF42" s="3"/>
      <c r="AG42" s="3"/>
      <c r="AH42" s="3"/>
      <c r="AI42" s="3"/>
    </row>
    <row r="43" spans="2:35" x14ac:dyDescent="0.35">
      <c r="B43" s="3"/>
      <c r="C43" s="3"/>
      <c r="D43" s="3"/>
      <c r="E43" s="1190"/>
      <c r="F43" s="3"/>
      <c r="G43" s="3"/>
      <c r="H43" s="3"/>
      <c r="I43" s="1190"/>
      <c r="J43" s="3"/>
      <c r="K43" s="3"/>
      <c r="L43" s="3"/>
      <c r="M43" s="1190"/>
      <c r="N43" s="3"/>
      <c r="O43" s="3"/>
      <c r="P43" s="3"/>
      <c r="Q43" s="3"/>
      <c r="R43" s="3"/>
      <c r="S43" s="3"/>
      <c r="T43" s="3"/>
      <c r="U43" s="1190"/>
      <c r="V43" s="3"/>
      <c r="W43" s="3"/>
      <c r="X43" s="3"/>
      <c r="Y43" s="3"/>
      <c r="Z43" s="3"/>
      <c r="AA43" s="3"/>
      <c r="AB43" s="1190"/>
      <c r="AC43" s="3"/>
      <c r="AD43" s="3"/>
      <c r="AE43" s="3"/>
      <c r="AF43" s="3"/>
      <c r="AG43" s="3"/>
      <c r="AH43" s="3"/>
      <c r="AI43" s="3"/>
    </row>
    <row r="44" spans="2:35" ht="13.9" x14ac:dyDescent="0.4">
      <c r="B44" s="3"/>
      <c r="C44" s="3"/>
      <c r="D44" s="3"/>
      <c r="E44" s="1190"/>
      <c r="F44" s="3"/>
      <c r="G44" s="3"/>
      <c r="H44" s="3"/>
      <c r="I44" s="1190"/>
      <c r="J44" s="3"/>
      <c r="K44" s="3"/>
      <c r="L44" s="182">
        <v>1</v>
      </c>
      <c r="M44" s="1190"/>
      <c r="N44" s="3"/>
      <c r="O44" s="3"/>
      <c r="P44" s="3"/>
      <c r="Q44" s="3"/>
      <c r="R44" s="3"/>
      <c r="S44" s="3"/>
      <c r="T44" s="3"/>
      <c r="U44" s="1190"/>
      <c r="V44" s="3"/>
      <c r="W44" s="3"/>
      <c r="X44" s="3"/>
      <c r="Y44" s="3"/>
      <c r="Z44" s="3"/>
      <c r="AA44" s="3"/>
      <c r="AB44" s="1190"/>
      <c r="AC44" s="3"/>
      <c r="AD44" s="3"/>
      <c r="AE44" s="3"/>
      <c r="AF44" s="3"/>
      <c r="AG44" s="3"/>
      <c r="AH44" s="3"/>
      <c r="AI44" s="3"/>
    </row>
    <row r="45" spans="2:35" ht="13.9" x14ac:dyDescent="0.4">
      <c r="B45" s="3"/>
      <c r="C45" s="3"/>
      <c r="D45" s="3"/>
      <c r="E45" s="1190"/>
      <c r="F45" s="3"/>
      <c r="G45" s="3"/>
      <c r="H45" s="3"/>
      <c r="I45" s="1190"/>
      <c r="J45" s="3"/>
      <c r="K45" s="3"/>
      <c r="L45" s="182">
        <v>1.043956043956044</v>
      </c>
      <c r="M45" s="1190"/>
      <c r="N45" s="3"/>
      <c r="O45" s="3"/>
      <c r="P45" s="3"/>
      <c r="Q45" s="3"/>
      <c r="R45" s="3"/>
      <c r="S45" s="3"/>
      <c r="T45" s="3"/>
      <c r="U45" s="1190"/>
      <c r="V45" s="3"/>
      <c r="W45" s="3"/>
      <c r="X45" s="3"/>
      <c r="Y45" s="3"/>
      <c r="Z45" s="3"/>
      <c r="AA45" s="3"/>
      <c r="AB45" s="1190"/>
      <c r="AC45" s="3"/>
      <c r="AD45" s="3"/>
      <c r="AE45" s="3"/>
      <c r="AF45" s="3"/>
      <c r="AG45" s="3"/>
      <c r="AH45" s="3"/>
      <c r="AI45" s="3"/>
    </row>
    <row r="46" spans="2:35" ht="13.9" x14ac:dyDescent="0.4">
      <c r="B46" s="3"/>
      <c r="C46" s="3"/>
      <c r="D46" s="3"/>
      <c r="E46" s="1190"/>
      <c r="F46" s="3"/>
      <c r="G46" s="3"/>
      <c r="H46" s="3"/>
      <c r="I46" s="1190"/>
      <c r="J46" s="3"/>
      <c r="K46" s="3"/>
      <c r="L46" s="182">
        <v>1</v>
      </c>
      <c r="M46" s="1190"/>
      <c r="N46" s="3"/>
      <c r="O46" s="3"/>
      <c r="P46" s="3"/>
      <c r="Q46" s="3"/>
      <c r="R46" s="3"/>
      <c r="S46" s="3"/>
      <c r="T46" s="3"/>
      <c r="U46" s="1190"/>
      <c r="V46" s="3"/>
      <c r="W46" s="3"/>
      <c r="X46" s="3"/>
      <c r="Y46" s="3"/>
      <c r="Z46" s="3"/>
      <c r="AA46" s="3"/>
      <c r="AB46" s="1190"/>
      <c r="AC46" s="3"/>
      <c r="AD46" s="3"/>
      <c r="AE46" s="3"/>
      <c r="AF46" s="3"/>
      <c r="AG46" s="3"/>
      <c r="AH46" s="3"/>
      <c r="AI46" s="3"/>
    </row>
    <row r="47" spans="2:35" ht="13.9" x14ac:dyDescent="0.4">
      <c r="B47" s="3"/>
      <c r="C47" s="3"/>
      <c r="D47" s="3"/>
      <c r="E47" s="1190"/>
      <c r="F47" s="3"/>
      <c r="G47" s="3"/>
      <c r="H47" s="3"/>
      <c r="I47" s="1190"/>
      <c r="J47" s="3"/>
      <c r="K47" s="3"/>
      <c r="L47" s="182">
        <v>1</v>
      </c>
      <c r="M47" s="1190"/>
      <c r="N47" s="3"/>
      <c r="O47" s="3"/>
      <c r="P47" s="3"/>
      <c r="Q47" s="3"/>
      <c r="R47" s="3"/>
      <c r="S47" s="3"/>
      <c r="T47" s="3"/>
      <c r="U47" s="1190"/>
      <c r="V47" s="3"/>
      <c r="W47" s="3"/>
      <c r="X47" s="3"/>
      <c r="Y47" s="3"/>
      <c r="Z47" s="3"/>
      <c r="AA47" s="3"/>
      <c r="AB47" s="1190"/>
      <c r="AC47" s="3"/>
      <c r="AD47" s="3"/>
      <c r="AE47" s="3"/>
      <c r="AF47" s="3"/>
      <c r="AG47" s="3"/>
      <c r="AH47" s="3"/>
      <c r="AI47" s="3"/>
    </row>
    <row r="48" spans="2:35" ht="13.9" x14ac:dyDescent="0.4">
      <c r="B48" s="3"/>
      <c r="C48" s="3"/>
      <c r="D48" s="3"/>
      <c r="E48" s="1190"/>
      <c r="F48" s="3"/>
      <c r="G48" s="3"/>
      <c r="H48" s="3"/>
      <c r="I48" s="1190"/>
      <c r="J48" s="3"/>
      <c r="K48" s="3"/>
      <c r="L48" s="182">
        <v>1.0192307692307692</v>
      </c>
      <c r="M48" s="1190"/>
      <c r="N48" s="3"/>
      <c r="O48" s="3"/>
      <c r="P48" s="3"/>
      <c r="Q48" s="3"/>
      <c r="R48" s="3"/>
      <c r="S48" s="3"/>
      <c r="T48" s="3"/>
      <c r="U48" s="1190"/>
      <c r="V48" s="3"/>
      <c r="W48" s="3"/>
      <c r="X48" s="3"/>
      <c r="Y48" s="3"/>
      <c r="Z48" s="3"/>
      <c r="AA48" s="3"/>
      <c r="AB48" s="1190"/>
      <c r="AC48" s="3"/>
      <c r="AD48" s="3"/>
      <c r="AE48" s="3"/>
      <c r="AF48" s="3"/>
      <c r="AG48" s="3"/>
      <c r="AH48" s="3"/>
      <c r="AI48" s="3"/>
    </row>
    <row r="49" spans="12:12" ht="13.9" x14ac:dyDescent="0.4">
      <c r="L49" s="182">
        <v>0.90909090909090906</v>
      </c>
    </row>
    <row r="50" spans="12:12" ht="13.9" x14ac:dyDescent="0.4">
      <c r="L50" s="182">
        <v>0.90909090909090906</v>
      </c>
    </row>
    <row r="51" spans="12:12" ht="13.9" x14ac:dyDescent="0.4">
      <c r="L51" s="182">
        <v>1</v>
      </c>
    </row>
    <row r="52" spans="12:12" ht="13.9" x14ac:dyDescent="0.4">
      <c r="L52" s="182">
        <v>1</v>
      </c>
    </row>
    <row r="53" spans="12:12" ht="13.9" x14ac:dyDescent="0.4">
      <c r="L53" s="182">
        <v>1.0192307692307692</v>
      </c>
    </row>
    <row r="54" spans="12:12" ht="13.9" x14ac:dyDescent="0.4">
      <c r="L54" s="182">
        <v>1</v>
      </c>
    </row>
    <row r="55" spans="12:12" ht="13.9" x14ac:dyDescent="0.4">
      <c r="L55" s="182">
        <v>1.0306122448979591</v>
      </c>
    </row>
    <row r="56" spans="12:12" ht="13.9" x14ac:dyDescent="0.4">
      <c r="L56" s="182">
        <v>1</v>
      </c>
    </row>
    <row r="57" spans="12:12" ht="13.9" x14ac:dyDescent="0.4">
      <c r="L57" s="182">
        <v>1</v>
      </c>
    </row>
    <row r="58" spans="12:12" ht="13.9" x14ac:dyDescent="0.4">
      <c r="L58" s="182">
        <v>1</v>
      </c>
    </row>
    <row r="59" spans="12:12" ht="13.9" x14ac:dyDescent="0.4">
      <c r="L59" s="182">
        <v>1</v>
      </c>
    </row>
    <row r="60" spans="12:12" x14ac:dyDescent="0.35">
      <c r="L60" s="3"/>
    </row>
    <row r="61" spans="12:12" ht="13.9" x14ac:dyDescent="0.4">
      <c r="L61" s="182">
        <v>1.0183486238532109</v>
      </c>
    </row>
    <row r="62" spans="12:12" ht="13.9" x14ac:dyDescent="0.4">
      <c r="L62" s="182">
        <v>1</v>
      </c>
    </row>
    <row r="63" spans="12:12" ht="13.9" x14ac:dyDescent="0.4">
      <c r="L63" s="182">
        <v>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2"/>
  <sheetViews>
    <sheetView workbookViewId="0">
      <selection activeCell="H34" sqref="H34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8" customWidth="1"/>
    <col min="4" max="4" width="6.86328125" customWidth="1"/>
    <col min="5" max="5" width="6" customWidth="1"/>
    <col min="6" max="6" width="5.265625" customWidth="1"/>
    <col min="7" max="7" width="8.73046875" customWidth="1"/>
    <col min="8" max="8" width="6" customWidth="1"/>
  </cols>
  <sheetData>
    <row r="1" spans="1:8" ht="13.9" x14ac:dyDescent="0.4">
      <c r="A1" s="92" t="str">
        <f>A2_Budget_Look_Up!D15</f>
        <v>Table 7. Machinery Capital Recovery and Operating Costs, Grain Sorghum, Furrow</v>
      </c>
      <c r="B1" s="92"/>
      <c r="C1" s="92"/>
      <c r="D1" s="92"/>
      <c r="E1" s="92"/>
      <c r="F1" s="92"/>
      <c r="G1" s="92"/>
      <c r="H1" s="115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16"/>
    </row>
    <row r="3" spans="1:8" ht="13.9" x14ac:dyDescent="0.4">
      <c r="A3" s="91"/>
      <c r="B3" s="93" t="str">
        <f>Trips!G2</f>
        <v>Fixed</v>
      </c>
      <c r="C3" s="93"/>
      <c r="D3" s="93"/>
      <c r="E3" s="93"/>
      <c r="F3" s="93"/>
      <c r="G3" s="93" t="s">
        <v>215</v>
      </c>
      <c r="H3" s="106" t="s">
        <v>220</v>
      </c>
    </row>
    <row r="4" spans="1:8" ht="13.9" x14ac:dyDescent="0.4">
      <c r="A4" s="100" t="s">
        <v>217</v>
      </c>
      <c r="B4" s="95" t="str">
        <f>Trips!G3</f>
        <v>Costs</v>
      </c>
      <c r="C4" s="95" t="str">
        <f>Trips!H3</f>
        <v xml:space="preserve">Repairs </v>
      </c>
      <c r="D4" s="95" t="s">
        <v>523</v>
      </c>
      <c r="E4" s="95" t="str">
        <f>Trips!J3</f>
        <v>Labor</v>
      </c>
      <c r="F4" s="95" t="str">
        <f>Trips!K3</f>
        <v>Total</v>
      </c>
      <c r="G4" s="95" t="s">
        <v>216</v>
      </c>
      <c r="H4" s="117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Machine!A15</f>
        <v>Subsoiler, 25 ft.</v>
      </c>
      <c r="B6" s="96" t="str">
        <f>IF(Trips!G5&gt;0,Trips!G5," ")</f>
        <v xml:space="preserve"> </v>
      </c>
      <c r="C6" s="96" t="str">
        <f>IF(Trips!H5&gt;0,Trips!H5," ")</f>
        <v xml:space="preserve"> </v>
      </c>
      <c r="D6" s="96" t="str">
        <f>IF(Trips!I5&gt;0,Trips!I5," ")</f>
        <v xml:space="preserve"> </v>
      </c>
      <c r="E6" s="96" t="str">
        <f>IF(Trips!J5&gt;0,Trips!J5," ")</f>
        <v xml:space="preserve"> </v>
      </c>
      <c r="F6" s="96" t="str">
        <f>IF(Trips!K5&gt;0,Trips!K5," ")</f>
        <v xml:space="preserve"> </v>
      </c>
      <c r="G6" s="528" t="str">
        <f>IF(Machine!B15&gt;0,Machine!B15," ")</f>
        <v xml:space="preserve"> </v>
      </c>
      <c r="H6" s="97" t="str">
        <f>IF(Machine!B15&gt;0,Machine!D15," ")</f>
        <v xml:space="preserve"> </v>
      </c>
    </row>
    <row r="7" spans="1:8" ht="13.9" x14ac:dyDescent="0.4">
      <c r="A7" s="91" t="str">
        <f>Machine!A16</f>
        <v>Subsoiler, 5 shank</v>
      </c>
      <c r="B7" s="96" t="str">
        <f>IF(Trips!G6&gt;0,Trips!G6," ")</f>
        <v xml:space="preserve"> </v>
      </c>
      <c r="C7" s="96" t="str">
        <f>IF(Trips!H6&gt;0,Trips!H6," ")</f>
        <v xml:space="preserve"> </v>
      </c>
      <c r="D7" s="96" t="str">
        <f>IF(Trips!I6&gt;0,Trips!I6," ")</f>
        <v xml:space="preserve"> </v>
      </c>
      <c r="E7" s="96" t="str">
        <f>IF(Trips!J6&gt;0,Trips!J6," ")</f>
        <v xml:space="preserve"> </v>
      </c>
      <c r="F7" s="96" t="str">
        <f>IF(Trips!K6&gt;0,Trips!K6," ")</f>
        <v xml:space="preserve"> </v>
      </c>
      <c r="G7" s="528" t="str">
        <f>IF(Machine!B16&gt;0,Machine!B16," ")</f>
        <v xml:space="preserve"> </v>
      </c>
      <c r="H7" s="97" t="str">
        <f>IF(Machine!B16&gt;0,Machine!D16," ")</f>
        <v xml:space="preserve"> </v>
      </c>
    </row>
    <row r="8" spans="1:8" ht="13.9" x14ac:dyDescent="0.4">
      <c r="A8" s="91" t="str">
        <f>Machine!A17</f>
        <v>Bedder, Rip/Disk</v>
      </c>
      <c r="B8" s="96" t="str">
        <f>IF(Trips!G7&gt;0,Trips!G7," ")</f>
        <v xml:space="preserve"> </v>
      </c>
      <c r="C8" s="96" t="str">
        <f>IF(Trips!H7&gt;0,Trips!H7," ")</f>
        <v xml:space="preserve"> </v>
      </c>
      <c r="D8" s="96" t="str">
        <f>IF(Trips!I7&gt;0,Trips!I7," ")</f>
        <v xml:space="preserve"> </v>
      </c>
      <c r="E8" s="96" t="str">
        <f>IF(Trips!J7&gt;0,Trips!J7," ")</f>
        <v xml:space="preserve"> </v>
      </c>
      <c r="F8" s="96" t="str">
        <f>IF(Trips!K7&gt;0,Trips!K7," ")</f>
        <v xml:space="preserve"> </v>
      </c>
      <c r="G8" s="528" t="str">
        <f>IF(Machine!B17&gt;0,Machine!B17," ")</f>
        <v xml:space="preserve"> </v>
      </c>
      <c r="H8" s="97" t="str">
        <f>IF(Machine!B17&gt;0,Machine!D17," ")</f>
        <v xml:space="preserve"> </v>
      </c>
    </row>
    <row r="9" spans="1:8" ht="13.9" x14ac:dyDescent="0.4">
      <c r="A9" s="91" t="str">
        <f>Machine!A18</f>
        <v>Bedder, Lister</v>
      </c>
      <c r="B9" s="96" t="str">
        <f>IF(Trips!G8&gt;0,Trips!G8," ")</f>
        <v xml:space="preserve"> </v>
      </c>
      <c r="C9" s="96" t="str">
        <f>IF(Trips!H8&gt;0,Trips!H8," ")</f>
        <v xml:space="preserve"> </v>
      </c>
      <c r="D9" s="96" t="str">
        <f>IF(Trips!I8&gt;0,Trips!I8," ")</f>
        <v xml:space="preserve"> </v>
      </c>
      <c r="E9" s="96" t="str">
        <f>IF(Trips!J8&gt;0,Trips!J8," ")</f>
        <v xml:space="preserve"> </v>
      </c>
      <c r="F9" s="96" t="str">
        <f>IF(Trips!K8&gt;0,Trips!K8," ")</f>
        <v xml:space="preserve"> </v>
      </c>
      <c r="G9" s="528" t="str">
        <f>IF(Machine!B18&gt;0,Machine!B18," ")</f>
        <v xml:space="preserve"> </v>
      </c>
      <c r="H9" s="97" t="str">
        <f>IF(Machine!B18&gt;0,Machine!D18," ")</f>
        <v xml:space="preserve"> </v>
      </c>
    </row>
    <row r="10" spans="1:8" ht="13.9" x14ac:dyDescent="0.4">
      <c r="A10" s="91" t="str">
        <f>Machine!A19</f>
        <v>Disk</v>
      </c>
      <c r="B10" s="96" t="str">
        <f>IF(Trips!G9&gt;0,Trips!G9," ")</f>
        <v xml:space="preserve"> </v>
      </c>
      <c r="C10" s="96" t="str">
        <f>IF(Trips!H9&gt;0,Trips!H9," ")</f>
        <v xml:space="preserve"> </v>
      </c>
      <c r="D10" s="96" t="str">
        <f>IF(Trips!I9&gt;0,Trips!I9," ")</f>
        <v xml:space="preserve"> </v>
      </c>
      <c r="E10" s="96" t="str">
        <f>IF(Trips!J9&gt;0,Trips!J9," ")</f>
        <v xml:space="preserve"> </v>
      </c>
      <c r="F10" s="96" t="str">
        <f>IF(Trips!K9&gt;0,Trips!K9," ")</f>
        <v xml:space="preserve"> </v>
      </c>
      <c r="G10" s="528" t="str">
        <f>IF(Machine!B19&gt;0,Machine!B19," ")</f>
        <v xml:space="preserve"> </v>
      </c>
      <c r="H10" s="97" t="str">
        <f>IF(Machine!B19&gt;0,Machine!D19," ")</f>
        <v xml:space="preserve"> </v>
      </c>
    </row>
    <row r="11" spans="1:8" ht="13.9" x14ac:dyDescent="0.4">
      <c r="A11" s="91" t="str">
        <f>Machine!A20</f>
        <v>Bedder, Hipper</v>
      </c>
      <c r="B11" s="96">
        <f>IF(Trips!G10&gt;0,Trips!G10," ")</f>
        <v>8.575859042404959</v>
      </c>
      <c r="C11" s="96">
        <f>IF(Trips!H10&gt;0,Trips!H10," ")</f>
        <v>1.0846891460606569</v>
      </c>
      <c r="D11" s="96">
        <f>IF(Trips!I10&gt;0,Trips!I10," ")</f>
        <v>1.5013552631578946</v>
      </c>
      <c r="E11" s="96">
        <f>IF(Trips!J10&gt;0,Trips!J10," ")</f>
        <v>0.93012719298245616</v>
      </c>
      <c r="F11" s="96">
        <f>IF(Trips!K10&gt;0,Trips!K10," ")</f>
        <v>12.092030644605964</v>
      </c>
      <c r="G11" s="528">
        <f>IF(Machine!B20&gt;0,Machine!B20," ")</f>
        <v>2</v>
      </c>
      <c r="H11" s="97">
        <f>IF(Machine!B20&gt;0,Machine!D20," ")</f>
        <v>38</v>
      </c>
    </row>
    <row r="12" spans="1:8" ht="13.9" x14ac:dyDescent="0.4">
      <c r="A12" s="91" t="str">
        <f>Machine!A21</f>
        <v>Chisel Plow</v>
      </c>
      <c r="B12" s="96" t="str">
        <f>IF(Trips!G11&gt;0,Trips!G11," ")</f>
        <v xml:space="preserve"> </v>
      </c>
      <c r="C12" s="96" t="str">
        <f>IF(Trips!H11&gt;0,Trips!H11," ")</f>
        <v xml:space="preserve"> </v>
      </c>
      <c r="D12" s="96" t="str">
        <f>IF(Trips!I11&gt;0,Trips!I11," ")</f>
        <v xml:space="preserve"> </v>
      </c>
      <c r="E12" s="96" t="str">
        <f>IF(Trips!J11&gt;0,Trips!J11," ")</f>
        <v xml:space="preserve"> </v>
      </c>
      <c r="F12" s="96" t="str">
        <f>IF(Trips!K11&gt;0,Trips!K11," ")</f>
        <v xml:space="preserve"> </v>
      </c>
      <c r="G12" s="528" t="str">
        <f>IF(Machine!B21&gt;0,Machine!B21," ")</f>
        <v xml:space="preserve"> </v>
      </c>
      <c r="H12" s="97" t="str">
        <f>IF(Machine!B21&gt;0,Machine!D21," ")</f>
        <v xml:space="preserve"> </v>
      </c>
    </row>
    <row r="13" spans="1:8" ht="13.9" x14ac:dyDescent="0.4">
      <c r="A13" s="91" t="str">
        <f>Machine!A22</f>
        <v>Harrow</v>
      </c>
      <c r="B13" s="96" t="str">
        <f>IF(Trips!G12&gt;0,Trips!G12," ")</f>
        <v xml:space="preserve"> </v>
      </c>
      <c r="C13" s="96" t="str">
        <f>IF(Trips!H12&gt;0,Trips!H12," ")</f>
        <v xml:space="preserve"> </v>
      </c>
      <c r="D13" s="96" t="str">
        <f>IF(Trips!I12&gt;0,Trips!I12," ")</f>
        <v xml:space="preserve"> </v>
      </c>
      <c r="E13" s="96" t="str">
        <f>IF(Trips!J12&gt;0,Trips!J12," ")</f>
        <v xml:space="preserve"> </v>
      </c>
      <c r="F13" s="96" t="str">
        <f>IF(Trips!K12&gt;0,Trips!K12," ")</f>
        <v xml:space="preserve"> </v>
      </c>
      <c r="G13" s="528" t="str">
        <f>IF(Machine!B22&gt;0,Machine!B22," ")</f>
        <v xml:space="preserve"> </v>
      </c>
      <c r="H13" s="97" t="str">
        <f>IF(Machine!B22&gt;0,Machine!D22," ")</f>
        <v xml:space="preserve"> </v>
      </c>
    </row>
    <row r="14" spans="1:8" ht="13.9" x14ac:dyDescent="0.4">
      <c r="A14" s="91" t="str">
        <f>Machine!A23</f>
        <v>Roller</v>
      </c>
      <c r="B14" s="96" t="str">
        <f>IF(Trips!G13&gt;0,Trips!G13," ")</f>
        <v xml:space="preserve"> </v>
      </c>
      <c r="C14" s="96" t="str">
        <f>IF(Trips!H13&gt;0,Trips!H13," ")</f>
        <v xml:space="preserve"> </v>
      </c>
      <c r="D14" s="96" t="str">
        <f>IF(Trips!I13&gt;0,Trips!I13," ")</f>
        <v xml:space="preserve"> </v>
      </c>
      <c r="E14" s="96" t="str">
        <f>IF(Trips!J13&gt;0,Trips!J13," ")</f>
        <v xml:space="preserve"> </v>
      </c>
      <c r="F14" s="96" t="str">
        <f>IF(Trips!K13&gt;0,Trips!K13," ")</f>
        <v xml:space="preserve"> </v>
      </c>
      <c r="G14" s="528" t="str">
        <f>IF(Machine!B23&gt;0,Machine!B23," ")</f>
        <v xml:space="preserve"> </v>
      </c>
      <c r="H14" s="97" t="str">
        <f>IF(Machine!B23&gt;0,Machine!D23," ")</f>
        <v xml:space="preserve"> </v>
      </c>
    </row>
    <row r="15" spans="1:8" ht="13.9" x14ac:dyDescent="0.4">
      <c r="A15" s="91" t="str">
        <f>Machine!A24</f>
        <v>Bedder-Roller</v>
      </c>
      <c r="B15" s="96" t="str">
        <f>IF(Trips!G14&gt;0,Trips!G14," ")</f>
        <v xml:space="preserve"> </v>
      </c>
      <c r="C15" s="96" t="str">
        <f>IF(Trips!H14&gt;0,Trips!H14," ")</f>
        <v xml:space="preserve"> </v>
      </c>
      <c r="D15" s="96" t="str">
        <f>IF(Trips!I14&gt;0,Trips!I14," ")</f>
        <v xml:space="preserve"> </v>
      </c>
      <c r="E15" s="96" t="str">
        <f>IF(Trips!J14&gt;0,Trips!J14," ")</f>
        <v xml:space="preserve"> </v>
      </c>
      <c r="F15" s="96" t="str">
        <f>IF(Trips!K14&gt;0,Trips!K14," ")</f>
        <v xml:space="preserve"> </v>
      </c>
      <c r="G15" s="528" t="str">
        <f>IF(Machine!B24&gt;0,Machine!B24," ")</f>
        <v xml:space="preserve"> </v>
      </c>
      <c r="H15" s="97" t="str">
        <f>IF(Machine!B24&gt;0,Machine!D24," ")</f>
        <v xml:space="preserve"> </v>
      </c>
    </row>
    <row r="16" spans="1:8" ht="13.9" x14ac:dyDescent="0.4">
      <c r="A16" s="91" t="str">
        <f>Machine!A25</f>
        <v>Ditcher</v>
      </c>
      <c r="B16" s="96" t="str">
        <f>IF(Trips!G15&gt;0,Trips!G15," ")</f>
        <v xml:space="preserve"> </v>
      </c>
      <c r="C16" s="96" t="str">
        <f>IF(Trips!H15&gt;0,Trips!H15," ")</f>
        <v xml:space="preserve"> </v>
      </c>
      <c r="D16" s="96" t="str">
        <f>IF(Trips!I15&gt;0,Trips!I15," ")</f>
        <v xml:space="preserve"> </v>
      </c>
      <c r="E16" s="96" t="str">
        <f>IF(Trips!J15&gt;0,Trips!J15," ")</f>
        <v xml:space="preserve"> </v>
      </c>
      <c r="F16" s="96" t="str">
        <f>IF(Trips!K15&gt;0,Trips!K15," ")</f>
        <v xml:space="preserve"> </v>
      </c>
      <c r="G16" s="528" t="str">
        <f>IF(Machine!B25&gt;0,Machine!B25," ")</f>
        <v xml:space="preserve"> </v>
      </c>
      <c r="H16" s="118" t="s">
        <v>219</v>
      </c>
    </row>
    <row r="17" spans="1:8" ht="13.9" x14ac:dyDescent="0.4">
      <c r="A17" s="91" t="str">
        <f>Machine!A26</f>
        <v>Turbo Tiller</v>
      </c>
      <c r="B17" s="96" t="str">
        <f>IF(Trips!G16&gt;0,Trips!G16," ")</f>
        <v xml:space="preserve"> </v>
      </c>
      <c r="C17" s="96" t="str">
        <f>IF(Trips!H16&gt;0,Trips!H16," ")</f>
        <v xml:space="preserve"> </v>
      </c>
      <c r="D17" s="96" t="str">
        <f>IF(Trips!I16&gt;0,Trips!I16," ")</f>
        <v xml:space="preserve"> </v>
      </c>
      <c r="E17" s="96" t="str">
        <f>IF(Trips!J16&gt;0,Trips!J16," ")</f>
        <v xml:space="preserve"> </v>
      </c>
      <c r="F17" s="96" t="str">
        <f>IF(Trips!K16&gt;0,Trips!K16," ")</f>
        <v xml:space="preserve"> </v>
      </c>
      <c r="G17" s="528" t="str">
        <f>IF(Machine!B26&gt;0,Machine!B26," ")</f>
        <v xml:space="preserve"> </v>
      </c>
      <c r="H17" s="97" t="str">
        <f>IF(Machine!B26&gt;0,Machine!D26," ")</f>
        <v xml:space="preserve"> </v>
      </c>
    </row>
    <row r="18" spans="1:8" ht="13.9" x14ac:dyDescent="0.4">
      <c r="A18" s="91" t="str">
        <f>Machine!A27</f>
        <v>Rotary Harrow (ex. Phillips)</v>
      </c>
      <c r="B18" s="96" t="str">
        <f>IF(Trips!G17&gt;0,Trips!G17," ")</f>
        <v xml:space="preserve"> </v>
      </c>
      <c r="C18" s="96" t="str">
        <f>IF(Trips!H17&gt;0,Trips!H17," ")</f>
        <v xml:space="preserve"> </v>
      </c>
      <c r="D18" s="96" t="str">
        <f>IF(Trips!I17&gt;0,Trips!I17," ")</f>
        <v xml:space="preserve"> </v>
      </c>
      <c r="E18" s="96" t="str">
        <f>IF(Trips!J17&gt;0,Trips!J17," ")</f>
        <v xml:space="preserve"> </v>
      </c>
      <c r="F18" s="96" t="str">
        <f>IF(Trips!K17&gt;0,Trips!K17," ")</f>
        <v xml:space="preserve"> </v>
      </c>
      <c r="G18" s="528" t="str">
        <f>IF(Machine!B27&gt;0,Machine!B27," ")</f>
        <v xml:space="preserve"> </v>
      </c>
      <c r="H18" s="97" t="str">
        <f>IF(Machine!B27&gt;0,Machine!D27," ")</f>
        <v xml:space="preserve"> </v>
      </c>
    </row>
    <row r="19" spans="1:8" ht="13.9" x14ac:dyDescent="0.4">
      <c r="A19" s="91" t="str">
        <f>Machine!A28</f>
        <v>Field Cultivator</v>
      </c>
      <c r="B19" s="96" t="str">
        <f>IF(Trips!G18&gt;0,Trips!G18," ")</f>
        <v xml:space="preserve"> </v>
      </c>
      <c r="C19" s="96" t="str">
        <f>IF(Trips!H18&gt;0,Trips!H18," ")</f>
        <v xml:space="preserve"> </v>
      </c>
      <c r="D19" s="96" t="str">
        <f>IF(Trips!I18&gt;0,Trips!I18," ")</f>
        <v xml:space="preserve"> </v>
      </c>
      <c r="E19" s="96" t="str">
        <f>IF(Trips!J18&gt;0,Trips!J18," ")</f>
        <v xml:space="preserve"> </v>
      </c>
      <c r="F19" s="96" t="str">
        <f>IF(Trips!K18&gt;0,Trips!K18," ")</f>
        <v xml:space="preserve"> </v>
      </c>
      <c r="G19" s="528" t="str">
        <f>IF(Machine!B28&gt;0,Machine!B28," ")</f>
        <v xml:space="preserve"> </v>
      </c>
      <c r="H19" s="97" t="str">
        <f>IF(Machine!B28&gt;0,Machine!D28," ")</f>
        <v xml:space="preserve"> </v>
      </c>
    </row>
    <row r="20" spans="1:8" ht="13.9" x14ac:dyDescent="0.4">
      <c r="A20" s="91" t="str">
        <f>Machine!A29</f>
        <v>Row Crop Cultivator, Row Middles</v>
      </c>
      <c r="B20" s="96">
        <f>IF(Trips!G19&gt;0,Trips!G19," ")</f>
        <v>4.9857054040011874</v>
      </c>
      <c r="C20" s="96">
        <f>IF(Trips!H19&gt;0,Trips!H19," ")</f>
        <v>0.45171120485025068</v>
      </c>
      <c r="D20" s="96">
        <f>IF(Trips!I19&gt;0,Trips!I19," ")</f>
        <v>0.96515695488721776</v>
      </c>
      <c r="E20" s="96">
        <f>IF(Trips!J19&gt;0,Trips!J19," ")</f>
        <v>0.59793890977443598</v>
      </c>
      <c r="F20" s="96">
        <f>IF(Trips!K19&gt;0,Trips!K19," ")</f>
        <v>7.0005124735130924</v>
      </c>
      <c r="G20" s="528">
        <f>IF(Machine!B29&gt;0,Machine!B29," ")</f>
        <v>1</v>
      </c>
      <c r="H20" s="97">
        <f>IF(Machine!B29&gt;0,Machine!D29," ")</f>
        <v>38</v>
      </c>
    </row>
    <row r="21" spans="1:8" ht="13.9" x14ac:dyDescent="0.4">
      <c r="A21" s="91" t="str">
        <f>Machine!A30</f>
        <v>Sprayer, Tractor Mounted (ft)</v>
      </c>
      <c r="B21" s="96" t="str">
        <f>IF(Trips!G20&gt;0,Trips!G20," ")</f>
        <v xml:space="preserve"> </v>
      </c>
      <c r="C21" s="96" t="str">
        <f>IF(Trips!H20&gt;0,Trips!H20," ")</f>
        <v xml:space="preserve"> </v>
      </c>
      <c r="D21" s="96" t="str">
        <f>IF(Trips!I20&gt;0,Trips!I20," ")</f>
        <v xml:space="preserve"> </v>
      </c>
      <c r="E21" s="96" t="str">
        <f>IF(Trips!J20&gt;0,Trips!J20," ")</f>
        <v xml:space="preserve"> </v>
      </c>
      <c r="F21" s="96" t="str">
        <f>IF(Trips!K20&gt;0,Trips!K20," ")</f>
        <v xml:space="preserve"> </v>
      </c>
      <c r="G21" s="528" t="str">
        <f>IF(Machine!B30&gt;0,Machine!B30," ")</f>
        <v xml:space="preserve"> </v>
      </c>
      <c r="H21" s="97" t="str">
        <f>IF(Machine!B30&gt;0,Machine!D30," ")</f>
        <v xml:space="preserve"> </v>
      </c>
    </row>
    <row r="22" spans="1:8" ht="13.9" x14ac:dyDescent="0.4">
      <c r="A22" s="91" t="str">
        <f>Machine!A31</f>
        <v>Sprayer, Tractor Mounted (row)</v>
      </c>
      <c r="B22" s="96" t="str">
        <f>IF(Trips!G21&gt;0,Trips!G21," ")</f>
        <v xml:space="preserve"> </v>
      </c>
      <c r="C22" s="96" t="str">
        <f>IF(Trips!H21&gt;0,Trips!H21," ")</f>
        <v xml:space="preserve"> </v>
      </c>
      <c r="D22" s="96" t="str">
        <f>IF(Trips!I21&gt;0,Trips!I21," ")</f>
        <v xml:space="preserve"> </v>
      </c>
      <c r="E22" s="96" t="str">
        <f>IF(Trips!J21&gt;0,Trips!J21," ")</f>
        <v xml:space="preserve"> </v>
      </c>
      <c r="F22" s="96" t="str">
        <f>IF(Trips!K21&gt;0,Trips!K21," ")</f>
        <v xml:space="preserve"> </v>
      </c>
      <c r="G22" s="528" t="str">
        <f>IF(Machine!B31&gt;0,Machine!B31," ")</f>
        <v xml:space="preserve"> </v>
      </c>
      <c r="H22" s="97" t="str">
        <f>IF(Machine!B31&gt;0,Machine!D31," ")</f>
        <v xml:space="preserve"> </v>
      </c>
    </row>
    <row r="23" spans="1:8" ht="13.9" x14ac:dyDescent="0.4">
      <c r="A23" s="91" t="str">
        <f>Machine!A32</f>
        <v>Land Plane</v>
      </c>
      <c r="B23" s="96" t="str">
        <f>IF(Trips!G22&gt;0,Trips!G22," ")</f>
        <v xml:space="preserve"> </v>
      </c>
      <c r="C23" s="96" t="str">
        <f>IF(Trips!H22&gt;0,Trips!H22," ")</f>
        <v xml:space="preserve"> </v>
      </c>
      <c r="D23" s="96" t="str">
        <f>IF(Trips!I22&gt;0,Trips!I22," ")</f>
        <v xml:space="preserve"> </v>
      </c>
      <c r="E23" s="96" t="str">
        <f>IF(Trips!J22&gt;0,Trips!J22," ")</f>
        <v xml:space="preserve"> </v>
      </c>
      <c r="F23" s="96" t="str">
        <f>IF(Trips!K22&gt;0,Trips!K22," ")</f>
        <v xml:space="preserve"> </v>
      </c>
      <c r="G23" s="528" t="str">
        <f>IF(Machine!B32&gt;0,Machine!B32," ")</f>
        <v xml:space="preserve"> </v>
      </c>
      <c r="H23" s="97" t="str">
        <f>IF(Machine!B32&gt;0,Machine!D32," ")</f>
        <v xml:space="preserve"> </v>
      </c>
    </row>
    <row r="24" spans="1:8" ht="13.9" x14ac:dyDescent="0.4">
      <c r="A24" s="91" t="str">
        <f>Machine!A33</f>
        <v>Fertilizer, Broadcast Spreader</v>
      </c>
      <c r="B24" s="96" t="str">
        <f>IF(Trips!G23&gt;0,Trips!G23," ")</f>
        <v xml:space="preserve"> </v>
      </c>
      <c r="C24" s="96" t="str">
        <f>IF(Trips!H23&gt;0,Trips!H23," ")</f>
        <v xml:space="preserve"> </v>
      </c>
      <c r="D24" s="96" t="str">
        <f>IF(Trips!I23&gt;0,Trips!I23," ")</f>
        <v xml:space="preserve"> </v>
      </c>
      <c r="E24" s="96" t="str">
        <f>IF(Trips!J23&gt;0,Trips!J23," ")</f>
        <v xml:space="preserve"> </v>
      </c>
      <c r="F24" s="96" t="str">
        <f>IF(Trips!K23&gt;0,Trips!K23," ")</f>
        <v xml:space="preserve"> </v>
      </c>
      <c r="G24" s="528" t="str">
        <f>IF(Machine!B33&gt;0,Machine!B33," ")</f>
        <v xml:space="preserve"> </v>
      </c>
      <c r="H24" s="97" t="str">
        <f>IF(Machine!B33&gt;0,Machine!D33," ")</f>
        <v xml:space="preserve"> </v>
      </c>
    </row>
    <row r="25" spans="1:8" ht="13.9" x14ac:dyDescent="0.4">
      <c r="A25" s="91" t="str">
        <f>Machine!A34</f>
        <v>Do All, Seedbed Finisher</v>
      </c>
      <c r="B25" s="96">
        <f>IF(Trips!G24&gt;0,Trips!G24," ")</f>
        <v>4.1824183654847626</v>
      </c>
      <c r="C25" s="96">
        <f>IF(Trips!H24&gt;0,Trips!H24," ")</f>
        <v>0.5321405183449972</v>
      </c>
      <c r="D25" s="96">
        <f>IF(Trips!I24&gt;0,Trips!I24," ")</f>
        <v>0.90838301636444041</v>
      </c>
      <c r="E25" s="96">
        <f>IF(Trips!J24&gt;0,Trips!J24," ")</f>
        <v>0.56276603272888104</v>
      </c>
      <c r="F25" s="96">
        <f>IF(Trips!K24&gt;0,Trips!K24," ")</f>
        <v>6.1857079329230809</v>
      </c>
      <c r="G25" s="528">
        <f>IF(Machine!B34&gt;0,Machine!B34," ")</f>
        <v>1</v>
      </c>
      <c r="H25" s="97">
        <f>IF(Machine!B34&gt;0,Machine!D34," ")</f>
        <v>38</v>
      </c>
    </row>
    <row r="26" spans="1:8" ht="13.9" x14ac:dyDescent="0.4">
      <c r="A26" s="91" t="str">
        <f>Machine!A35</f>
        <v>Planter</v>
      </c>
      <c r="B26" s="96">
        <f>IF(Trips!G25&gt;0,Trips!G25," ")</f>
        <v>9.5302699588514628</v>
      </c>
      <c r="C26" s="96">
        <f>IF(Trips!H25&gt;0,Trips!H25," ")</f>
        <v>2.554164181520203</v>
      </c>
      <c r="D26" s="96">
        <f>IF(Trips!I25&gt;0,Trips!I25," ")</f>
        <v>1.2402499999999999</v>
      </c>
      <c r="E26" s="96">
        <f>IF(Trips!J25&gt;0,Trips!J25," ")</f>
        <v>1.0108482905982903</v>
      </c>
      <c r="F26" s="96">
        <f>IF(Trips!K25&gt;0,Trips!K25," ")</f>
        <v>14.335532430969955</v>
      </c>
      <c r="G26" s="528">
        <f>IF(Machine!B35&gt;0,Machine!B35," ")</f>
        <v>1</v>
      </c>
      <c r="H26" s="97">
        <f>IF(Machine!B35&gt;0,Machine!D35," ")</f>
        <v>36</v>
      </c>
    </row>
    <row r="27" spans="1:8" ht="13.9" x14ac:dyDescent="0.4">
      <c r="A27" s="91" t="str">
        <f>Machine!A36</f>
        <v>Planter Twin Row</v>
      </c>
      <c r="B27" s="96" t="str">
        <f>IF(Trips!G26&gt;0,Trips!G26," ")</f>
        <v xml:space="preserve"> </v>
      </c>
      <c r="C27" s="96" t="str">
        <f>IF(Trips!H26&gt;0,Trips!H26," ")</f>
        <v xml:space="preserve"> </v>
      </c>
      <c r="D27" s="96" t="str">
        <f>IF(Trips!I26&gt;0,Trips!I26," ")</f>
        <v xml:space="preserve"> </v>
      </c>
      <c r="E27" s="96" t="str">
        <f>IF(Trips!J26&gt;0,Trips!J26," ")</f>
        <v xml:space="preserve"> </v>
      </c>
      <c r="F27" s="96" t="str">
        <f>IF(Trips!K26&gt;0,Trips!K26," ")</f>
        <v xml:space="preserve"> </v>
      </c>
      <c r="G27" s="528" t="str">
        <f>IF(Machine!B36&gt;0,Machine!B36," ")</f>
        <v xml:space="preserve"> </v>
      </c>
      <c r="H27" s="97" t="str">
        <f>IF(Machine!B36&gt;0,Machine!D36," ")</f>
        <v xml:space="preserve"> </v>
      </c>
    </row>
    <row r="28" spans="1:8" ht="13.9" x14ac:dyDescent="0.4">
      <c r="A28" s="91" t="str">
        <f>Machine!A37</f>
        <v>Plant Grain Drill</v>
      </c>
      <c r="B28" s="96" t="str">
        <f>IF(Trips!G27&gt;0,Trips!G27," ")</f>
        <v xml:space="preserve"> </v>
      </c>
      <c r="C28" s="96" t="str">
        <f>IF(Trips!H27&gt;0,Trips!H27," ")</f>
        <v xml:space="preserve"> </v>
      </c>
      <c r="D28" s="96" t="str">
        <f>IF(Trips!I27&gt;0,Trips!I27," ")</f>
        <v xml:space="preserve"> </v>
      </c>
      <c r="E28" s="96" t="str">
        <f>IF(Trips!J27&gt;0,Trips!J27," ")</f>
        <v xml:space="preserve"> </v>
      </c>
      <c r="F28" s="96" t="str">
        <f>IF(Trips!K27&gt;0,Trips!K27," ")</f>
        <v xml:space="preserve"> </v>
      </c>
      <c r="G28" s="528" t="str">
        <f>IF(Machine!B37&gt;0,Machine!B37," ")</f>
        <v xml:space="preserve"> </v>
      </c>
      <c r="H28" s="97" t="str">
        <f>IF(Machine!B37&gt;0,Machine!D37," ")</f>
        <v xml:space="preserve"> </v>
      </c>
    </row>
    <row r="29" spans="1:8" ht="13.9" x14ac:dyDescent="0.4">
      <c r="A29" s="91" t="str">
        <f>Machine!A38</f>
        <v>Plant No-Till Air Drill</v>
      </c>
      <c r="B29" s="96" t="str">
        <f>IF(Trips!G28&gt;0,Trips!G28," ")</f>
        <v xml:space="preserve"> </v>
      </c>
      <c r="C29" s="96" t="str">
        <f>IF(Trips!H28&gt;0,Trips!H28," ")</f>
        <v xml:space="preserve"> </v>
      </c>
      <c r="D29" s="96" t="str">
        <f>IF(Trips!I28&gt;0,Trips!I28," ")</f>
        <v xml:space="preserve"> </v>
      </c>
      <c r="E29" s="96" t="str">
        <f>IF(Trips!J28&gt;0,Trips!J28," ")</f>
        <v xml:space="preserve"> </v>
      </c>
      <c r="F29" s="96" t="str">
        <f>IF(Trips!K28&gt;0,Trips!K28," ")</f>
        <v xml:space="preserve"> </v>
      </c>
      <c r="G29" s="528" t="str">
        <f>IF(Machine!B38&gt;0,Machine!B38," ")</f>
        <v xml:space="preserve"> </v>
      </c>
      <c r="H29" s="97" t="str">
        <f>IF(Machine!B38&gt;0,Machine!D38," ")</f>
        <v xml:space="preserve"> </v>
      </c>
    </row>
    <row r="30" spans="1:8" ht="13.9" x14ac:dyDescent="0.4">
      <c r="A30" s="91" t="str">
        <f>Machine!A39</f>
        <v>Liquid Fertilizer Applicator</v>
      </c>
      <c r="B30" s="96" t="str">
        <f>IF(Trips!G29&gt;0,Trips!G29," ")</f>
        <v xml:space="preserve"> </v>
      </c>
      <c r="C30" s="96" t="str">
        <f>IF(Trips!H29&gt;0,Trips!H29," ")</f>
        <v xml:space="preserve"> </v>
      </c>
      <c r="D30" s="96" t="str">
        <f>IF(Trips!I29&gt;0,Trips!I29," ")</f>
        <v xml:space="preserve"> </v>
      </c>
      <c r="E30" s="96" t="str">
        <f>IF(Trips!J29&gt;0,Trips!J29," ")</f>
        <v xml:space="preserve"> </v>
      </c>
      <c r="F30" s="96" t="str">
        <f>IF(Trips!K29&gt;0,Trips!K29," ")</f>
        <v xml:space="preserve"> </v>
      </c>
      <c r="G30" s="528" t="str">
        <f>IF(Machine!B39&gt;0,Machine!B39," ")</f>
        <v xml:space="preserve"> </v>
      </c>
      <c r="H30" s="97" t="str">
        <f>IF(Machine!B39&gt;0,Machine!D39," ")</f>
        <v xml:space="preserve"> </v>
      </c>
    </row>
    <row r="31" spans="1:8" ht="13.9" x14ac:dyDescent="0.4">
      <c r="A31" s="91" t="str">
        <f>Machine!A40</f>
        <v>Fertilizer, Knife Rig 12 Row</v>
      </c>
      <c r="B31" s="96" t="str">
        <f>IF(Trips!G30&gt;0,Trips!G30," ")</f>
        <v xml:space="preserve"> </v>
      </c>
      <c r="C31" s="96" t="str">
        <f>IF(Trips!H30&gt;0,Trips!H30," ")</f>
        <v xml:space="preserve"> </v>
      </c>
      <c r="D31" s="96" t="str">
        <f>IF(Trips!I30&gt;0,Trips!I30," ")</f>
        <v xml:space="preserve"> </v>
      </c>
      <c r="E31" s="96" t="str">
        <f>IF(Trips!J30&gt;0,Trips!J30," ")</f>
        <v xml:space="preserve"> </v>
      </c>
      <c r="F31" s="96" t="str">
        <f>IF(Trips!K30&gt;0,Trips!K30," ")</f>
        <v xml:space="preserve"> </v>
      </c>
      <c r="G31" s="528" t="str">
        <f>IF(Machine!B40&gt;0,Machine!B40," ")</f>
        <v xml:space="preserve"> </v>
      </c>
      <c r="H31" s="97" t="str">
        <f>IF(Machine!B40&gt;0,Machine!D40," ")</f>
        <v xml:space="preserve"> </v>
      </c>
    </row>
    <row r="32" spans="1:8" ht="13.9" x14ac:dyDescent="0.4">
      <c r="A32" s="91" t="str">
        <f>Machine!A41</f>
        <v>Polypipe; Roll Out, Punch, Take Up</v>
      </c>
      <c r="B32" s="96">
        <f>IF(Trips!G31&gt;0,Trips!G31," ")</f>
        <v>4.7865266981306949</v>
      </c>
      <c r="C32" s="96">
        <f>IF(Trips!H31&gt;0,Trips!H31," ")</f>
        <v>0.2409194160502762</v>
      </c>
      <c r="D32" s="96">
        <f>IF(Trips!I31&gt;0,Trips!I31," ")</f>
        <v>0.94578731745646449</v>
      </c>
      <c r="E32" s="96">
        <f>IF(Trips!J31&gt;0,Trips!J31," ")</f>
        <v>2.3102735119725284</v>
      </c>
      <c r="F32" s="96">
        <f>IF(Trips!K31&gt;0,Trips!K31," ")</f>
        <v>8.2835069436099644</v>
      </c>
      <c r="G32" s="528">
        <f>IF(Machine!B41&gt;0,Machine!B41," ")</f>
        <v>1</v>
      </c>
      <c r="H32" s="118" t="s">
        <v>219</v>
      </c>
    </row>
    <row r="33" spans="1:8" ht="13.9" x14ac:dyDescent="0.4">
      <c r="A33" s="91" t="str">
        <f>Machine!A42</f>
        <v>Hooded Sprayer</v>
      </c>
      <c r="B33" s="96" t="str">
        <f>IF(Trips!G32&gt;0,Trips!G32," ")</f>
        <v xml:space="preserve"> </v>
      </c>
      <c r="C33" s="96" t="str">
        <f>IF(Trips!H32&gt;0,Trips!H32," ")</f>
        <v xml:space="preserve"> </v>
      </c>
      <c r="D33" s="96" t="str">
        <f>IF(Trips!I32&gt;0,Trips!I32," ")</f>
        <v xml:space="preserve"> </v>
      </c>
      <c r="E33" s="96" t="str">
        <f>IF(Trips!J32&gt;0,Trips!J32," ")</f>
        <v xml:space="preserve"> </v>
      </c>
      <c r="F33" s="96" t="str">
        <f>IF(Trips!K32&gt;0,Trips!K32," ")</f>
        <v xml:space="preserve"> </v>
      </c>
      <c r="G33" s="528" t="str">
        <f>IF(Machine!B42&gt;0,Machine!B42," ")</f>
        <v xml:space="preserve"> </v>
      </c>
      <c r="H33" s="97" t="str">
        <f>IF(Machine!B42&gt;0,Machine!D42," ")</f>
        <v xml:space="preserve"> </v>
      </c>
    </row>
    <row r="34" spans="1:8" ht="13.9" x14ac:dyDescent="0.4">
      <c r="A34" s="91" t="str">
        <f>Machine!A43</f>
        <v>Levee Pull</v>
      </c>
      <c r="B34" s="96" t="str">
        <f>IF(Trips!G33&gt;0,Trips!G33," ")</f>
        <v xml:space="preserve"> </v>
      </c>
      <c r="C34" s="96" t="str">
        <f>IF(Trips!H33&gt;0,Trips!H33," ")</f>
        <v xml:space="preserve"> </v>
      </c>
      <c r="D34" s="96" t="str">
        <f>IF(Trips!I33&gt;0,Trips!I33," ")</f>
        <v xml:space="preserve"> </v>
      </c>
      <c r="E34" s="96" t="str">
        <f>IF(Trips!J33&gt;0,Trips!J33," ")</f>
        <v xml:space="preserve"> </v>
      </c>
      <c r="F34" s="96" t="str">
        <f>IF(Trips!K33&gt;0,Trips!K33," ")</f>
        <v xml:space="preserve"> </v>
      </c>
      <c r="G34" s="528" t="str">
        <f>IF(Machine!B43&gt;0,Machine!B43," ")</f>
        <v xml:space="preserve"> </v>
      </c>
      <c r="H34" s="118" t="s">
        <v>219</v>
      </c>
    </row>
    <row r="35" spans="1:8" ht="13.9" x14ac:dyDescent="0.4">
      <c r="A35" s="91" t="str">
        <f>Machine!A44</f>
        <v>Levee Pull, Planter/Incorporate</v>
      </c>
      <c r="B35" s="96" t="str">
        <f>IF(Trips!G34&gt;0,Trips!G34," ")</f>
        <v xml:space="preserve"> </v>
      </c>
      <c r="C35" s="96" t="str">
        <f>IF(Trips!H34&gt;0,Trips!H34," ")</f>
        <v xml:space="preserve"> </v>
      </c>
      <c r="D35" s="96" t="str">
        <f>IF(Trips!I34&gt;0,Trips!I34," ")</f>
        <v xml:space="preserve"> </v>
      </c>
      <c r="E35" s="96" t="str">
        <f>IF(Trips!J34&gt;0,Trips!J34," ")</f>
        <v xml:space="preserve"> </v>
      </c>
      <c r="F35" s="96" t="str">
        <f>IF(Trips!K34&gt;0,Trips!K34," ")</f>
        <v xml:space="preserve"> </v>
      </c>
      <c r="G35" s="528" t="str">
        <f>IF(Machine!B44&gt;0,Machine!B44," ")</f>
        <v xml:space="preserve"> </v>
      </c>
      <c r="H35" s="118" t="s">
        <v>219</v>
      </c>
    </row>
    <row r="36" spans="1:8" ht="13.9" x14ac:dyDescent="0.4">
      <c r="A36" s="91" t="str">
        <f>Machine!A45</f>
        <v>Levee Roller-Packer-Shaper</v>
      </c>
      <c r="B36" s="96" t="str">
        <f>IF(Trips!G35&gt;0,Trips!G35," ")</f>
        <v xml:space="preserve"> </v>
      </c>
      <c r="C36" s="96" t="str">
        <f>IF(Trips!H35&gt;0,Trips!H35," ")</f>
        <v xml:space="preserve"> </v>
      </c>
      <c r="D36" s="96" t="str">
        <f>IF(Trips!I35&gt;0,Trips!I35," ")</f>
        <v xml:space="preserve"> </v>
      </c>
      <c r="E36" s="96" t="str">
        <f>IF(Trips!J35&gt;0,Trips!J35," ")</f>
        <v xml:space="preserve"> </v>
      </c>
      <c r="F36" s="96" t="str">
        <f>IF(Trips!K35&gt;0,Trips!K35," ")</f>
        <v xml:space="preserve"> </v>
      </c>
      <c r="G36" s="528" t="str">
        <f>IF(Machine!B45&gt;0,Machine!B45," ")</f>
        <v xml:space="preserve"> </v>
      </c>
      <c r="H36" s="118" t="s">
        <v>219</v>
      </c>
    </row>
    <row r="37" spans="1:8" ht="13.9" x14ac:dyDescent="0.4">
      <c r="A37" s="91" t="str">
        <f>Machine!A46</f>
        <v>Install Gates &amp; Remove</v>
      </c>
      <c r="B37" s="96">
        <f>IF(Trips!G36&gt;0,Trips!B36," ")</f>
        <v>0</v>
      </c>
      <c r="C37" s="96">
        <f>IF(Trips!H36&gt;0,Trips!C36," ")</f>
        <v>0</v>
      </c>
      <c r="D37" s="96">
        <f>IF(Trips!I36&gt;0,Trips!D36," ")</f>
        <v>0</v>
      </c>
      <c r="E37" s="96">
        <f>IF(Trips!J36&gt;0,Trips!E36," ")</f>
        <v>0</v>
      </c>
      <c r="F37" s="96">
        <f>IF(Trips!K36&gt;0,Trips!F36," ")</f>
        <v>0</v>
      </c>
      <c r="G37" s="121" t="str">
        <f>IF(Machine!B46&gt;0,"All"," ")</f>
        <v xml:space="preserve"> </v>
      </c>
      <c r="H37" s="118" t="s">
        <v>219</v>
      </c>
    </row>
    <row r="38" spans="1:8" ht="13.9" x14ac:dyDescent="0.4">
      <c r="A38" s="91" t="str">
        <f>Machine!A47</f>
        <v>Take Down Levees</v>
      </c>
      <c r="B38" s="96">
        <f>IF(Trips!G37&gt;0,Trips!B37," ")</f>
        <v>0</v>
      </c>
      <c r="C38" s="96">
        <f>IF(Trips!H37&gt;0,Trips!C37," ")</f>
        <v>0</v>
      </c>
      <c r="D38" s="96">
        <f>IF(Trips!I37&gt;0,Trips!D37," ")</f>
        <v>0</v>
      </c>
      <c r="E38" s="96">
        <f>IF(Trips!J37&gt;0,Trips!E37," ")</f>
        <v>0</v>
      </c>
      <c r="F38" s="96">
        <f>IF(Trips!K37&gt;0,Trips!F37," ")</f>
        <v>0</v>
      </c>
      <c r="G38" s="121" t="str">
        <f>IF(Machine!B47&gt;0,"All"," ")</f>
        <v xml:space="preserve"> </v>
      </c>
      <c r="H38" s="118" t="s">
        <v>219</v>
      </c>
    </row>
    <row r="39" spans="1:8" ht="13.9" x14ac:dyDescent="0.4">
      <c r="A39" s="91" t="str">
        <f>Machine!A48</f>
        <v>Peanut Digger/Inverter</v>
      </c>
      <c r="B39" s="96" t="str">
        <f>IF(Trips!G38&gt;0,Trips!G38," ")</f>
        <v xml:space="preserve"> </v>
      </c>
      <c r="C39" s="96" t="str">
        <f>IF(Trips!H38&gt;0,Trips!H38," ")</f>
        <v xml:space="preserve"> </v>
      </c>
      <c r="D39" s="96" t="str">
        <f>IF(Trips!I38&gt;0,Trips!I38," ")</f>
        <v xml:space="preserve"> </v>
      </c>
      <c r="E39" s="96" t="str">
        <f>IF(Trips!J38&gt;0,Trips!J38," ")</f>
        <v xml:space="preserve"> </v>
      </c>
      <c r="F39" s="96" t="str">
        <f>IF(Trips!K38&gt;0,Trips!K38," ")</f>
        <v xml:space="preserve"> </v>
      </c>
      <c r="G39" s="528" t="str">
        <f>IF(Machine!B48&gt;0,Machine!B48," ")</f>
        <v xml:space="preserve"> </v>
      </c>
      <c r="H39" s="97" t="str">
        <f>IF(Machine!B48&gt;0,Machine!D48," ")</f>
        <v xml:space="preserve"> </v>
      </c>
    </row>
    <row r="40" spans="1:8" ht="13.9" x14ac:dyDescent="0.4">
      <c r="A40" s="91" t="str">
        <f>Machine!A49</f>
        <v>Peanut Conditioner</v>
      </c>
      <c r="B40" s="96" t="str">
        <f>IF(Trips!G39&gt;0,Trips!G39," ")</f>
        <v xml:space="preserve"> </v>
      </c>
      <c r="C40" s="96" t="str">
        <f>IF(Trips!H39&gt;0,Trips!H39," ")</f>
        <v xml:space="preserve"> </v>
      </c>
      <c r="D40" s="96" t="str">
        <f>IF(Trips!I39&gt;0,Trips!I39," ")</f>
        <v xml:space="preserve"> </v>
      </c>
      <c r="E40" s="96" t="str">
        <f>IF(Trips!J39&gt;0,Trips!J39," ")</f>
        <v xml:space="preserve"> </v>
      </c>
      <c r="F40" s="96" t="str">
        <f>IF(Trips!K39&gt;0,Trips!K39," ")</f>
        <v xml:space="preserve"> </v>
      </c>
      <c r="G40" s="528" t="str">
        <f>IF(Machine!B49&gt;0,Machine!B49," ")</f>
        <v xml:space="preserve"> </v>
      </c>
      <c r="H40" s="97" t="str">
        <f>IF(Machine!B49&gt;0,Machine!D49," ")</f>
        <v xml:space="preserve"> </v>
      </c>
    </row>
    <row r="41" spans="1:8" ht="13.9" x14ac:dyDescent="0.4">
      <c r="A41" s="91" t="str">
        <f>Machine!A50</f>
        <v>Peanut Conditiner &amp; Lifter</v>
      </c>
      <c r="B41" s="96" t="str">
        <f>IF(Trips!G40&gt;0,Trips!G40," ")</f>
        <v xml:space="preserve"> </v>
      </c>
      <c r="C41" s="96" t="str">
        <f>IF(Trips!H40&gt;0,Trips!H40," ")</f>
        <v xml:space="preserve"> </v>
      </c>
      <c r="D41" s="96" t="str">
        <f>IF(Trips!I40&gt;0,Trips!I40," ")</f>
        <v xml:space="preserve"> </v>
      </c>
      <c r="E41" s="96" t="str">
        <f>IF(Trips!J40&gt;0,Trips!J40," ")</f>
        <v xml:space="preserve"> </v>
      </c>
      <c r="F41" s="96" t="str">
        <f>IF(Trips!K40&gt;0,Trips!K40," ")</f>
        <v xml:space="preserve"> </v>
      </c>
      <c r="G41" s="528" t="str">
        <f>IF(Machine!B50&gt;0,Machine!B50," ")</f>
        <v xml:space="preserve"> </v>
      </c>
      <c r="H41" s="97" t="str">
        <f>IF(Machine!B50&gt;0,Machine!D50," ")</f>
        <v xml:space="preserve"> </v>
      </c>
    </row>
    <row r="42" spans="1:8" ht="13.9" x14ac:dyDescent="0.4">
      <c r="A42" s="91" t="str">
        <f>Machine!A51</f>
        <v>Mower, Stalk Shredder</v>
      </c>
      <c r="B42" s="96" t="str">
        <f>IF(Trips!G41&gt;0,Trips!G41," ")</f>
        <v xml:space="preserve"> </v>
      </c>
      <c r="C42" s="96" t="str">
        <f>IF(Trips!H41&gt;0,Trips!H41," ")</f>
        <v xml:space="preserve"> </v>
      </c>
      <c r="D42" s="96" t="str">
        <f>IF(Trips!I41&gt;0,Trips!I41," ")</f>
        <v xml:space="preserve"> </v>
      </c>
      <c r="E42" s="96" t="str">
        <f>IF(Trips!J41&gt;0,Trips!J41," ")</f>
        <v xml:space="preserve"> </v>
      </c>
      <c r="F42" s="96" t="str">
        <f>IF(Trips!K41&gt;0,Trips!K41," ")</f>
        <v xml:space="preserve"> </v>
      </c>
      <c r="G42" s="528" t="str">
        <f>IF(Machine!B51&gt;0,Machine!B51," ")</f>
        <v xml:space="preserve"> </v>
      </c>
      <c r="H42" s="97" t="str">
        <f>IF(Machine!B51&gt;0,Machine!D51," ")</f>
        <v xml:space="preserve"> </v>
      </c>
    </row>
    <row r="43" spans="1:8" ht="13.9" x14ac:dyDescent="0.4">
      <c r="A43" s="91" t="str">
        <f>Machine!A52</f>
        <v>Stubble Roller</v>
      </c>
      <c r="B43" s="96" t="str">
        <f>IF(Trips!G42&gt;0,Trips!G42," ")</f>
        <v xml:space="preserve"> </v>
      </c>
      <c r="C43" s="96" t="str">
        <f>IF(Trips!H42&gt;0,Trips!H42," ")</f>
        <v xml:space="preserve"> </v>
      </c>
      <c r="D43" s="96" t="str">
        <f>IF(Trips!I42&gt;0,Trips!I42," ")</f>
        <v xml:space="preserve"> </v>
      </c>
      <c r="E43" s="96" t="str">
        <f>IF(Trips!J42&gt;0,Trips!J42," ")</f>
        <v xml:space="preserve"> </v>
      </c>
      <c r="F43" s="96" t="str">
        <f>IF(Trips!K42&gt;0,Trips!K42," ")</f>
        <v xml:space="preserve"> </v>
      </c>
      <c r="G43" s="528" t="str">
        <f>IF(Machine!B52&gt;0,Machine!B52," ")</f>
        <v xml:space="preserve"> </v>
      </c>
      <c r="H43" s="97" t="str">
        <f>IF(Machine!B52&gt;0,Machine!D52," ")</f>
        <v xml:space="preserve"> </v>
      </c>
    </row>
    <row r="44" spans="1:8" ht="13.9" x14ac:dyDescent="0.4">
      <c r="A44" s="91" t="str">
        <f>Machine!A53</f>
        <v>Other Equipment</v>
      </c>
      <c r="B44" s="96" t="str">
        <f>IF(Trips!G43&gt;0,Trips!G43," ")</f>
        <v xml:space="preserve"> </v>
      </c>
      <c r="C44" s="96" t="str">
        <f>IF(Trips!H43&gt;0,Trips!H43," ")</f>
        <v xml:space="preserve"> </v>
      </c>
      <c r="D44" s="96" t="str">
        <f>IF(Trips!I43&gt;0,Trips!I43," ")</f>
        <v xml:space="preserve"> </v>
      </c>
      <c r="E44" s="96" t="str">
        <f>IF(Trips!J43&gt;0,Trips!J43," ")</f>
        <v xml:space="preserve"> </v>
      </c>
      <c r="F44" s="96" t="str">
        <f>IF(Trips!K43&gt;0,Trips!K43," ")</f>
        <v xml:space="preserve"> </v>
      </c>
      <c r="G44" s="528" t="str">
        <f>IF(Machine!B53&gt;0,Machine!B53," ")</f>
        <v xml:space="preserve"> </v>
      </c>
      <c r="H44" s="97" t="str">
        <f>IF(Machine!B53&gt;0,Machine!D53," ")</f>
        <v xml:space="preserve"> </v>
      </c>
    </row>
    <row r="45" spans="1:8" ht="13.9" x14ac:dyDescent="0.4">
      <c r="A45" s="91" t="str">
        <f>Machine!A54</f>
        <v>Other Equipment</v>
      </c>
      <c r="B45" s="96" t="str">
        <f>IF(Trips!G44&gt;0,Trips!G44," ")</f>
        <v xml:space="preserve"> </v>
      </c>
      <c r="C45" s="96" t="str">
        <f>IF(Trips!H44&gt;0,Trips!H44," ")</f>
        <v xml:space="preserve"> </v>
      </c>
      <c r="D45" s="96" t="str">
        <f>IF(Trips!I44&gt;0,Trips!I44," ")</f>
        <v xml:space="preserve"> </v>
      </c>
      <c r="E45" s="96" t="str">
        <f>IF(Trips!J44&gt;0,Trips!J44," ")</f>
        <v xml:space="preserve"> </v>
      </c>
      <c r="F45" s="96" t="str">
        <f>IF(Trips!K44&gt;0,Trips!K44," ")</f>
        <v xml:space="preserve"> </v>
      </c>
      <c r="G45" s="528" t="str">
        <f>IF(Machine!B54&gt;0,Machine!B54," ")</f>
        <v xml:space="preserve"> </v>
      </c>
      <c r="H45" s="97" t="str">
        <f>IF(Machine!B54&gt;0,Machine!D54," ")</f>
        <v xml:space="preserve"> </v>
      </c>
    </row>
    <row r="46" spans="1:8" ht="13.9" x14ac:dyDescent="0.4">
      <c r="A46" s="91"/>
      <c r="B46" s="96"/>
      <c r="C46" s="96"/>
      <c r="D46" s="96"/>
      <c r="E46" s="96"/>
      <c r="F46" s="96"/>
      <c r="G46" s="528"/>
      <c r="H46" s="119"/>
    </row>
    <row r="47" spans="1:8" ht="13.9" x14ac:dyDescent="0.4">
      <c r="A47" s="91"/>
      <c r="B47" s="96" t="str">
        <f>IF(Trips!G46&gt;0,Trips!G46," ")</f>
        <v xml:space="preserve"> </v>
      </c>
      <c r="C47" s="96" t="str">
        <f>IF(Trips!H46&gt;0,Trips!H46," ")</f>
        <v xml:space="preserve"> </v>
      </c>
      <c r="D47" s="96" t="str">
        <f>IF(Trips!I46&gt;0,Trips!I46," ")</f>
        <v xml:space="preserve"> </v>
      </c>
      <c r="E47" s="96" t="str">
        <f>IF(Trips!J46&gt;0,Trips!J46," ")</f>
        <v xml:space="preserve"> </v>
      </c>
      <c r="F47" s="96" t="str">
        <f>IF(Trips!K46&gt;0,Trips!K46," ")</f>
        <v xml:space="preserve"> </v>
      </c>
      <c r="G47" s="528"/>
      <c r="H47" s="119"/>
    </row>
    <row r="48" spans="1:8" ht="13.9" x14ac:dyDescent="0.4">
      <c r="A48" s="94" t="s">
        <v>254</v>
      </c>
      <c r="B48" s="96" t="str">
        <f>IF(Trips!G47&gt;0,Trips!G47," ")</f>
        <v xml:space="preserve"> </v>
      </c>
      <c r="C48" s="96" t="str">
        <f>IF(Trips!H47&gt;0,Trips!H47," ")</f>
        <v xml:space="preserve"> </v>
      </c>
      <c r="D48" s="96" t="str">
        <f>IF(Trips!I47&gt;0,Trips!I47," ")</f>
        <v xml:space="preserve"> </v>
      </c>
      <c r="E48" s="96" t="str">
        <f>IF(Trips!J47&gt;0,Trips!J47," ")</f>
        <v xml:space="preserve"> </v>
      </c>
      <c r="F48" s="96" t="str">
        <f>IF(Trips!K47&gt;0,Trips!K47," ")</f>
        <v xml:space="preserve"> </v>
      </c>
      <c r="G48" s="528"/>
      <c r="H48" s="119"/>
    </row>
    <row r="49" spans="1:8" ht="13.9" x14ac:dyDescent="0.4">
      <c r="A49" s="91" t="str">
        <f>Machine!A58</f>
        <v>Self-Propelled Sprayer</v>
      </c>
      <c r="B49" s="96" t="str">
        <f>IF(Trips!G48&gt;0,Trips!G48," ")</f>
        <v xml:space="preserve"> </v>
      </c>
      <c r="C49" s="96" t="str">
        <f>IF(Trips!H48&gt;0,Trips!H48," ")</f>
        <v xml:space="preserve"> </v>
      </c>
      <c r="D49" s="96" t="str">
        <f>IF(Trips!I48&gt;0,Trips!I48," ")</f>
        <v xml:space="preserve"> </v>
      </c>
      <c r="E49" s="96" t="str">
        <f>IF(Trips!J48&gt;0,Trips!J48," ")</f>
        <v xml:space="preserve"> </v>
      </c>
      <c r="F49" s="96" t="str">
        <f>IF(Trips!K48&gt;0,Trips!K48," ")</f>
        <v xml:space="preserve"> </v>
      </c>
      <c r="G49" s="528" t="str">
        <f>IF(Machine!B58&gt;0,Machine!B58," ")</f>
        <v xml:space="preserve"> </v>
      </c>
      <c r="H49" s="97" t="str">
        <f>IF(Machine!B58&gt;0,Machine!D58," ")</f>
        <v xml:space="preserve"> </v>
      </c>
    </row>
    <row r="50" spans="1:8" ht="13.9" x14ac:dyDescent="0.4">
      <c r="A50" s="91" t="str">
        <f>Machine!A59</f>
        <v>ATV with  Spot, Levee Sprayer</v>
      </c>
      <c r="B50" s="96" t="str">
        <f>IF(Trips!G49&gt;0,Trips!G49," ")</f>
        <v xml:space="preserve"> </v>
      </c>
      <c r="C50" s="96" t="str">
        <f>IF(Trips!H49&gt;0,Trips!H49," ")</f>
        <v xml:space="preserve"> </v>
      </c>
      <c r="D50" s="96" t="str">
        <f>IF(Trips!I49&gt;0,Trips!I49," ")</f>
        <v xml:space="preserve"> </v>
      </c>
      <c r="E50" s="96" t="str">
        <f>IF(Trips!J49&gt;0,Trips!J49," ")</f>
        <v xml:space="preserve"> </v>
      </c>
      <c r="F50" s="96" t="str">
        <f>IF(Trips!K49&gt;0,Trips!K49," ")</f>
        <v xml:space="preserve"> </v>
      </c>
      <c r="G50" s="528" t="str">
        <f>IF(Machine!B59&gt;0,Machine!B59," ")</f>
        <v xml:space="preserve"> </v>
      </c>
      <c r="H50" s="118" t="s">
        <v>219</v>
      </c>
    </row>
    <row r="51" spans="1:8" ht="13.9" x14ac:dyDescent="0.4">
      <c r="A51" s="91" t="str">
        <f>Machine!A60</f>
        <v>Dry Box Spreader</v>
      </c>
      <c r="B51" s="96" t="str">
        <f>IF(Trips!G50&gt;0,Trips!G50," ")</f>
        <v xml:space="preserve"> </v>
      </c>
      <c r="C51" s="96" t="str">
        <f>IF(Trips!H50&gt;0,Trips!H50," ")</f>
        <v xml:space="preserve"> </v>
      </c>
      <c r="D51" s="96" t="str">
        <f>IF(Trips!I50&gt;0,Trips!I50," ")</f>
        <v xml:space="preserve"> </v>
      </c>
      <c r="E51" s="96" t="str">
        <f>IF(Trips!J50&gt;0,Trips!J50," ")</f>
        <v xml:space="preserve"> </v>
      </c>
      <c r="F51" s="96" t="str">
        <f>IF(Trips!K50&gt;0,Trips!K50," ")</f>
        <v xml:space="preserve"> </v>
      </c>
      <c r="G51" s="528" t="str">
        <f>IF(Machine!B60&gt;0,Machine!B60," ")</f>
        <v xml:space="preserve"> </v>
      </c>
      <c r="H51" s="97" t="str">
        <f>IF(Machine!B60&gt;0,Machine!D60," ")</f>
        <v xml:space="preserve"> </v>
      </c>
    </row>
    <row r="52" spans="1:8" ht="13.9" x14ac:dyDescent="0.4">
      <c r="A52" s="91"/>
      <c r="B52" s="96"/>
      <c r="C52" s="96"/>
      <c r="D52" s="96"/>
      <c r="E52" s="96"/>
      <c r="F52" s="96"/>
      <c r="G52" s="528"/>
      <c r="H52" s="119"/>
    </row>
    <row r="53" spans="1:8" ht="13.9" x14ac:dyDescent="0.4">
      <c r="A53" s="91"/>
      <c r="B53" s="96" t="str">
        <f>IF(Trips!G52&gt;0,Trips!G52," ")</f>
        <v xml:space="preserve"> </v>
      </c>
      <c r="C53" s="96" t="str">
        <f>IF(Trips!H52&gt;0,Trips!H52," ")</f>
        <v xml:space="preserve"> </v>
      </c>
      <c r="D53" s="96" t="str">
        <f>IF(Trips!I52&gt;0,Trips!I52," ")</f>
        <v xml:space="preserve"> </v>
      </c>
      <c r="E53" s="96" t="str">
        <f>IF(Trips!J52&gt;0,Trips!J52," ")</f>
        <v xml:space="preserve"> </v>
      </c>
      <c r="F53" s="96" t="str">
        <f>IF(Trips!K52&gt;0,Trips!K52," ")</f>
        <v xml:space="preserve"> </v>
      </c>
      <c r="G53" s="528"/>
      <c r="H53" s="119"/>
    </row>
    <row r="54" spans="1:8" ht="13.9" x14ac:dyDescent="0.4">
      <c r="A54" s="94" t="s">
        <v>240</v>
      </c>
      <c r="B54" s="96" t="str">
        <f>IF(Trips!G53&gt;0,Trips!G53," ")</f>
        <v xml:space="preserve"> </v>
      </c>
      <c r="C54" s="96" t="str">
        <f>IF(Trips!H53&gt;0,Trips!H53," ")</f>
        <v xml:space="preserve"> </v>
      </c>
      <c r="D54" s="96" t="str">
        <f>IF(Trips!I53&gt;0,Trips!I53," ")</f>
        <v xml:space="preserve"> </v>
      </c>
      <c r="E54" s="96" t="str">
        <f>IF(Trips!J53&gt;0,Trips!J53," ")</f>
        <v xml:space="preserve"> </v>
      </c>
      <c r="F54" s="96" t="str">
        <f>IF(Trips!K53&gt;0,Trips!K53," ")</f>
        <v xml:space="preserve"> </v>
      </c>
      <c r="G54" s="528"/>
      <c r="H54" s="119"/>
    </row>
    <row r="55" spans="1:8" ht="13.9" x14ac:dyDescent="0.4">
      <c r="A55" s="91" t="str">
        <f>Machine!A64</f>
        <v>Cotton Picker</v>
      </c>
      <c r="B55" s="96" t="str">
        <f>IF(Trips!G54&gt;0,Trips!G54," ")</f>
        <v xml:space="preserve"> </v>
      </c>
      <c r="C55" s="96" t="str">
        <f>IF(Trips!H54&gt;0,Trips!H54," ")</f>
        <v xml:space="preserve"> </v>
      </c>
      <c r="D55" s="96" t="str">
        <f>IF(Trips!I54&gt;0,Trips!I54," ")</f>
        <v xml:space="preserve"> </v>
      </c>
      <c r="E55" s="96" t="str">
        <f>IF(Trips!J54&gt;0,Trips!J54," ")</f>
        <v xml:space="preserve"> </v>
      </c>
      <c r="F55" s="96" t="str">
        <f>IF(Trips!K54&gt;0,Trips!K54," ")</f>
        <v xml:space="preserve"> </v>
      </c>
      <c r="G55" s="528" t="str">
        <f>IF(Machine!B64&gt;0,Machine!B64," ")</f>
        <v xml:space="preserve"> </v>
      </c>
      <c r="H55" s="97" t="str">
        <f>IF(Machine!B64&gt;0,Machine!D64," ")</f>
        <v xml:space="preserve"> </v>
      </c>
    </row>
    <row r="56" spans="1:8" ht="13.9" x14ac:dyDescent="0.4">
      <c r="A56" s="91" t="str">
        <f>Machine!A65</f>
        <v>Boll Buggy with Tractor</v>
      </c>
      <c r="B56" s="96" t="str">
        <f>IF(Trips!G55&gt;0,Trips!G55," ")</f>
        <v xml:space="preserve"> </v>
      </c>
      <c r="C56" s="96" t="str">
        <f>IF(Trips!H55&gt;0,Trips!H55," ")</f>
        <v xml:space="preserve"> </v>
      </c>
      <c r="D56" s="96" t="str">
        <f>IF(Trips!I55&gt;0,Trips!I55," ")</f>
        <v xml:space="preserve"> </v>
      </c>
      <c r="E56" s="96" t="str">
        <f>IF(Trips!J55&gt;0,Trips!J55," ")</f>
        <v xml:space="preserve"> </v>
      </c>
      <c r="F56" s="96" t="str">
        <f>IF(Trips!K55&gt;0,Trips!K55," ")</f>
        <v xml:space="preserve"> </v>
      </c>
      <c r="G56" s="528" t="str">
        <f>IF(Machine!B65&gt;0,Machine!B65," ")</f>
        <v xml:space="preserve"> </v>
      </c>
      <c r="H56" s="97" t="str">
        <f>IF(Machine!B65&gt;0,Machine!D65," ")</f>
        <v xml:space="preserve"> </v>
      </c>
    </row>
    <row r="57" spans="1:8" ht="13.9" x14ac:dyDescent="0.4">
      <c r="A57" s="91" t="str">
        <f>Machine!A66</f>
        <v>Module Builder with Tractor</v>
      </c>
      <c r="B57" s="96" t="str">
        <f>IF(Trips!G56&gt;0,Trips!G56," ")</f>
        <v xml:space="preserve"> </v>
      </c>
      <c r="C57" s="96" t="str">
        <f>IF(Trips!H56&gt;0,Trips!H56," ")</f>
        <v xml:space="preserve"> </v>
      </c>
      <c r="D57" s="96" t="str">
        <f>IF(Trips!I56&gt;0,Trips!I56," ")</f>
        <v xml:space="preserve"> </v>
      </c>
      <c r="E57" s="96" t="str">
        <f>IF(Trips!J56&gt;0,Trips!J56," ")</f>
        <v xml:space="preserve"> </v>
      </c>
      <c r="F57" s="96" t="str">
        <f>IF(Trips!K56&gt;0,Trips!K56," ")</f>
        <v xml:space="preserve"> </v>
      </c>
      <c r="G57" s="528" t="str">
        <f>IF(Machine!B66&gt;0,Machine!B66," ")</f>
        <v xml:space="preserve"> </v>
      </c>
      <c r="H57" s="97" t="str">
        <f>IF(Machine!B66&gt;0,Machine!D66," ")</f>
        <v xml:space="preserve"> </v>
      </c>
    </row>
    <row r="58" spans="1:8" ht="13.9" x14ac:dyDescent="0.4">
      <c r="A58" s="91" t="str">
        <f>Machine!A67</f>
        <v>Cotton Picker: Module-Building</v>
      </c>
      <c r="B58" s="96" t="str">
        <f>IF(Trips!G57&gt;0,Trips!G57," ")</f>
        <v xml:space="preserve"> </v>
      </c>
      <c r="C58" s="96" t="str">
        <f>IF(Trips!H57&gt;0,Trips!H57," ")</f>
        <v xml:space="preserve"> </v>
      </c>
      <c r="D58" s="96" t="str">
        <f>IF(Trips!I57&gt;0,Trips!I57," ")</f>
        <v xml:space="preserve"> </v>
      </c>
      <c r="E58" s="96" t="str">
        <f>IF(Trips!J57&gt;0,Trips!J57," ")</f>
        <v xml:space="preserve"> </v>
      </c>
      <c r="F58" s="96" t="str">
        <f>IF(Trips!K57&gt;0,Trips!K57," ")</f>
        <v xml:space="preserve"> </v>
      </c>
      <c r="G58" s="528" t="str">
        <f>IF(Machine!B67&gt;0,Machine!B67," ")</f>
        <v xml:space="preserve"> </v>
      </c>
      <c r="H58" s="97" t="str">
        <f>IF(Machine!B67&gt;0,Machine!D67," ")</f>
        <v xml:space="preserve"> </v>
      </c>
    </row>
    <row r="59" spans="1:8" ht="13.9" x14ac:dyDescent="0.4">
      <c r="A59" s="91" t="str">
        <f>Machine!A68</f>
        <v>Module Handler with Tractor</v>
      </c>
      <c r="B59" s="96" t="str">
        <f>IF(Trips!G58&gt;0,Trips!G58," ")</f>
        <v xml:space="preserve"> </v>
      </c>
      <c r="C59" s="96" t="str">
        <f>IF(Trips!H58&gt;0,Trips!H58," ")</f>
        <v xml:space="preserve"> </v>
      </c>
      <c r="D59" s="96" t="str">
        <f>IF(Trips!I58&gt;0,Trips!I58," ")</f>
        <v xml:space="preserve"> </v>
      </c>
      <c r="E59" s="96" t="str">
        <f>IF(Trips!J58&gt;0,Trips!J58," ")</f>
        <v xml:space="preserve"> </v>
      </c>
      <c r="F59" s="96" t="str">
        <f>IF(Trips!K58&gt;0,Trips!K58," ")</f>
        <v xml:space="preserve"> </v>
      </c>
      <c r="G59" s="528" t="str">
        <f>IF(Machine!B68&gt;0,Machine!B68," ")</f>
        <v xml:space="preserve"> </v>
      </c>
      <c r="H59" s="118" t="str">
        <f>IF(Machine!B68&gt;0,"NA"," ")</f>
        <v xml:space="preserve"> </v>
      </c>
    </row>
    <row r="60" spans="1:8" ht="13.9" x14ac:dyDescent="0.4">
      <c r="A60" s="91" t="str">
        <f>Machine!A69</f>
        <v>Combine</v>
      </c>
      <c r="B60" s="96">
        <f>IF(Trips!G59&gt;0,Trips!G59," ")</f>
        <v>48.607701685630119</v>
      </c>
      <c r="C60" s="96">
        <f>IF(Trips!H59&gt;0,Trips!H59," ")</f>
        <v>9.0865286271162944</v>
      </c>
      <c r="D60" s="96">
        <f>IF(Trips!I59&gt;0,Trips!I59," ")</f>
        <v>3.9485510204081633</v>
      </c>
      <c r="E60" s="96">
        <f>IF(Trips!J59&gt;0,Trips!J59," ")</f>
        <v>1.8476969387755104</v>
      </c>
      <c r="F60" s="96">
        <f>IF(Trips!K59&gt;0,Trips!K59," ")</f>
        <v>63.490478271930087</v>
      </c>
      <c r="G60" s="528">
        <f>IF(Machine!B69&gt;0,Machine!B69," ")</f>
        <v>1</v>
      </c>
      <c r="H60" s="118" t="str">
        <f>IF(Machine!B69&gt;0,"NA"," ")</f>
        <v>NA</v>
      </c>
    </row>
    <row r="61" spans="1:8" ht="13.9" x14ac:dyDescent="0.4">
      <c r="A61" s="91" t="str">
        <f>Machine!A70</f>
        <v>Corn Head</v>
      </c>
      <c r="B61" s="96" t="str">
        <f>IF(Trips!G60&gt;0,Trips!G60," ")</f>
        <v xml:space="preserve"> </v>
      </c>
      <c r="C61" s="96" t="str">
        <f>IF(Trips!H60&gt;0,Trips!H60," ")</f>
        <v xml:space="preserve"> </v>
      </c>
      <c r="D61" s="118" t="str">
        <f>IF(Machine!B70&gt;0,"NA"," ")</f>
        <v xml:space="preserve"> </v>
      </c>
      <c r="E61" s="118" t="str">
        <f>IF(Machine!B70&gt;0,"NA"," ")</f>
        <v xml:space="preserve"> </v>
      </c>
      <c r="F61" s="96" t="str">
        <f>IF(Trips!K60&gt;0,Trips!K60," ")</f>
        <v xml:space="preserve"> </v>
      </c>
      <c r="G61" s="528" t="str">
        <f>IF(Machine!B70&gt;0,Machine!B70," ")</f>
        <v xml:space="preserve"> </v>
      </c>
      <c r="H61" s="97" t="str">
        <f>IF(Machine!B70&gt;0,Machine!D70," ")</f>
        <v xml:space="preserve"> </v>
      </c>
    </row>
    <row r="62" spans="1:8" ht="13.9" x14ac:dyDescent="0.4">
      <c r="A62" s="91" t="str">
        <f>Machine!A71</f>
        <v>Soybean Head</v>
      </c>
      <c r="B62" s="96" t="str">
        <f>IF(Trips!G61&gt;0,Trips!G61," ")</f>
        <v xml:space="preserve"> </v>
      </c>
      <c r="C62" s="96" t="str">
        <f>IF(Trips!H61&gt;0,Trips!H61," ")</f>
        <v xml:space="preserve"> </v>
      </c>
      <c r="D62" s="118" t="str">
        <f>IF(Machine!B71&gt;0,"NA"," ")</f>
        <v xml:space="preserve"> </v>
      </c>
      <c r="E62" s="118" t="str">
        <f>IF(Machine!B71&gt;0,"NA"," ")</f>
        <v xml:space="preserve"> </v>
      </c>
      <c r="F62" s="96" t="str">
        <f>IF(Trips!K61&gt;0,Trips!K61," ")</f>
        <v xml:space="preserve"> </v>
      </c>
      <c r="G62" s="528" t="str">
        <f>IF(Machine!B71&gt;0,Machine!B71," ")</f>
        <v xml:space="preserve"> </v>
      </c>
      <c r="H62" s="97" t="str">
        <f>IF(Machine!B71&gt;0,Machine!D71," ")</f>
        <v xml:space="preserve"> </v>
      </c>
    </row>
    <row r="63" spans="1:8" ht="13.9" x14ac:dyDescent="0.4">
      <c r="A63" s="91" t="str">
        <f>Machine!A72</f>
        <v>Rice Head</v>
      </c>
      <c r="B63" s="96" t="str">
        <f>IF(Trips!G62&gt;0,Trips!G62," ")</f>
        <v xml:space="preserve"> </v>
      </c>
      <c r="C63" s="96" t="str">
        <f>IF(Trips!H62&gt;0,Trips!H62," ")</f>
        <v xml:space="preserve"> </v>
      </c>
      <c r="D63" s="118" t="str">
        <f>IF(Machine!B72&gt;0,"NA"," ")</f>
        <v xml:space="preserve"> </v>
      </c>
      <c r="E63" s="118" t="str">
        <f>IF(Machine!B72&gt;0,"NA"," ")</f>
        <v xml:space="preserve"> </v>
      </c>
      <c r="F63" s="96" t="str">
        <f>IF(Trips!K62&gt;0,Trips!K62," ")</f>
        <v xml:space="preserve"> </v>
      </c>
      <c r="G63" s="528" t="str">
        <f>IF(Machine!B72&gt;0,Machine!B72," ")</f>
        <v xml:space="preserve"> </v>
      </c>
      <c r="H63" s="97" t="str">
        <f>IF(Machine!B72&gt;0,Machine!D72," ")</f>
        <v xml:space="preserve"> </v>
      </c>
    </row>
    <row r="64" spans="1:8" ht="13.9" x14ac:dyDescent="0.4">
      <c r="A64" s="91" t="str">
        <f>Machine!A73</f>
        <v>Wheat/Sorghum Head</v>
      </c>
      <c r="B64" s="96">
        <f>IF(Trips!G63&gt;0,Trips!G63," ")</f>
        <v>1.9140515819375326</v>
      </c>
      <c r="C64" s="96">
        <f>IF(Trips!H63&gt;0,Trips!H63," ")</f>
        <v>1.2232506599167985</v>
      </c>
      <c r="D64" s="118" t="str">
        <f>IF(Machine!B73&gt;0,"NA"," ")</f>
        <v>NA</v>
      </c>
      <c r="E64" s="118" t="str">
        <f>IF(Machine!B73&gt;0,"NA"," ")</f>
        <v>NA</v>
      </c>
      <c r="F64" s="96">
        <f>IF(Trips!K63&gt;0,Trips!K63," ")</f>
        <v>3.1373022418543313</v>
      </c>
      <c r="G64" s="528">
        <f>IF(Machine!B73&gt;0,Machine!B73," ")</f>
        <v>1</v>
      </c>
      <c r="H64" s="97">
        <f>IF(Machine!B73&gt;0,Machine!D73," ")</f>
        <v>30</v>
      </c>
    </row>
    <row r="65" spans="1:8" ht="13.9" x14ac:dyDescent="0.4">
      <c r="A65" s="91" t="str">
        <f>Machine!A74</f>
        <v>Grain Cart with Tractor</v>
      </c>
      <c r="B65" s="96">
        <f>IF(Trips!G64&gt;0,Trips!G64," ")</f>
        <v>11.515529152064808</v>
      </c>
      <c r="C65" s="96">
        <f>IF(Trips!H64&gt;0,Trips!H64," ")</f>
        <v>2.257319758747407</v>
      </c>
      <c r="D65" s="96">
        <f>IF(Trips!I64&gt;0,Trips!I64," ")</f>
        <v>2.3691306122448981</v>
      </c>
      <c r="E65" s="96">
        <f>IF(Trips!J64&gt;0,Trips!J64," ")</f>
        <v>1.8476969387755104</v>
      </c>
      <c r="F65" s="96">
        <f>IF(Trips!K64&gt;0,Trips!K64," ")</f>
        <v>17.989676461832623</v>
      </c>
      <c r="G65" s="528">
        <f>IF(Machine!B74&gt;0,Machine!B74," ")</f>
        <v>1</v>
      </c>
      <c r="H65" s="118" t="str">
        <f>IF(Machine!B74&gt;0,"NA"," ")</f>
        <v>NA</v>
      </c>
    </row>
    <row r="66" spans="1:8" ht="13.9" x14ac:dyDescent="0.4">
      <c r="A66" s="91" t="str">
        <f>Machine!A75</f>
        <v>Other Harvest</v>
      </c>
      <c r="B66" s="96" t="str">
        <f>IF(Trips!G65&gt;0,Trips!G65," ")</f>
        <v xml:space="preserve"> </v>
      </c>
      <c r="C66" s="96" t="str">
        <f>IF(Trips!H65&gt;0,Trips!H65," ")</f>
        <v xml:space="preserve"> </v>
      </c>
      <c r="D66" s="96" t="str">
        <f>IF(Trips!I65&gt;0,Trips!I65," ")</f>
        <v xml:space="preserve"> </v>
      </c>
      <c r="E66" s="96" t="str">
        <f>IF(Trips!J65&gt;0,Trips!J65," ")</f>
        <v xml:space="preserve"> </v>
      </c>
      <c r="F66" s="96" t="str">
        <f>IF(Trips!K65&gt;0,Trips!K65," ")</f>
        <v xml:space="preserve"> </v>
      </c>
      <c r="G66" s="528" t="str">
        <f>IF(Machine!B75&gt;0,Machine!B75," ")</f>
        <v xml:space="preserve"> </v>
      </c>
      <c r="H66" s="97" t="str">
        <f>IF(Machine!B75&gt;0,Machine!D75," ")</f>
        <v xml:space="preserve"> </v>
      </c>
    </row>
    <row r="67" spans="1:8" ht="13.9" x14ac:dyDescent="0.4">
      <c r="A67" s="91" t="str">
        <f>Machine!A76</f>
        <v>Peanut Harvester, with Tractor</v>
      </c>
      <c r="B67" s="96" t="str">
        <f>IF(Trips!G66&gt;0,Trips!G66," ")</f>
        <v xml:space="preserve"> </v>
      </c>
      <c r="C67" s="96" t="str">
        <f>IF(Trips!H66&gt;0,Trips!H66," ")</f>
        <v xml:space="preserve"> </v>
      </c>
      <c r="D67" s="96" t="str">
        <f>IF(Trips!I66&gt;0,Trips!I66," ")</f>
        <v xml:space="preserve"> </v>
      </c>
      <c r="E67" s="96" t="str">
        <f>IF(Trips!J66&gt;0,Trips!J66," ")</f>
        <v xml:space="preserve"> </v>
      </c>
      <c r="F67" s="96" t="str">
        <f>IF(Trips!K66&gt;0,Trips!K66," ")</f>
        <v xml:space="preserve"> </v>
      </c>
      <c r="G67" s="528" t="str">
        <f>IF(Machine!B76&gt;0,Machine!B76," ")</f>
        <v xml:space="preserve"> </v>
      </c>
      <c r="H67" s="97" t="str">
        <f>IF(Machine!B76&gt;0,Machine!D76," ")</f>
        <v xml:space="preserve"> </v>
      </c>
    </row>
    <row r="68" spans="1:8" ht="13.9" x14ac:dyDescent="0.4">
      <c r="A68" s="91" t="str">
        <f>Machine!A77</f>
        <v>Peanut Dump Cart with Tractor</v>
      </c>
      <c r="B68" s="96" t="str">
        <f>IF(Trips!G67&gt;0,Trips!G67," ")</f>
        <v xml:space="preserve"> </v>
      </c>
      <c r="C68" s="96" t="str">
        <f>IF(Trips!H67&gt;0,Trips!H67," ")</f>
        <v xml:space="preserve"> </v>
      </c>
      <c r="D68" s="96" t="str">
        <f>IF(Trips!I67&gt;0,Trips!I67," ")</f>
        <v xml:space="preserve"> </v>
      </c>
      <c r="E68" s="96" t="str">
        <f>IF(Trips!J67&gt;0,Trips!J67," ")</f>
        <v xml:space="preserve"> </v>
      </c>
      <c r="F68" s="96" t="str">
        <f>IF(Trips!K67&gt;0,Trips!K67," ")</f>
        <v xml:space="preserve"> </v>
      </c>
      <c r="G68" s="528" t="str">
        <f>IF(Machine!B77&gt;0,Machine!B77," ")</f>
        <v xml:space="preserve"> </v>
      </c>
      <c r="H68" s="118" t="str">
        <f>IF(Machine!B77&gt;0,"NA"," ")</f>
        <v xml:space="preserve"> </v>
      </c>
    </row>
    <row r="69" spans="1:8" ht="13.9" x14ac:dyDescent="0.4">
      <c r="A69" s="91" t="str">
        <f>Machine!A78</f>
        <v>Peanut Wagon, 28 ft., with Tractor</v>
      </c>
      <c r="B69" s="96" t="str">
        <f>IF(Trips!G68&gt;0,Trips!G68," ")</f>
        <v xml:space="preserve"> </v>
      </c>
      <c r="C69" s="96" t="str">
        <f>IF(Trips!H68&gt;0,Trips!H68," ")</f>
        <v xml:space="preserve"> </v>
      </c>
      <c r="D69" s="96" t="str">
        <f>IF(Trips!I68&gt;0,Trips!I68," ")</f>
        <v xml:space="preserve"> </v>
      </c>
      <c r="E69" s="96" t="str">
        <f>IF(Trips!J68&gt;0,Trips!J68," ")</f>
        <v xml:space="preserve"> </v>
      </c>
      <c r="F69" s="96" t="str">
        <f>IF(Trips!K68&gt;0,Trips!K68," ")</f>
        <v xml:space="preserve"> </v>
      </c>
      <c r="G69" s="528" t="str">
        <f>IF(Machine!B78&gt;0,Machine!B78," ")</f>
        <v xml:space="preserve"> </v>
      </c>
      <c r="H69" s="118" t="str">
        <f>IF(Machine!B78&gt;0,"NA"," ")</f>
        <v xml:space="preserve"> </v>
      </c>
    </row>
    <row r="70" spans="1:8" ht="13.9" x14ac:dyDescent="0.4">
      <c r="A70" s="91" t="str">
        <f>Machine!A79</f>
        <v>Other Harvest</v>
      </c>
      <c r="B70" s="96" t="str">
        <f>IF(Trips!G69&gt;0,Trips!G69," ")</f>
        <v xml:space="preserve"> </v>
      </c>
      <c r="C70" s="96" t="str">
        <f>IF(Trips!H69&gt;0,Trips!H69," ")</f>
        <v xml:space="preserve"> </v>
      </c>
      <c r="D70" s="96" t="str">
        <f>IF(Trips!I69&gt;0,Trips!I69," ")</f>
        <v xml:space="preserve"> </v>
      </c>
      <c r="E70" s="96" t="str">
        <f>IF(Trips!J69&gt;0,Trips!J69," ")</f>
        <v xml:space="preserve"> </v>
      </c>
      <c r="F70" s="96" t="str">
        <f>IF(Trips!K69&gt;0,Trips!K69," ")</f>
        <v xml:space="preserve"> </v>
      </c>
      <c r="G70" s="528" t="str">
        <f>IF(Machine!B79&gt;0,Machine!B79," ")</f>
        <v xml:space="preserve"> </v>
      </c>
      <c r="H70" s="97" t="str">
        <f>IF(Machine!B79&gt;0,Machine!D79," ")</f>
        <v xml:space="preserve"> </v>
      </c>
    </row>
    <row r="71" spans="1:8" ht="13.9" x14ac:dyDescent="0.4">
      <c r="A71" s="91" t="str">
        <f>Machine!A80</f>
        <v>Other Harvest</v>
      </c>
      <c r="B71" s="96" t="str">
        <f>IF(Trips!G70&gt;0,Trips!G70," ")</f>
        <v xml:space="preserve"> </v>
      </c>
      <c r="C71" s="96" t="str">
        <f>IF(Trips!H70&gt;0,Trips!H70," ")</f>
        <v xml:space="preserve"> </v>
      </c>
      <c r="D71" s="96" t="str">
        <f>IF(Trips!I70&gt;0,Trips!I70," ")</f>
        <v xml:space="preserve"> </v>
      </c>
      <c r="E71" s="96" t="str">
        <f>IF(Trips!J70&gt;0,Trips!J70," ")</f>
        <v xml:space="preserve"> </v>
      </c>
      <c r="F71" s="96" t="str">
        <f>IF(Trips!K70&gt;0,Trips!K70," ")</f>
        <v xml:space="preserve"> </v>
      </c>
      <c r="G71" s="528" t="str">
        <f>IF(Machine!B80&gt;0,Machine!B80," ")</f>
        <v xml:space="preserve"> </v>
      </c>
      <c r="H71" s="118" t="str">
        <f>IF(Machine!B80&gt;0,"NA"," ")</f>
        <v xml:space="preserve"> </v>
      </c>
    </row>
    <row r="72" spans="1:8" ht="13.9" x14ac:dyDescent="0.4">
      <c r="A72" s="91" t="str">
        <f>Machine!A81</f>
        <v>Other Harvest</v>
      </c>
      <c r="B72" s="96" t="str">
        <f>IF(Trips!G71&gt;0,Trips!G71," ")</f>
        <v xml:space="preserve"> </v>
      </c>
      <c r="C72" s="96" t="str">
        <f>IF(Trips!H71&gt;0,Trips!H71," ")</f>
        <v xml:space="preserve"> </v>
      </c>
      <c r="D72" s="96" t="str">
        <f>IF(Trips!I71&gt;0,Trips!I71," ")</f>
        <v xml:space="preserve"> </v>
      </c>
      <c r="E72" s="96" t="str">
        <f>IF(Trips!J71&gt;0,Trips!J71," ")</f>
        <v xml:space="preserve"> </v>
      </c>
      <c r="F72" s="96" t="str">
        <f>IF(Trips!K71&gt;0,Trips!K71," ")</f>
        <v xml:space="preserve"> </v>
      </c>
      <c r="G72" s="528" t="str">
        <f>IF(Machine!B81&gt;0,Machine!B81," ")</f>
        <v xml:space="preserve"> </v>
      </c>
      <c r="H72" s="118" t="str">
        <f>IF(Machine!B81&gt;0,"NA"," ")</f>
        <v xml:space="preserve"> 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workbookViewId="0">
      <selection activeCell="L15" sqref="L15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7.73046875" customWidth="1"/>
    <col min="4" max="6" width="6.73046875" customWidth="1"/>
    <col min="7" max="8" width="10.73046875" customWidth="1"/>
  </cols>
  <sheetData>
    <row r="1" spans="1:8" ht="13.9" x14ac:dyDescent="0.4">
      <c r="A1" s="92" t="str">
        <f>A2_Budget_Look_Up!D15</f>
        <v>Table 7. Machinery Capital Recovery and Operating Costs, Grain Sorghum, Furrow</v>
      </c>
      <c r="B1" s="92"/>
      <c r="C1" s="92"/>
      <c r="D1" s="92"/>
      <c r="E1" s="92"/>
      <c r="F1" s="92"/>
      <c r="G1" s="92"/>
      <c r="H1" s="1079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080"/>
    </row>
    <row r="3" spans="1:8" ht="13.9" x14ac:dyDescent="0.4">
      <c r="A3" s="91"/>
      <c r="B3" s="93" t="s">
        <v>33</v>
      </c>
      <c r="C3" s="93"/>
      <c r="D3" s="93"/>
      <c r="E3" s="93"/>
      <c r="F3" s="93"/>
      <c r="G3" s="93" t="s">
        <v>215</v>
      </c>
      <c r="H3" s="93" t="s">
        <v>220</v>
      </c>
    </row>
    <row r="4" spans="1:8" ht="13.9" x14ac:dyDescent="0.4">
      <c r="A4" s="100" t="s">
        <v>217</v>
      </c>
      <c r="B4" s="95" t="s">
        <v>34</v>
      </c>
      <c r="C4" s="95" t="s">
        <v>205</v>
      </c>
      <c r="D4" s="95" t="s">
        <v>523</v>
      </c>
      <c r="E4" s="95" t="s">
        <v>55</v>
      </c>
      <c r="F4" s="95" t="s">
        <v>22</v>
      </c>
      <c r="G4" s="95" t="s">
        <v>216</v>
      </c>
      <c r="H4" s="95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Machine!A20</f>
        <v>Bedder, Hipper</v>
      </c>
      <c r="B6" s="96">
        <f>IF(Trips!G10&gt;0,Trips!G10," ")</f>
        <v>8.575859042404959</v>
      </c>
      <c r="C6" s="96">
        <f>IF(Trips!H10&gt;0,Trips!H10," ")</f>
        <v>1.0846891460606569</v>
      </c>
      <c r="D6" s="96">
        <f>IF(Trips!I10&gt;0,Trips!I10," ")</f>
        <v>1.5013552631578946</v>
      </c>
      <c r="E6" s="96">
        <f>IF(Trips!J10&gt;0,Trips!J10," ")</f>
        <v>0.93012719298245616</v>
      </c>
      <c r="F6" s="96">
        <f>IF(Trips!K10&gt;0,Trips!K10," ")</f>
        <v>12.092030644605964</v>
      </c>
      <c r="G6" s="528">
        <f>IF(Machine!B20&gt;0,Machine!B20," ")</f>
        <v>2</v>
      </c>
      <c r="H6" s="97">
        <f>IF(Machine!B20&gt;0,Machine!D20," ")</f>
        <v>38</v>
      </c>
    </row>
    <row r="7" spans="1:8" ht="13.9" x14ac:dyDescent="0.4">
      <c r="A7" s="91" t="str">
        <f>Machine!A33</f>
        <v>Fertilizer, Broadcast Spreader</v>
      </c>
      <c r="B7" s="96" t="str">
        <f>IF(Trips!G23&gt;0,Trips!G23," ")</f>
        <v xml:space="preserve"> </v>
      </c>
      <c r="C7" s="96" t="str">
        <f>IF(Trips!H23&gt;0,Trips!H23," ")</f>
        <v xml:space="preserve"> </v>
      </c>
      <c r="D7" s="96" t="str">
        <f>IF(Trips!I23&gt;0,Trips!I23," ")</f>
        <v xml:space="preserve"> </v>
      </c>
      <c r="E7" s="96" t="str">
        <f>IF(Trips!J23&gt;0,Trips!J23," ")</f>
        <v xml:space="preserve"> </v>
      </c>
      <c r="F7" s="96" t="str">
        <f>IF(Trips!K23&gt;0,Trips!K23," ")</f>
        <v xml:space="preserve"> </v>
      </c>
      <c r="G7" s="528" t="str">
        <f>IF(Machine!B33&gt;0,Machine!B33," ")</f>
        <v xml:space="preserve"> </v>
      </c>
      <c r="H7" s="97" t="str">
        <f>IF(Machine!B33&gt;0,Machine!D33," ")</f>
        <v xml:space="preserve"> </v>
      </c>
    </row>
    <row r="8" spans="1:8" ht="13.9" x14ac:dyDescent="0.4">
      <c r="A8" s="91" t="str">
        <f>Machine!A34</f>
        <v>Do All, Seedbed Finisher</v>
      </c>
      <c r="B8" s="96">
        <f>IF(Trips!G24&gt;0,Trips!G24," ")</f>
        <v>4.1824183654847626</v>
      </c>
      <c r="C8" s="96">
        <f>IF(Trips!H24&gt;0,Trips!H24," ")</f>
        <v>0.5321405183449972</v>
      </c>
      <c r="D8" s="96">
        <f>IF(Trips!I24&gt;0,Trips!I24," ")</f>
        <v>0.90838301636444041</v>
      </c>
      <c r="E8" s="96">
        <f>IF(Trips!J24&gt;0,Trips!J24," ")</f>
        <v>0.56276603272888104</v>
      </c>
      <c r="F8" s="96">
        <f>IF(Trips!K24&gt;0,Trips!K24," ")</f>
        <v>6.1857079329230809</v>
      </c>
      <c r="G8" s="528">
        <f>IF(Machine!B34&gt;0,Machine!B34," ")</f>
        <v>1</v>
      </c>
      <c r="H8" s="97">
        <f>IF(Machine!B34&gt;0,Machine!D34," ")</f>
        <v>38</v>
      </c>
    </row>
    <row r="9" spans="1:8" ht="13.9" x14ac:dyDescent="0.4">
      <c r="A9" s="91" t="str">
        <f>Machine!A35</f>
        <v>Planter</v>
      </c>
      <c r="B9" s="96">
        <f>IF(Trips!G25&gt;0,Trips!G25," ")</f>
        <v>9.5302699588514628</v>
      </c>
      <c r="C9" s="96">
        <f>IF(Trips!H25&gt;0,Trips!H25," ")</f>
        <v>2.554164181520203</v>
      </c>
      <c r="D9" s="96">
        <f>IF(Trips!I25&gt;0,Trips!I25," ")</f>
        <v>1.2402499999999999</v>
      </c>
      <c r="E9" s="96">
        <f>IF(Trips!J25&gt;0,Trips!J25," ")</f>
        <v>1.0108482905982903</v>
      </c>
      <c r="F9" s="96">
        <f>IF(Trips!K25&gt;0,Trips!K25," ")</f>
        <v>14.335532430969955</v>
      </c>
      <c r="G9" s="528">
        <f>IF(Machine!B35&gt;0,Machine!B35," ")</f>
        <v>1</v>
      </c>
      <c r="H9" s="97">
        <f>IF(Machine!B35&gt;0,Machine!D35," ")</f>
        <v>36</v>
      </c>
    </row>
    <row r="10" spans="1:8" ht="13.9" x14ac:dyDescent="0.4">
      <c r="A10" s="91" t="str">
        <f>Machine!A39</f>
        <v>Liquid Fertilizer Applicator</v>
      </c>
      <c r="B10" s="96" t="str">
        <f>IF(Trips!G29&gt;0,Trips!G29," ")</f>
        <v xml:space="preserve"> </v>
      </c>
      <c r="C10" s="96" t="str">
        <f>IF(Trips!H29&gt;0,Trips!H29," ")</f>
        <v xml:space="preserve"> </v>
      </c>
      <c r="D10" s="96" t="str">
        <f>IF(Trips!I29&gt;0,Trips!I29," ")</f>
        <v xml:space="preserve"> </v>
      </c>
      <c r="E10" s="96" t="str">
        <f>IF(Trips!J29&gt;0,Trips!J29," ")</f>
        <v xml:space="preserve"> </v>
      </c>
      <c r="F10" s="96" t="str">
        <f>IF(Trips!K29&gt;0,Trips!K29," ")</f>
        <v xml:space="preserve"> </v>
      </c>
      <c r="G10" s="528" t="str">
        <f>IF(Machine!B39&gt;0,Machine!B39," ")</f>
        <v xml:space="preserve"> </v>
      </c>
      <c r="H10" s="97" t="str">
        <f>IF(Machine!B39&gt;0,Machine!D39," ")</f>
        <v xml:space="preserve"> </v>
      </c>
    </row>
    <row r="11" spans="1:8" ht="13.9" x14ac:dyDescent="0.4">
      <c r="A11" s="91" t="str">
        <f>Machine!A40</f>
        <v>Fertilizer, Knife Rig 12 Row</v>
      </c>
      <c r="B11" s="96" t="str">
        <f>IF(Trips!G30&gt;0,Trips!G30," ")</f>
        <v xml:space="preserve"> </v>
      </c>
      <c r="C11" s="96" t="str">
        <f>IF(Trips!H30&gt;0,Trips!H30," ")</f>
        <v xml:space="preserve"> </v>
      </c>
      <c r="D11" s="96" t="str">
        <f>IF(Trips!I30&gt;0,Trips!I30," ")</f>
        <v xml:space="preserve"> </v>
      </c>
      <c r="E11" s="96" t="str">
        <f>IF(Trips!J30&gt;0,Trips!J30," ")</f>
        <v xml:space="preserve"> </v>
      </c>
      <c r="F11" s="96" t="str">
        <f>IF(Trips!K30&gt;0,Trips!K30," ")</f>
        <v xml:space="preserve"> </v>
      </c>
      <c r="G11" s="528" t="str">
        <f>IF(Machine!B40&gt;0,Machine!B40," ")</f>
        <v xml:space="preserve"> </v>
      </c>
      <c r="H11" s="97" t="str">
        <f>IF(Machine!B40&gt;0,Machine!D40," ")</f>
        <v xml:space="preserve"> </v>
      </c>
    </row>
    <row r="12" spans="1:8" ht="13.9" x14ac:dyDescent="0.4">
      <c r="A12" s="91" t="str">
        <f>Machine!A41</f>
        <v>Polypipe; Roll Out, Punch, Take Up</v>
      </c>
      <c r="B12" s="96">
        <f>IF(Trips!G31&gt;0,Trips!G31," ")</f>
        <v>4.7865266981306949</v>
      </c>
      <c r="C12" s="96">
        <f>IF(Trips!H31&gt;0,Trips!H31," ")</f>
        <v>0.2409194160502762</v>
      </c>
      <c r="D12" s="96">
        <f>IF(Trips!I31&gt;0,Trips!I31," ")</f>
        <v>0.94578731745646449</v>
      </c>
      <c r="E12" s="96">
        <f>IF(Trips!J31&gt;0,Trips!J31," ")</f>
        <v>2.3102735119725284</v>
      </c>
      <c r="F12" s="96">
        <f>IF(Trips!K31&gt;0,Trips!K31," ")</f>
        <v>8.2835069436099644</v>
      </c>
      <c r="G12" s="528">
        <f>IF(Machine!B41&gt;0,Machine!B41," ")</f>
        <v>1</v>
      </c>
      <c r="H12" s="118" t="s">
        <v>219</v>
      </c>
    </row>
    <row r="13" spans="1:8" ht="13.9" x14ac:dyDescent="0.4">
      <c r="A13" s="91" t="str">
        <f>Machine!A42</f>
        <v>Hooded Sprayer</v>
      </c>
      <c r="B13" s="96" t="str">
        <f>IF(Trips!G32&gt;0,Trips!G32," ")</f>
        <v xml:space="preserve"> </v>
      </c>
      <c r="C13" s="96" t="str">
        <f>IF(Trips!H32&gt;0,Trips!H32," ")</f>
        <v xml:space="preserve"> </v>
      </c>
      <c r="D13" s="96" t="str">
        <f>IF(Trips!I32&gt;0,Trips!I32," ")</f>
        <v xml:space="preserve"> </v>
      </c>
      <c r="E13" s="96" t="str">
        <f>IF(Trips!J32&gt;0,Trips!J32," ")</f>
        <v xml:space="preserve"> </v>
      </c>
      <c r="F13" s="96" t="str">
        <f>IF(Trips!K32&gt;0,Trips!K32," ")</f>
        <v xml:space="preserve"> </v>
      </c>
      <c r="G13" s="528" t="str">
        <f>IF(Machine!B42&gt;0,Machine!B42," ")</f>
        <v xml:space="preserve"> </v>
      </c>
      <c r="H13" s="97" t="str">
        <f>IF(Machine!B42&gt;0,Machine!D42," ")</f>
        <v xml:space="preserve"> </v>
      </c>
    </row>
    <row r="14" spans="1:8" ht="13.9" x14ac:dyDescent="0.4">
      <c r="A14" s="91" t="str">
        <f>Machine!A51</f>
        <v>Mower, Stalk Shredder</v>
      </c>
      <c r="B14" s="96" t="str">
        <f>IF(Trips!G41&gt;0,Trips!G41," ")</f>
        <v xml:space="preserve"> </v>
      </c>
      <c r="C14" s="96" t="str">
        <f>IF(Trips!H41&gt;0,Trips!H41," ")</f>
        <v xml:space="preserve"> </v>
      </c>
      <c r="D14" s="96" t="str">
        <f>IF(Trips!I41&gt;0,Trips!I41," ")</f>
        <v xml:space="preserve"> </v>
      </c>
      <c r="E14" s="96" t="str">
        <f>IF(Trips!J41&gt;0,Trips!J41," ")</f>
        <v xml:space="preserve"> </v>
      </c>
      <c r="F14" s="96" t="str">
        <f>IF(Trips!K41&gt;0,Trips!K41," ")</f>
        <v xml:space="preserve"> </v>
      </c>
      <c r="G14" s="528" t="str">
        <f>IF(Machine!B51&gt;0,Machine!B51," ")</f>
        <v xml:space="preserve"> </v>
      </c>
      <c r="H14" s="97" t="str">
        <f>IF(Machine!B51&gt;0,Machine!D51," ")</f>
        <v xml:space="preserve"> </v>
      </c>
    </row>
    <row r="15" spans="1:8" ht="13.9" x14ac:dyDescent="0.4">
      <c r="A15" s="91"/>
      <c r="B15" s="96"/>
      <c r="C15" s="96"/>
      <c r="D15" s="96"/>
      <c r="E15" s="96"/>
      <c r="F15" s="96"/>
      <c r="G15" s="528"/>
      <c r="H15" s="119"/>
    </row>
    <row r="16" spans="1:8" ht="13.9" x14ac:dyDescent="0.4">
      <c r="A16" s="91"/>
      <c r="B16" s="96" t="str">
        <f>IF(Trips!G46&gt;0,Trips!G46," ")</f>
        <v xml:space="preserve"> </v>
      </c>
      <c r="C16" s="96" t="str">
        <f>IF(Trips!H46&gt;0,Trips!H46," ")</f>
        <v xml:space="preserve"> </v>
      </c>
      <c r="D16" s="96" t="str">
        <f>IF(Trips!I46&gt;0,Trips!I46," ")</f>
        <v xml:space="preserve"> </v>
      </c>
      <c r="E16" s="96" t="str">
        <f>IF(Trips!J46&gt;0,Trips!J46," ")</f>
        <v xml:space="preserve"> </v>
      </c>
      <c r="F16" s="96" t="str">
        <f>IF(Trips!K46&gt;0,Trips!K46," ")</f>
        <v xml:space="preserve"> </v>
      </c>
      <c r="G16" s="528"/>
      <c r="H16" s="119"/>
    </row>
    <row r="17" spans="1:8" ht="13.9" x14ac:dyDescent="0.4">
      <c r="A17" s="94" t="s">
        <v>254</v>
      </c>
      <c r="B17" s="96" t="str">
        <f>IF(Trips!G47&gt;0,Trips!G47," ")</f>
        <v xml:space="preserve"> </v>
      </c>
      <c r="C17" s="96" t="str">
        <f>IF(Trips!H47&gt;0,Trips!H47," ")</f>
        <v xml:space="preserve"> </v>
      </c>
      <c r="D17" s="96" t="str">
        <f>IF(Trips!I47&gt;0,Trips!I47," ")</f>
        <v xml:space="preserve"> </v>
      </c>
      <c r="E17" s="96" t="str">
        <f>IF(Trips!J47&gt;0,Trips!J47," ")</f>
        <v xml:space="preserve"> </v>
      </c>
      <c r="F17" s="96" t="str">
        <f>IF(Trips!K47&gt;0,Trips!K47," ")</f>
        <v xml:space="preserve"> </v>
      </c>
      <c r="G17" s="528"/>
      <c r="H17" s="119"/>
    </row>
    <row r="18" spans="1:8" ht="13.9" x14ac:dyDescent="0.4">
      <c r="A18" s="91" t="str">
        <f>Machine!A58</f>
        <v>Self-Propelled Sprayer</v>
      </c>
      <c r="B18" s="96" t="str">
        <f>IF(Trips!G48&gt;0,Trips!G48," ")</f>
        <v xml:space="preserve"> </v>
      </c>
      <c r="C18" s="96" t="str">
        <f>IF(Trips!H48&gt;0,Trips!H48," ")</f>
        <v xml:space="preserve"> </v>
      </c>
      <c r="D18" s="96" t="str">
        <f>IF(Trips!I48&gt;0,Trips!I48," ")</f>
        <v xml:space="preserve"> </v>
      </c>
      <c r="E18" s="96" t="str">
        <f>IF(Trips!J48&gt;0,Trips!J48," ")</f>
        <v xml:space="preserve"> </v>
      </c>
      <c r="F18" s="96" t="str">
        <f>IF(Trips!K48&gt;0,Trips!K48," ")</f>
        <v xml:space="preserve"> </v>
      </c>
      <c r="G18" s="528" t="str">
        <f>IF(Machine!B58&gt;0,Machine!B58," ")</f>
        <v xml:space="preserve"> </v>
      </c>
      <c r="H18" s="97" t="str">
        <f>IF(Machine!B58&gt;0,Machine!D58," ")</f>
        <v xml:space="preserve"> </v>
      </c>
    </row>
    <row r="19" spans="1:8" ht="13.9" x14ac:dyDescent="0.4">
      <c r="A19" s="91"/>
      <c r="B19" s="96"/>
      <c r="C19" s="96"/>
      <c r="D19" s="96"/>
      <c r="E19" s="96"/>
      <c r="F19" s="96"/>
      <c r="G19" s="528"/>
      <c r="H19" s="119"/>
    </row>
    <row r="20" spans="1:8" ht="13.9" x14ac:dyDescent="0.4">
      <c r="A20" s="91"/>
      <c r="B20" s="96" t="str">
        <f>IF(Trips!G52&gt;0,Trips!G52," ")</f>
        <v xml:space="preserve"> </v>
      </c>
      <c r="C20" s="96" t="str">
        <f>IF(Trips!H52&gt;0,Trips!H52," ")</f>
        <v xml:space="preserve"> </v>
      </c>
      <c r="D20" s="96" t="str">
        <f>IF(Trips!I52&gt;0,Trips!I52," ")</f>
        <v xml:space="preserve"> </v>
      </c>
      <c r="E20" s="96" t="str">
        <f>IF(Trips!J52&gt;0,Trips!J52," ")</f>
        <v xml:space="preserve"> </v>
      </c>
      <c r="F20" s="96" t="str">
        <f>IF(Trips!K52&gt;0,Trips!K52," ")</f>
        <v xml:space="preserve"> </v>
      </c>
      <c r="G20" s="528"/>
      <c r="H20" s="119"/>
    </row>
    <row r="21" spans="1:8" ht="13.9" x14ac:dyDescent="0.4">
      <c r="A21" s="94" t="s">
        <v>240</v>
      </c>
      <c r="B21" s="96" t="str">
        <f>IF(Trips!G53&gt;0,Trips!G53," ")</f>
        <v xml:space="preserve"> </v>
      </c>
      <c r="C21" s="96" t="str">
        <f>IF(Trips!H53&gt;0,Trips!H53," ")</f>
        <v xml:space="preserve"> </v>
      </c>
      <c r="D21" s="96" t="str">
        <f>IF(Trips!I53&gt;0,Trips!I53," ")</f>
        <v xml:space="preserve"> </v>
      </c>
      <c r="E21" s="96" t="str">
        <f>IF(Trips!J53&gt;0,Trips!J53," ")</f>
        <v xml:space="preserve"> </v>
      </c>
      <c r="F21" s="96" t="str">
        <f>IF(Trips!K53&gt;0,Trips!K53," ")</f>
        <v xml:space="preserve"> </v>
      </c>
      <c r="G21" s="528"/>
      <c r="H21" s="119"/>
    </row>
    <row r="22" spans="1:8" ht="13.9" x14ac:dyDescent="0.4">
      <c r="A22" s="91" t="str">
        <f>Machine!A64</f>
        <v>Cotton Picker</v>
      </c>
      <c r="B22" s="96" t="str">
        <f>IF(Trips!G54&gt;0,Trips!G54," ")</f>
        <v xml:space="preserve"> </v>
      </c>
      <c r="C22" s="96" t="str">
        <f>IF(Trips!H54&gt;0,Trips!H54," ")</f>
        <v xml:space="preserve"> </v>
      </c>
      <c r="D22" s="96" t="str">
        <f>IF(Trips!I54&gt;0,Trips!I54," ")</f>
        <v xml:space="preserve"> </v>
      </c>
      <c r="E22" s="96" t="str">
        <f>IF(Trips!J54&gt;0,Trips!J54," ")</f>
        <v xml:space="preserve"> </v>
      </c>
      <c r="F22" s="96" t="str">
        <f>IF(Trips!K54&gt;0,Trips!K54," ")</f>
        <v xml:space="preserve"> </v>
      </c>
      <c r="G22" s="528" t="str">
        <f>IF(Machine!B64&gt;0,Machine!B64," ")</f>
        <v xml:space="preserve"> </v>
      </c>
      <c r="H22" s="97" t="str">
        <f>IF(Machine!B64&gt;0,Machine!D64," ")</f>
        <v xml:space="preserve"> </v>
      </c>
    </row>
    <row r="23" spans="1:8" ht="13.9" x14ac:dyDescent="0.4">
      <c r="A23" s="91" t="str">
        <f>Machine!A65</f>
        <v>Boll Buggy with Tractor</v>
      </c>
      <c r="B23" s="96" t="str">
        <f>IF(Trips!G55&gt;0,Trips!G55," ")</f>
        <v xml:space="preserve"> </v>
      </c>
      <c r="C23" s="96" t="str">
        <f>IF(Trips!H55&gt;0,Trips!H55," ")</f>
        <v xml:space="preserve"> </v>
      </c>
      <c r="D23" s="96" t="str">
        <f>IF(Trips!I55&gt;0,Trips!I55," ")</f>
        <v xml:space="preserve"> </v>
      </c>
      <c r="E23" s="96" t="str">
        <f>IF(Trips!J55&gt;0,Trips!J55," ")</f>
        <v xml:space="preserve"> </v>
      </c>
      <c r="F23" s="96" t="str">
        <f>IF(Trips!K55&gt;0,Trips!K55," ")</f>
        <v xml:space="preserve"> </v>
      </c>
      <c r="G23" s="528" t="str">
        <f>IF(Machine!B65&gt;0,Machine!B65," ")</f>
        <v xml:space="preserve"> </v>
      </c>
      <c r="H23" s="97" t="str">
        <f>IF(Machine!B65&gt;0,Machine!D65," ")</f>
        <v xml:space="preserve"> </v>
      </c>
    </row>
    <row r="24" spans="1:8" ht="13.9" x14ac:dyDescent="0.4">
      <c r="A24" s="91" t="str">
        <f>Machine!A66</f>
        <v>Module Builder with Tractor</v>
      </c>
      <c r="B24" s="96" t="str">
        <f>IF(Trips!G56&gt;0,Trips!G56," ")</f>
        <v xml:space="preserve"> </v>
      </c>
      <c r="C24" s="96" t="str">
        <f>IF(Trips!H56&gt;0,Trips!H56," ")</f>
        <v xml:space="preserve"> </v>
      </c>
      <c r="D24" s="96" t="str">
        <f>IF(Trips!I56&gt;0,Trips!I56," ")</f>
        <v xml:space="preserve"> </v>
      </c>
      <c r="E24" s="96" t="str">
        <f>IF(Trips!J56&gt;0,Trips!J56," ")</f>
        <v xml:space="preserve"> </v>
      </c>
      <c r="F24" s="96" t="str">
        <f>IF(Trips!K56&gt;0,Trips!K56," ")</f>
        <v xml:space="preserve"> </v>
      </c>
      <c r="G24" s="528" t="str">
        <f>IF(Machine!B66&gt;0,Machine!B66," ")</f>
        <v xml:space="preserve"> </v>
      </c>
      <c r="H24" s="97" t="str">
        <f>IF(Machine!B66&gt;0,Machine!D66," ")</f>
        <v xml:space="preserve"> 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83"/>
  <sheetViews>
    <sheetView topLeftCell="A60" workbookViewId="0">
      <selection activeCell="B25" sqref="B25"/>
    </sheetView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46" width="10.73046875" customWidth="1"/>
    <col min="47" max="48" width="9.73046875" customWidth="1"/>
    <col min="49" max="52" width="8.59765625" customWidth="1"/>
    <col min="53" max="54" width="9.73046875" customWidth="1"/>
    <col min="55" max="55" width="8.59765625" customWidth="1"/>
    <col min="56" max="56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IF(Machine!D8&gt;0,EquipmentSpecs!A5*(EquipmentSpecs!A6/1000),0)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54" si="0">$I$8</f>
        <v>0.09</v>
      </c>
      <c r="H14" s="332">
        <f>(G14*(1+G14)^E14)/((1+G14)^E14-1)</f>
        <v>0.18067437783749629</v>
      </c>
      <c r="I14" s="245">
        <f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1" si="1">(K14*L14*M14)/8.25</f>
        <v>7.8303030303030292</v>
      </c>
      <c r="O14" s="247">
        <f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f>Machine!B14</f>
        <v>0</v>
      </c>
      <c r="T14" s="246">
        <f>J14*O14*S14</f>
        <v>0</v>
      </c>
      <c r="U14" s="246">
        <f>(((P14-(AQ14*P14))*AS14)+(AR14*(AQ14*P14)))/AO14</f>
        <v>75.989555598878766</v>
      </c>
      <c r="V14" s="246">
        <f>U14*O14*S14</f>
        <v>0</v>
      </c>
      <c r="W14" s="1143">
        <f>IF($T14&gt;0,((((($C14+($C14*$F14)+($C14/$E14))/2)*W$12)/$D14)*$O14),0)+IF($V14&gt;0,((((($P14+($P14*$AQ14)+($P14/$AP14))/2)*W$12)/$AO14)*$O14),0)</f>
        <v>0</v>
      </c>
      <c r="X14" s="1143">
        <f t="shared" ref="X14:Y29" si="2">IF($T14&gt;0,((((($C14+($C14*$F14)+($C14/$E14))/2)*X$12)/$D14)*$O14),0)+IF($V14&gt;0,((((($P14+($P14*$AQ14)+($P14/$AP14))/2)*X$12)/$AO14)*$O14),0)</f>
        <v>0</v>
      </c>
      <c r="Y14" s="1143">
        <f t="shared" si="2"/>
        <v>0</v>
      </c>
      <c r="Z14" s="1136">
        <f>T14+V14+(SUM(W14:Y14)*S14)</f>
        <v>0</v>
      </c>
      <c r="AA14" s="248">
        <f>EquipmentSpecs!J14</f>
        <v>0.28999999999999998</v>
      </c>
      <c r="AB14" s="249">
        <f>EquipmentSpecs!K14</f>
        <v>1.8</v>
      </c>
      <c r="AC14" s="246">
        <f>(C14*AA14*(((E14*D14)/1000)^AB14)/(E14*D14))*O14*S14</f>
        <v>0</v>
      </c>
      <c r="AD14" s="250">
        <f>IF(Q14=4,0.003,0.007)</f>
        <v>3.0000000000000001E-3</v>
      </c>
      <c r="AE14" s="251">
        <v>2</v>
      </c>
      <c r="AF14" s="246">
        <f>((P14*AD14*(((AP14*AO14)/1000)^AE14)/(AP14*AO14))*O14*S14)+AI14</f>
        <v>0</v>
      </c>
      <c r="AG14" s="251">
        <f>0.044*R14</f>
        <v>10.119999999999999</v>
      </c>
      <c r="AH14" s="246">
        <f>AG14*O14*$AI$11*S14</f>
        <v>0</v>
      </c>
      <c r="AI14" s="246">
        <f>AH14*0.1</f>
        <v>0</v>
      </c>
      <c r="AJ14" s="246">
        <f>AH14</f>
        <v>0</v>
      </c>
      <c r="AK14" s="248">
        <f>EquipmentSpecs!L14</f>
        <v>1.04</v>
      </c>
      <c r="AL14" s="247">
        <f>O14*S14*AK14</f>
        <v>0</v>
      </c>
      <c r="AM14" s="252">
        <f>AL14*$AL$11</f>
        <v>0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3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1" si="4">(G15*(1+G15)^E15)/((1+G15)^E15-1)</f>
        <v>0.18067437783749629</v>
      </c>
      <c r="I15" s="225">
        <f>((C15-(F15*C15))*H15)+(G15*(F15*C15))</f>
        <v>3038.3422501252007</v>
      </c>
      <c r="J15" s="89">
        <f t="shared" ref="J15:J54" si="5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1"/>
        <v>10.303030303030303</v>
      </c>
      <c r="O15" s="226">
        <f>1/N15</f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f>Machine!B15</f>
        <v>0</v>
      </c>
      <c r="T15" s="89">
        <f>J15*O15*S15</f>
        <v>0</v>
      </c>
      <c r="U15" s="89">
        <f t="shared" ref="U15:U42" si="6">(((P15-(AQ15*P15))*AS15)+(AR15*(AQ15*P15)))/AO15</f>
        <v>75.989555598878766</v>
      </c>
      <c r="V15" s="89">
        <f>U15*O15*S15</f>
        <v>0</v>
      </c>
      <c r="W15" s="1144">
        <f t="shared" ref="W15:Y54" si="7">IF($T15&gt;0,((((($C15+($C15*$F15)+($C15/$E15))/2)*W$12)/$D15)*$O15),0)+IF($V15&gt;0,((((($P15+($P15*$AQ15)+($P15/$AP15))/2)*W$12)/$AO15)*$O15),0)</f>
        <v>0</v>
      </c>
      <c r="X15" s="1144">
        <f t="shared" si="2"/>
        <v>0</v>
      </c>
      <c r="Y15" s="1144">
        <f t="shared" si="2"/>
        <v>0</v>
      </c>
      <c r="Z15" s="1136">
        <f t="shared" ref="Z15:Z54" si="8">T15+V15+(SUM(W15:Y15)*S15)</f>
        <v>0</v>
      </c>
      <c r="AA15" s="227">
        <f>EquipmentSpecs!J15</f>
        <v>0.28999999999999998</v>
      </c>
      <c r="AB15" s="228">
        <f>EquipmentSpecs!K15</f>
        <v>1.8</v>
      </c>
      <c r="AC15" s="89">
        <f>(C15*AA15*(((E15*D15)/1000)^AB15)/(E15*D15))*O15*S15</f>
        <v>0</v>
      </c>
      <c r="AD15" s="84">
        <f>IF(Q15=4,0.003,0.007)</f>
        <v>3.0000000000000001E-3</v>
      </c>
      <c r="AE15" s="229">
        <v>2</v>
      </c>
      <c r="AF15" s="89">
        <f t="shared" ref="AF15:AF51" si="9">((P15*AD15*(((AP15*AO15)/1000)^AE15)/(AP15*AO15))*O15*S15)+AI15</f>
        <v>0</v>
      </c>
      <c r="AG15" s="229">
        <f>0.044*R15</f>
        <v>10.119999999999999</v>
      </c>
      <c r="AH15" s="89">
        <f>AG15*O15*$AI$11*S15</f>
        <v>0</v>
      </c>
      <c r="AI15" s="89">
        <f>AH15*0.1</f>
        <v>0</v>
      </c>
      <c r="AJ15" s="89">
        <f t="shared" ref="AJ15:AJ51" si="10">AH15</f>
        <v>0</v>
      </c>
      <c r="AK15" s="227">
        <f>EquipmentSpecs!L15</f>
        <v>1.04</v>
      </c>
      <c r="AL15" s="226">
        <f>O15*S15*AK15</f>
        <v>0</v>
      </c>
      <c r="AM15" s="230">
        <f>AL15*$AL$11</f>
        <v>0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3"/>
        <v>0.09</v>
      </c>
      <c r="AS15" s="437">
        <f t="shared" ref="AS15:AS51" si="11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4"/>
        <v>0.18067437783749629</v>
      </c>
      <c r="I16" s="225">
        <f>((C16-(F16*C16))*H16)+(G16*(F16*C16))</f>
        <v>2085.1368383212161</v>
      </c>
      <c r="J16" s="89">
        <f t="shared" si="5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>(K16*L16*M16)/8.25</f>
        <v>4.9454545454545453</v>
      </c>
      <c r="O16" s="226">
        <f>1/N16</f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f>Machine!B16</f>
        <v>0</v>
      </c>
      <c r="T16" s="89">
        <f>J16*O16*S16</f>
        <v>0</v>
      </c>
      <c r="U16" s="89">
        <f t="shared" si="6"/>
        <v>75.989555598878766</v>
      </c>
      <c r="V16" s="89">
        <f>U16*O16*S16</f>
        <v>0</v>
      </c>
      <c r="W16" s="1144">
        <f t="shared" si="7"/>
        <v>0</v>
      </c>
      <c r="X16" s="1144">
        <f t="shared" si="2"/>
        <v>0</v>
      </c>
      <c r="Y16" s="1144">
        <f t="shared" si="2"/>
        <v>0</v>
      </c>
      <c r="Z16" s="1136">
        <f t="shared" si="8"/>
        <v>0</v>
      </c>
      <c r="AA16" s="227">
        <f>EquipmentSpecs!J16</f>
        <v>0.28999999999999998</v>
      </c>
      <c r="AB16" s="228">
        <f>EquipmentSpecs!K16</f>
        <v>1.8</v>
      </c>
      <c r="AC16" s="89">
        <f>(C16*AA16*(((E16*D16)/1000)^AB16)/(E16*D16))*O16*S16</f>
        <v>0</v>
      </c>
      <c r="AD16" s="84">
        <f>IF(Q16=4,0.003,0.007)</f>
        <v>3.0000000000000001E-3</v>
      </c>
      <c r="AE16" s="229">
        <v>2</v>
      </c>
      <c r="AF16" s="89">
        <f t="shared" si="9"/>
        <v>0</v>
      </c>
      <c r="AG16" s="229">
        <f>0.044*R16</f>
        <v>10.119999999999999</v>
      </c>
      <c r="AH16" s="89">
        <f>AG16*O16*$AI$11*S16</f>
        <v>0</v>
      </c>
      <c r="AI16" s="89">
        <f>AH16*0.1</f>
        <v>0</v>
      </c>
      <c r="AJ16" s="89">
        <f t="shared" si="10"/>
        <v>0</v>
      </c>
      <c r="AK16" s="227">
        <f>EquipmentSpecs!L16</f>
        <v>1.04</v>
      </c>
      <c r="AL16" s="226">
        <f>O16*S16*AK16</f>
        <v>0</v>
      </c>
      <c r="AM16" s="230">
        <f>AL16*$AL$11</f>
        <v>0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3"/>
        <v>0.09</v>
      </c>
      <c r="AS16" s="437">
        <f t="shared" si="11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4"/>
        <v>0.18067437783749629</v>
      </c>
      <c r="I17" s="225">
        <f>((C17-(F17*C17))*H17)+(G17*(F17*C17))</f>
        <v>8295.8658496065527</v>
      </c>
      <c r="J17" s="89">
        <f t="shared" si="5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1"/>
        <v>15.660606060606058</v>
      </c>
      <c r="O17" s="226">
        <f>1/N17</f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f>Machine!B17</f>
        <v>0</v>
      </c>
      <c r="T17" s="89">
        <f>J17*O17*S17</f>
        <v>0</v>
      </c>
      <c r="U17" s="89">
        <f t="shared" si="6"/>
        <v>75.989555598878766</v>
      </c>
      <c r="V17" s="89">
        <f>U17*O17*S17</f>
        <v>0</v>
      </c>
      <c r="W17" s="1144">
        <f t="shared" si="7"/>
        <v>0</v>
      </c>
      <c r="X17" s="1144">
        <f t="shared" si="2"/>
        <v>0</v>
      </c>
      <c r="Y17" s="1144">
        <f t="shared" si="2"/>
        <v>0</v>
      </c>
      <c r="Z17" s="1136">
        <f t="shared" si="8"/>
        <v>0</v>
      </c>
      <c r="AA17" s="227">
        <f>EquipmentSpecs!J17</f>
        <v>0.18</v>
      </c>
      <c r="AB17" s="228">
        <f>EquipmentSpecs!K17</f>
        <v>1.7</v>
      </c>
      <c r="AC17" s="89">
        <f>(C17*AA17*(((E17*D17)/1000)^AB17)/(E17*D17))*O17*S17</f>
        <v>0</v>
      </c>
      <c r="AD17" s="84">
        <f>IF(Q17=4,0.003,0.007)</f>
        <v>3.0000000000000001E-3</v>
      </c>
      <c r="AE17" s="229">
        <v>2</v>
      </c>
      <c r="AF17" s="89">
        <f t="shared" si="9"/>
        <v>0</v>
      </c>
      <c r="AG17" s="229">
        <f>0.044*R17</f>
        <v>10.119999999999999</v>
      </c>
      <c r="AH17" s="89">
        <f>AG17*O17*$AI$11*S17</f>
        <v>0</v>
      </c>
      <c r="AI17" s="89">
        <f>AH17*0.1</f>
        <v>0</v>
      </c>
      <c r="AJ17" s="89">
        <f t="shared" si="10"/>
        <v>0</v>
      </c>
      <c r="AK17" s="227">
        <f>EquipmentSpecs!L17</f>
        <v>1.04</v>
      </c>
      <c r="AL17" s="226">
        <f>O17*S17*AK17</f>
        <v>0</v>
      </c>
      <c r="AM17" s="230">
        <f>AL17*$AL$11</f>
        <v>0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3"/>
        <v>0.09</v>
      </c>
      <c r="AS17" s="437">
        <f t="shared" si="11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4"/>
        <v>0.18067437783749629</v>
      </c>
      <c r="I18" s="225">
        <f>((C18-(F18*C18))*H18)+(G18*(F18*C18))</f>
        <v>5255.2895242974364</v>
      </c>
      <c r="J18" s="89">
        <f t="shared" si="5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>(K18*L18*M18)/8.25</f>
        <v>15.660606060606058</v>
      </c>
      <c r="O18" s="226">
        <f>1/N18</f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f>Machine!B18</f>
        <v>0</v>
      </c>
      <c r="T18" s="89">
        <f>J18*O18*S18</f>
        <v>0</v>
      </c>
      <c r="U18" s="89">
        <f t="shared" si="6"/>
        <v>75.989555598878766</v>
      </c>
      <c r="V18" s="89">
        <f>U18*O18*S18</f>
        <v>0</v>
      </c>
      <c r="W18" s="1144">
        <f t="shared" si="7"/>
        <v>0</v>
      </c>
      <c r="X18" s="1144">
        <f t="shared" si="2"/>
        <v>0</v>
      </c>
      <c r="Y18" s="1144">
        <f t="shared" si="2"/>
        <v>0</v>
      </c>
      <c r="Z18" s="1136">
        <f t="shared" si="8"/>
        <v>0</v>
      </c>
      <c r="AA18" s="227">
        <f>EquipmentSpecs!J18</f>
        <v>0.28999999999999998</v>
      </c>
      <c r="AB18" s="228">
        <f>EquipmentSpecs!K18</f>
        <v>1.8</v>
      </c>
      <c r="AC18" s="89">
        <f>(C18*AA18*(((E18*D18)/1000)^AB18)/(E18*D18))*O18*S18</f>
        <v>0</v>
      </c>
      <c r="AD18" s="84">
        <f>IF(Q18=4,0.003,0.007)</f>
        <v>3.0000000000000001E-3</v>
      </c>
      <c r="AE18" s="229">
        <v>2</v>
      </c>
      <c r="AF18" s="89">
        <f t="shared" si="9"/>
        <v>0</v>
      </c>
      <c r="AG18" s="229">
        <f>0.044*R18</f>
        <v>10.119999999999999</v>
      </c>
      <c r="AH18" s="89">
        <f>AG18*O18*$AI$11*S18</f>
        <v>0</v>
      </c>
      <c r="AI18" s="89">
        <f>AH18*0.1</f>
        <v>0</v>
      </c>
      <c r="AJ18" s="89">
        <f t="shared" si="10"/>
        <v>0</v>
      </c>
      <c r="AK18" s="227">
        <f>EquipmentSpecs!L18</f>
        <v>1.04</v>
      </c>
      <c r="AL18" s="226">
        <f>O18*S18*AK18</f>
        <v>0</v>
      </c>
      <c r="AM18" s="230">
        <f>AL18*$AL$11</f>
        <v>0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3"/>
        <v>0.09</v>
      </c>
      <c r="AS18" s="437">
        <f t="shared" si="11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4"/>
        <v>0.18067437783749629</v>
      </c>
      <c r="I19" s="225">
        <f t="shared" ref="I19:I51" si="12">((C19-(F19*C19))*H19)+(G19*(F19*C19))</f>
        <v>11170.375919577944</v>
      </c>
      <c r="J19" s="89">
        <f t="shared" si="5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1"/>
        <v>18.133333333333333</v>
      </c>
      <c r="O19" s="226">
        <f t="shared" ref="O19:O51" si="13">1/N19</f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f>Machine!B19</f>
        <v>0</v>
      </c>
      <c r="T19" s="89">
        <f t="shared" ref="T19:T51" si="14">J19*O19*S19</f>
        <v>0</v>
      </c>
      <c r="U19" s="89">
        <f t="shared" si="6"/>
        <v>75.989555598878766</v>
      </c>
      <c r="V19" s="89">
        <f t="shared" ref="V19:V51" si="15">U19*O19*S19</f>
        <v>0</v>
      </c>
      <c r="W19" s="1144">
        <f t="shared" si="7"/>
        <v>0</v>
      </c>
      <c r="X19" s="1144">
        <f t="shared" si="2"/>
        <v>0</v>
      </c>
      <c r="Y19" s="1144">
        <f t="shared" si="2"/>
        <v>0</v>
      </c>
      <c r="Z19" s="1136">
        <f t="shared" si="8"/>
        <v>0</v>
      </c>
      <c r="AA19" s="227">
        <f>EquipmentSpecs!J19</f>
        <v>0.18</v>
      </c>
      <c r="AB19" s="228">
        <f>EquipmentSpecs!K19</f>
        <v>1.7</v>
      </c>
      <c r="AC19" s="89">
        <f t="shared" ref="AC19:AC51" si="16">(C19*AA19*(((E19*D19)/1000)^AB19)/(E19*D19))*O19*S19</f>
        <v>0</v>
      </c>
      <c r="AD19" s="84">
        <f t="shared" ref="AD19:AD51" si="17">IF(Q19=4,0.003,0.007)</f>
        <v>3.0000000000000001E-3</v>
      </c>
      <c r="AE19" s="229">
        <v>2</v>
      </c>
      <c r="AF19" s="89">
        <f t="shared" si="9"/>
        <v>0</v>
      </c>
      <c r="AG19" s="229">
        <f t="shared" ref="AG19:AG51" si="18">0.044*R19</f>
        <v>10.119999999999999</v>
      </c>
      <c r="AH19" s="89">
        <f t="shared" ref="AH19:AH51" si="19">AG19*O19*$AI$11*S19</f>
        <v>0</v>
      </c>
      <c r="AI19" s="89">
        <f t="shared" ref="AI19:AI51" si="20">AH19*0.1</f>
        <v>0</v>
      </c>
      <c r="AJ19" s="89">
        <f t="shared" si="10"/>
        <v>0</v>
      </c>
      <c r="AK19" s="227">
        <f>EquipmentSpecs!L19</f>
        <v>1.04</v>
      </c>
      <c r="AL19" s="226">
        <f t="shared" ref="AL19:AL51" si="21">O19*S19*AK19</f>
        <v>0</v>
      </c>
      <c r="AM19" s="230">
        <f t="shared" ref="AM19:AM51" si="22">AL19*$AL$11</f>
        <v>0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3"/>
        <v>0.09</v>
      </c>
      <c r="AS19" s="437">
        <f t="shared" si="11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4"/>
        <v>0.18067437783749629</v>
      </c>
      <c r="I20" s="225">
        <f t="shared" si="12"/>
        <v>7700.1124672290634</v>
      </c>
      <c r="J20" s="89">
        <f t="shared" si="5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1"/>
        <v>16.581818181818182</v>
      </c>
      <c r="O20" s="226">
        <f t="shared" si="1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f>Machine!B20</f>
        <v>2</v>
      </c>
      <c r="T20" s="89">
        <f t="shared" si="14"/>
        <v>5.8046352206359444</v>
      </c>
      <c r="U20" s="89">
        <f t="shared" si="6"/>
        <v>75.989555598878766</v>
      </c>
      <c r="V20" s="89">
        <f t="shared" si="15"/>
        <v>9.1654069253033601</v>
      </c>
      <c r="W20" s="1144">
        <f t="shared" si="7"/>
        <v>0.37357464706688598</v>
      </c>
      <c r="X20" s="1144">
        <f t="shared" si="2"/>
        <v>0.37357464706688598</v>
      </c>
      <c r="Y20" s="1144">
        <f t="shared" si="2"/>
        <v>0.34368867530153502</v>
      </c>
      <c r="Z20" s="1136">
        <f t="shared" si="8"/>
        <v>17.151718084809918</v>
      </c>
      <c r="AA20" s="227">
        <f>EquipmentSpecs!J20</f>
        <v>0.18</v>
      </c>
      <c r="AB20" s="228">
        <f>EquipmentSpecs!K20</f>
        <v>1.7</v>
      </c>
      <c r="AC20" s="89">
        <f t="shared" si="16"/>
        <v>1.3341598710686824</v>
      </c>
      <c r="AD20" s="84">
        <f t="shared" si="17"/>
        <v>3.0000000000000001E-3</v>
      </c>
      <c r="AE20" s="229">
        <v>2</v>
      </c>
      <c r="AF20" s="89">
        <f t="shared" si="9"/>
        <v>0.83521842105263155</v>
      </c>
      <c r="AG20" s="229">
        <f t="shared" si="18"/>
        <v>10.119999999999999</v>
      </c>
      <c r="AH20" s="89">
        <f t="shared" si="19"/>
        <v>3.0027105263157892</v>
      </c>
      <c r="AI20" s="89">
        <f t="shared" si="20"/>
        <v>0.30027105263157894</v>
      </c>
      <c r="AJ20" s="89">
        <f t="shared" si="10"/>
        <v>3.0027105263157892</v>
      </c>
      <c r="AK20" s="227">
        <f>EquipmentSpecs!L20</f>
        <v>1.04</v>
      </c>
      <c r="AL20" s="226">
        <f t="shared" si="21"/>
        <v>0.12543859649122807</v>
      </c>
      <c r="AM20" s="230">
        <f t="shared" si="22"/>
        <v>1.8602543859649123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3"/>
        <v>0.09</v>
      </c>
      <c r="AS20" s="437">
        <f t="shared" si="11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4"/>
        <v>0.18067437783749629</v>
      </c>
      <c r="I21" s="225">
        <f t="shared" si="12"/>
        <v>7208.6159267676339</v>
      </c>
      <c r="J21" s="89">
        <f t="shared" si="5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1"/>
        <v>16.484848484848484</v>
      </c>
      <c r="O21" s="226">
        <f t="shared" si="1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f>Machine!B21</f>
        <v>0</v>
      </c>
      <c r="T21" s="89">
        <f t="shared" si="14"/>
        <v>0</v>
      </c>
      <c r="U21" s="89">
        <f t="shared" si="6"/>
        <v>75.989555598878766</v>
      </c>
      <c r="V21" s="89">
        <f t="shared" si="15"/>
        <v>0</v>
      </c>
      <c r="W21" s="1144">
        <f t="shared" si="7"/>
        <v>0</v>
      </c>
      <c r="X21" s="1144">
        <f t="shared" si="2"/>
        <v>0</v>
      </c>
      <c r="Y21" s="1144">
        <f t="shared" si="2"/>
        <v>0</v>
      </c>
      <c r="Z21" s="1136">
        <f t="shared" si="8"/>
        <v>0</v>
      </c>
      <c r="AA21" s="227">
        <f>EquipmentSpecs!J21</f>
        <v>0.28000000000000003</v>
      </c>
      <c r="AB21" s="228">
        <f>EquipmentSpecs!K21</f>
        <v>1.4</v>
      </c>
      <c r="AC21" s="89">
        <f t="shared" si="16"/>
        <v>0</v>
      </c>
      <c r="AD21" s="84">
        <f t="shared" si="17"/>
        <v>3.0000000000000001E-3</v>
      </c>
      <c r="AE21" s="229">
        <v>2</v>
      </c>
      <c r="AF21" s="89">
        <f t="shared" si="9"/>
        <v>0</v>
      </c>
      <c r="AG21" s="229">
        <f t="shared" si="18"/>
        <v>10.119999999999999</v>
      </c>
      <c r="AH21" s="89">
        <f t="shared" si="19"/>
        <v>0</v>
      </c>
      <c r="AI21" s="89">
        <f t="shared" si="20"/>
        <v>0</v>
      </c>
      <c r="AJ21" s="89">
        <f t="shared" si="10"/>
        <v>0</v>
      </c>
      <c r="AK21" s="227">
        <f>EquipmentSpecs!L21</f>
        <v>1.04</v>
      </c>
      <c r="AL21" s="226">
        <f t="shared" si="21"/>
        <v>0</v>
      </c>
      <c r="AM21" s="230">
        <f t="shared" si="22"/>
        <v>0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3"/>
        <v>0.09</v>
      </c>
      <c r="AS21" s="437">
        <f t="shared" si="11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4"/>
        <v>0.18067437783749629</v>
      </c>
      <c r="I22" s="225">
        <f t="shared" si="12"/>
        <v>6223.3887706608584</v>
      </c>
      <c r="J22" s="89">
        <f t="shared" si="5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>(K22*L22*M22)/8.25</f>
        <v>28.848484848484848</v>
      </c>
      <c r="O22" s="226">
        <f t="shared" si="1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f>Machine!B22</f>
        <v>0</v>
      </c>
      <c r="T22" s="89">
        <f t="shared" si="14"/>
        <v>0</v>
      </c>
      <c r="U22" s="89">
        <f t="shared" si="6"/>
        <v>61.186395417279016</v>
      </c>
      <c r="V22" s="89">
        <f t="shared" si="15"/>
        <v>0</v>
      </c>
      <c r="W22" s="1144">
        <f t="shared" si="7"/>
        <v>0</v>
      </c>
      <c r="X22" s="1144">
        <f t="shared" si="2"/>
        <v>0</v>
      </c>
      <c r="Y22" s="1144">
        <f t="shared" si="2"/>
        <v>0</v>
      </c>
      <c r="Z22" s="1136">
        <f t="shared" si="8"/>
        <v>0</v>
      </c>
      <c r="AA22" s="227">
        <f>EquipmentSpecs!J22</f>
        <v>0.27</v>
      </c>
      <c r="AB22" s="228">
        <f>EquipmentSpecs!K22</f>
        <v>1.4</v>
      </c>
      <c r="AC22" s="89">
        <f t="shared" si="16"/>
        <v>0</v>
      </c>
      <c r="AD22" s="84">
        <f t="shared" si="17"/>
        <v>3.0000000000000001E-3</v>
      </c>
      <c r="AE22" s="229">
        <v>2</v>
      </c>
      <c r="AF22" s="89">
        <f t="shared" si="9"/>
        <v>0</v>
      </c>
      <c r="AG22" s="229">
        <f t="shared" si="18"/>
        <v>8.58</v>
      </c>
      <c r="AH22" s="89">
        <f t="shared" si="19"/>
        <v>0</v>
      </c>
      <c r="AI22" s="89">
        <f t="shared" si="20"/>
        <v>0</v>
      </c>
      <c r="AJ22" s="89">
        <f t="shared" si="10"/>
        <v>0</v>
      </c>
      <c r="AK22" s="227">
        <f>EquipmentSpecs!L22</f>
        <v>1.04</v>
      </c>
      <c r="AL22" s="226">
        <f t="shared" si="21"/>
        <v>0</v>
      </c>
      <c r="AM22" s="230">
        <f t="shared" si="22"/>
        <v>0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3"/>
        <v>0.09</v>
      </c>
      <c r="AS22" s="437">
        <f t="shared" si="11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4"/>
        <v>0.18067437783749629</v>
      </c>
      <c r="I23" s="225">
        <f t="shared" si="12"/>
        <v>3266.6229483258967</v>
      </c>
      <c r="J23" s="89">
        <f t="shared" si="5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1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f>Machine!B23</f>
        <v>0</v>
      </c>
      <c r="T23" s="89">
        <f t="shared" si="14"/>
        <v>0</v>
      </c>
      <c r="U23" s="89">
        <f t="shared" si="6"/>
        <v>75.989555598878766</v>
      </c>
      <c r="V23" s="89">
        <f t="shared" si="15"/>
        <v>0</v>
      </c>
      <c r="W23" s="1144">
        <f t="shared" si="7"/>
        <v>0</v>
      </c>
      <c r="X23" s="1144">
        <f t="shared" si="2"/>
        <v>0</v>
      </c>
      <c r="Y23" s="1144">
        <f t="shared" si="2"/>
        <v>0</v>
      </c>
      <c r="Z23" s="1136">
        <f t="shared" si="8"/>
        <v>0</v>
      </c>
      <c r="AA23" s="227">
        <f>EquipmentSpecs!J23</f>
        <v>0.16</v>
      </c>
      <c r="AB23" s="228">
        <f>EquipmentSpecs!K23</f>
        <v>1.3</v>
      </c>
      <c r="AC23" s="89">
        <f t="shared" si="16"/>
        <v>0</v>
      </c>
      <c r="AD23" s="84">
        <f t="shared" si="17"/>
        <v>3.0000000000000001E-3</v>
      </c>
      <c r="AE23" s="229">
        <v>2</v>
      </c>
      <c r="AF23" s="89">
        <f t="shared" si="9"/>
        <v>0</v>
      </c>
      <c r="AG23" s="229">
        <f t="shared" si="18"/>
        <v>10.119999999999999</v>
      </c>
      <c r="AH23" s="89">
        <f t="shared" si="19"/>
        <v>0</v>
      </c>
      <c r="AI23" s="89">
        <f t="shared" si="20"/>
        <v>0</v>
      </c>
      <c r="AJ23" s="89">
        <f t="shared" si="10"/>
        <v>0</v>
      </c>
      <c r="AK23" s="227">
        <f>EquipmentSpecs!L23</f>
        <v>1.04</v>
      </c>
      <c r="AL23" s="226">
        <f t="shared" si="21"/>
        <v>0</v>
      </c>
      <c r="AM23" s="230">
        <f t="shared" si="22"/>
        <v>0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3"/>
        <v>0.09</v>
      </c>
      <c r="AS23" s="437">
        <f t="shared" si="11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4"/>
        <v>0.18067437783749629</v>
      </c>
      <c r="I24" s="225">
        <f>((C24-(F24*C24))*H24)+(G24*(F24*C24))</f>
        <v>4840.4962318171092</v>
      </c>
      <c r="J24" s="89">
        <f t="shared" si="5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>1/N24</f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f>Machine!B24</f>
        <v>0</v>
      </c>
      <c r="T24" s="89">
        <f>J24*O24*S24</f>
        <v>0</v>
      </c>
      <c r="U24" s="89">
        <f t="shared" si="6"/>
        <v>75.989555598878766</v>
      </c>
      <c r="V24" s="89">
        <f>U24*O24*S24</f>
        <v>0</v>
      </c>
      <c r="W24" s="1144">
        <f t="shared" si="7"/>
        <v>0</v>
      </c>
      <c r="X24" s="1144">
        <f t="shared" si="2"/>
        <v>0</v>
      </c>
      <c r="Y24" s="1144">
        <f t="shared" si="2"/>
        <v>0</v>
      </c>
      <c r="Z24" s="1136">
        <f t="shared" si="8"/>
        <v>0</v>
      </c>
      <c r="AA24" s="227">
        <f>EquipmentSpecs!J24</f>
        <v>0.16</v>
      </c>
      <c r="AB24" s="228">
        <f>EquipmentSpecs!K24</f>
        <v>1.3</v>
      </c>
      <c r="AC24" s="89">
        <f>(C24*AA24*(((E24*D24)/1000)^AB24)/(E24*D24))*O24*S24</f>
        <v>0</v>
      </c>
      <c r="AD24" s="84">
        <f>IF(Q24=4,0.003,0.007)</f>
        <v>3.0000000000000001E-3</v>
      </c>
      <c r="AE24" s="229">
        <v>2</v>
      </c>
      <c r="AF24" s="89">
        <f t="shared" si="9"/>
        <v>0</v>
      </c>
      <c r="AG24" s="229">
        <f>0.044*R24</f>
        <v>10.119999999999999</v>
      </c>
      <c r="AH24" s="89">
        <f>AG24*O24*$AI$11*S24</f>
        <v>0</v>
      </c>
      <c r="AI24" s="89">
        <f>AH24*0.1</f>
        <v>0</v>
      </c>
      <c r="AJ24" s="89">
        <f t="shared" si="10"/>
        <v>0</v>
      </c>
      <c r="AK24" s="227">
        <f>EquipmentSpecs!L24</f>
        <v>1.04</v>
      </c>
      <c r="AL24" s="226">
        <f>O24*S24*AK24</f>
        <v>0</v>
      </c>
      <c r="AM24" s="230">
        <f>AL24*$AL$11</f>
        <v>0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3"/>
        <v>0.09</v>
      </c>
      <c r="AS24" s="437">
        <f t="shared" si="11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4"/>
        <v>0.18067437783749629</v>
      </c>
      <c r="I25" s="225">
        <f t="shared" si="12"/>
        <v>1161.7190956361062</v>
      </c>
      <c r="J25" s="89">
        <f t="shared" si="5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1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f>Machine!B25</f>
        <v>0</v>
      </c>
      <c r="T25" s="89">
        <f t="shared" si="14"/>
        <v>0</v>
      </c>
      <c r="U25" s="89">
        <f t="shared" si="6"/>
        <v>36.514461781279415</v>
      </c>
      <c r="V25" s="89">
        <f t="shared" si="15"/>
        <v>0</v>
      </c>
      <c r="W25" s="1144">
        <f t="shared" si="7"/>
        <v>0</v>
      </c>
      <c r="X25" s="1144">
        <f t="shared" si="2"/>
        <v>0</v>
      </c>
      <c r="Y25" s="1144">
        <f t="shared" si="2"/>
        <v>0</v>
      </c>
      <c r="Z25" s="1136">
        <f t="shared" si="8"/>
        <v>0</v>
      </c>
      <c r="AA25" s="227">
        <f>EquipmentSpecs!J25</f>
        <v>0.28000000000000003</v>
      </c>
      <c r="AB25" s="228">
        <f>EquipmentSpecs!K25</f>
        <v>1.4</v>
      </c>
      <c r="AC25" s="89">
        <f t="shared" si="16"/>
        <v>0</v>
      </c>
      <c r="AD25" s="84">
        <f t="shared" si="17"/>
        <v>3.0000000000000001E-3</v>
      </c>
      <c r="AE25" s="229">
        <v>2</v>
      </c>
      <c r="AF25" s="89">
        <f t="shared" si="9"/>
        <v>0</v>
      </c>
      <c r="AG25" s="229">
        <f t="shared" si="18"/>
        <v>7.6999999999999993</v>
      </c>
      <c r="AH25" s="89">
        <f t="shared" si="19"/>
        <v>0</v>
      </c>
      <c r="AI25" s="89">
        <f t="shared" si="20"/>
        <v>0</v>
      </c>
      <c r="AJ25" s="89">
        <f t="shared" si="10"/>
        <v>0</v>
      </c>
      <c r="AK25" s="227">
        <f>EquipmentSpecs!L25</f>
        <v>1.04</v>
      </c>
      <c r="AL25" s="226">
        <f t="shared" si="21"/>
        <v>0</v>
      </c>
      <c r="AM25" s="230">
        <f t="shared" si="22"/>
        <v>0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3"/>
        <v>0.09</v>
      </c>
      <c r="AS25" s="437">
        <f t="shared" si="11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4"/>
        <v>0.18067437783749629</v>
      </c>
      <c r="I26" s="225">
        <f>((C26-(F26*C26))*H26)+(G26*(F26*C26))</f>
        <v>13836.372305717214</v>
      </c>
      <c r="J26" s="89">
        <f t="shared" si="5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>(K26*L26*M26)/8.25</f>
        <v>20.363636363636363</v>
      </c>
      <c r="O26" s="226">
        <f>1/N26</f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f>Machine!B26</f>
        <v>0</v>
      </c>
      <c r="T26" s="89">
        <f>J26*O26*S26</f>
        <v>0</v>
      </c>
      <c r="U26" s="89">
        <f t="shared" si="6"/>
        <v>75.989555598878766</v>
      </c>
      <c r="V26" s="89">
        <f>U26*O26*S26</f>
        <v>0</v>
      </c>
      <c r="W26" s="1144">
        <f t="shared" si="7"/>
        <v>0</v>
      </c>
      <c r="X26" s="1144">
        <f t="shared" si="2"/>
        <v>0</v>
      </c>
      <c r="Y26" s="1144">
        <f t="shared" si="2"/>
        <v>0</v>
      </c>
      <c r="Z26" s="1136">
        <f t="shared" si="8"/>
        <v>0</v>
      </c>
      <c r="AA26" s="227">
        <f>EquipmentSpecs!J26</f>
        <v>0.23</v>
      </c>
      <c r="AB26" s="228">
        <f>EquipmentSpecs!K26</f>
        <v>1.4</v>
      </c>
      <c r="AC26" s="89">
        <f>(C26*AA26*(((E26*D26)/1000)^AB26)/(E26*D26))*O26*S26</f>
        <v>0</v>
      </c>
      <c r="AD26" s="84">
        <f>IF(Q26=4,0.003,0.007)</f>
        <v>3.0000000000000001E-3</v>
      </c>
      <c r="AE26" s="229">
        <v>2</v>
      </c>
      <c r="AF26" s="89">
        <f t="shared" si="9"/>
        <v>0</v>
      </c>
      <c r="AG26" s="229">
        <f>0.044*R26</f>
        <v>10.119999999999999</v>
      </c>
      <c r="AH26" s="89">
        <f>AG26*O26*$AI$11*S26</f>
        <v>0</v>
      </c>
      <c r="AI26" s="89">
        <f>AH26*0.1</f>
        <v>0</v>
      </c>
      <c r="AJ26" s="89">
        <f t="shared" si="10"/>
        <v>0</v>
      </c>
      <c r="AK26" s="227">
        <f>EquipmentSpecs!L26</f>
        <v>1.04</v>
      </c>
      <c r="AL26" s="226">
        <f>O26*S26*AK26</f>
        <v>0</v>
      </c>
      <c r="AM26" s="230">
        <f>AL26*$AL$11</f>
        <v>0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3"/>
        <v>0.09</v>
      </c>
      <c r="AS26" s="437">
        <f t="shared" si="11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>(G27*(1+G27)^E27)/((1+G27)^E27-1)</f>
        <v>0.18067437783749629</v>
      </c>
      <c r="I27" s="225">
        <f>((C27-(F27*C27))*H27)+(G27*(F27*C27))</f>
        <v>5197.9482612436041</v>
      </c>
      <c r="J27" s="89">
        <f t="shared" si="5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>(K27*L27*M27)/8.25</f>
        <v>30.545454545454547</v>
      </c>
      <c r="O27" s="226">
        <f>1/N27</f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f>Machine!B27</f>
        <v>0</v>
      </c>
      <c r="T27" s="89">
        <f>J27*O27*S27</f>
        <v>0</v>
      </c>
      <c r="U27" s="89">
        <f t="shared" si="6"/>
        <v>75.989555598878766</v>
      </c>
      <c r="V27" s="89">
        <f>U27*O27*S27</f>
        <v>0</v>
      </c>
      <c r="W27" s="1144">
        <f t="shared" si="7"/>
        <v>0</v>
      </c>
      <c r="X27" s="1144">
        <f t="shared" si="2"/>
        <v>0</v>
      </c>
      <c r="Y27" s="1144">
        <f t="shared" si="2"/>
        <v>0</v>
      </c>
      <c r="Z27" s="1136">
        <f t="shared" si="8"/>
        <v>0</v>
      </c>
      <c r="AA27" s="227">
        <f>EquipmentSpecs!J27</f>
        <v>0.23</v>
      </c>
      <c r="AB27" s="228">
        <f>EquipmentSpecs!K27</f>
        <v>1.4</v>
      </c>
      <c r="AC27" s="89">
        <f>(C27*AA27*(((E27*D27)/1000)^AB27)/(E27*D27))*O27*S27</f>
        <v>0</v>
      </c>
      <c r="AD27" s="84">
        <f>IF(Q27=4,0.003,0.007)</f>
        <v>3.0000000000000001E-3</v>
      </c>
      <c r="AE27" s="229">
        <v>2</v>
      </c>
      <c r="AF27" s="89">
        <f t="shared" si="9"/>
        <v>0</v>
      </c>
      <c r="AG27" s="229">
        <f>0.044*R27</f>
        <v>10.119999999999999</v>
      </c>
      <c r="AH27" s="89">
        <f>AG27*O27*$AI$11*S27</f>
        <v>0</v>
      </c>
      <c r="AI27" s="89">
        <f>AH27*0.1</f>
        <v>0</v>
      </c>
      <c r="AJ27" s="89">
        <f t="shared" si="10"/>
        <v>0</v>
      </c>
      <c r="AK27" s="227">
        <f>EquipmentSpecs!L27</f>
        <v>1.04</v>
      </c>
      <c r="AL27" s="226">
        <f>O27*S27*AK27</f>
        <v>0</v>
      </c>
      <c r="AM27" s="230">
        <f>AL27*$AL$11</f>
        <v>0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3"/>
        <v>0.09</v>
      </c>
      <c r="AS27" s="437">
        <f t="shared" si="11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4"/>
        <v>0.18067437783749629</v>
      </c>
      <c r="I28" s="225">
        <f t="shared" si="12"/>
        <v>11438.464941647813</v>
      </c>
      <c r="J28" s="89">
        <f t="shared" si="5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ref="N28:N40" si="23">(K28*L28*M28)/8.25</f>
        <v>30.290909090909093</v>
      </c>
      <c r="O28" s="226">
        <f t="shared" si="1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f>Machine!B28</f>
        <v>0</v>
      </c>
      <c r="T28" s="89">
        <f t="shared" si="14"/>
        <v>0</v>
      </c>
      <c r="U28" s="89">
        <f t="shared" si="6"/>
        <v>75.989555598878766</v>
      </c>
      <c r="V28" s="89">
        <f t="shared" si="15"/>
        <v>0</v>
      </c>
      <c r="W28" s="1144">
        <f t="shared" si="7"/>
        <v>0</v>
      </c>
      <c r="X28" s="1144">
        <f t="shared" si="2"/>
        <v>0</v>
      </c>
      <c r="Y28" s="1144">
        <f t="shared" si="2"/>
        <v>0</v>
      </c>
      <c r="Z28" s="1136">
        <f t="shared" si="8"/>
        <v>0</v>
      </c>
      <c r="AA28" s="227">
        <f>EquipmentSpecs!J28</f>
        <v>0.27</v>
      </c>
      <c r="AB28" s="228">
        <f>EquipmentSpecs!K28</f>
        <v>1.4</v>
      </c>
      <c r="AC28" s="89">
        <f t="shared" si="16"/>
        <v>0</v>
      </c>
      <c r="AD28" s="84">
        <f t="shared" si="17"/>
        <v>3.0000000000000001E-3</v>
      </c>
      <c r="AE28" s="229">
        <v>2</v>
      </c>
      <c r="AF28" s="89">
        <f t="shared" si="9"/>
        <v>0</v>
      </c>
      <c r="AG28" s="229">
        <f t="shared" si="18"/>
        <v>10.119999999999999</v>
      </c>
      <c r="AH28" s="89">
        <f t="shared" si="19"/>
        <v>0</v>
      </c>
      <c r="AI28" s="89">
        <f t="shared" si="20"/>
        <v>0</v>
      </c>
      <c r="AJ28" s="89">
        <f t="shared" si="10"/>
        <v>0</v>
      </c>
      <c r="AK28" s="227">
        <f>EquipmentSpecs!L28</f>
        <v>1.04</v>
      </c>
      <c r="AL28" s="226">
        <f t="shared" si="21"/>
        <v>0</v>
      </c>
      <c r="AM28" s="230">
        <f t="shared" si="22"/>
        <v>0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3"/>
        <v>0.09</v>
      </c>
      <c r="AS28" s="437">
        <f t="shared" si="11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4"/>
        <v>0.18067437783749629</v>
      </c>
      <c r="I29" s="225">
        <f>((C29-(F29*C29))*H29)+(G29*(F29*C29))</f>
        <v>4348.9996913556797</v>
      </c>
      <c r="J29" s="89">
        <f t="shared" si="5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>(K29*L29*M29)/8.25</f>
        <v>25.793939393939397</v>
      </c>
      <c r="O29" s="226">
        <f>1/N29</f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f>Machine!B29</f>
        <v>1</v>
      </c>
      <c r="T29" s="89">
        <f>J29*O29*S29</f>
        <v>1.4050457179544311</v>
      </c>
      <c r="U29" s="89">
        <f t="shared" si="6"/>
        <v>75.989555598878766</v>
      </c>
      <c r="V29" s="89">
        <f>U29*O29*S29</f>
        <v>2.9460236545617939</v>
      </c>
      <c r="W29" s="1144">
        <f t="shared" si="7"/>
        <v>0.2173411066729323</v>
      </c>
      <c r="X29" s="1144">
        <f t="shared" si="2"/>
        <v>0.2173411066729323</v>
      </c>
      <c r="Y29" s="1144">
        <f t="shared" si="2"/>
        <v>0.19995381813909768</v>
      </c>
      <c r="Z29" s="1136">
        <f t="shared" si="8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>(C29*AA29*(((E29*D29)/1000)^AB29)/(E29*D29))*O29*S29</f>
        <v>0.18324814094047631</v>
      </c>
      <c r="AD29" s="84">
        <f>IF(Q29=4,0.003,0.007)</f>
        <v>3.0000000000000001E-3</v>
      </c>
      <c r="AE29" s="229">
        <v>2</v>
      </c>
      <c r="AF29" s="89">
        <f t="shared" si="9"/>
        <v>0.26846306390977437</v>
      </c>
      <c r="AG29" s="229">
        <f>0.044*R29</f>
        <v>10.119999999999999</v>
      </c>
      <c r="AH29" s="89">
        <f>AG29*O29*$AI$11*S29</f>
        <v>0.96515695488721776</v>
      </c>
      <c r="AI29" s="89">
        <f>AH29*0.1</f>
        <v>9.6515695488721784E-2</v>
      </c>
      <c r="AJ29" s="89">
        <f t="shared" si="10"/>
        <v>0.96515695488721776</v>
      </c>
      <c r="AK29" s="227">
        <f>EquipmentSpecs!L29</f>
        <v>1.04</v>
      </c>
      <c r="AL29" s="226">
        <f>O29*S29*AK29</f>
        <v>4.0319548872180443E-2</v>
      </c>
      <c r="AM29" s="230">
        <f>AL29*$AL$11</f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3"/>
        <v>0.09</v>
      </c>
      <c r="AS29" s="437">
        <f t="shared" si="11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4"/>
        <v>0.18067437783749629</v>
      </c>
      <c r="I30" s="225">
        <f t="shared" si="12"/>
        <v>1830.1094706569729</v>
      </c>
      <c r="J30" s="89">
        <f t="shared" si="5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1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f>Machine!B30</f>
        <v>0</v>
      </c>
      <c r="T30" s="89">
        <f t="shared" si="14"/>
        <v>0</v>
      </c>
      <c r="U30" s="89">
        <f t="shared" si="6"/>
        <v>36.514461781279415</v>
      </c>
      <c r="V30" s="89">
        <f t="shared" si="15"/>
        <v>0</v>
      </c>
      <c r="W30" s="1144">
        <f t="shared" si="7"/>
        <v>0</v>
      </c>
      <c r="X30" s="1144">
        <f t="shared" si="7"/>
        <v>0</v>
      </c>
      <c r="Y30" s="1144">
        <f t="shared" si="7"/>
        <v>0</v>
      </c>
      <c r="Z30" s="1136">
        <f t="shared" si="8"/>
        <v>0</v>
      </c>
      <c r="AA30" s="227">
        <f>EquipmentSpecs!J30</f>
        <v>0.41</v>
      </c>
      <c r="AB30" s="228">
        <f>EquipmentSpecs!K30</f>
        <v>1.3</v>
      </c>
      <c r="AC30" s="89">
        <f t="shared" si="16"/>
        <v>0</v>
      </c>
      <c r="AD30" s="84">
        <f t="shared" si="17"/>
        <v>3.0000000000000001E-3</v>
      </c>
      <c r="AE30" s="229">
        <v>2</v>
      </c>
      <c r="AF30" s="89">
        <f t="shared" si="9"/>
        <v>0</v>
      </c>
      <c r="AG30" s="229">
        <f t="shared" si="18"/>
        <v>7.6999999999999993</v>
      </c>
      <c r="AH30" s="89">
        <f t="shared" si="19"/>
        <v>0</v>
      </c>
      <c r="AI30" s="89">
        <f t="shared" si="20"/>
        <v>0</v>
      </c>
      <c r="AJ30" s="89">
        <f t="shared" si="10"/>
        <v>0</v>
      </c>
      <c r="AK30" s="227">
        <f>EquipmentSpecs!L30</f>
        <v>1.04</v>
      </c>
      <c r="AL30" s="226">
        <f t="shared" si="21"/>
        <v>0</v>
      </c>
      <c r="AM30" s="230">
        <f t="shared" si="22"/>
        <v>0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3"/>
        <v>0.09</v>
      </c>
      <c r="AS30" s="437">
        <f t="shared" si="11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>(G31*(1+G31)^E31)/((1+G31)^E31-1)</f>
        <v>0.18067437783749629</v>
      </c>
      <c r="I31" s="225">
        <f>((C31-(F31*C31))*H31)+(G31*(F31*C31))</f>
        <v>2393.2200770129648</v>
      </c>
      <c r="J31" s="89">
        <f t="shared" si="5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>(K31*L31*M31)/8.25</f>
        <v>35.927272727272729</v>
      </c>
      <c r="O31" s="226">
        <f>1/N31</f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f>Machine!B31</f>
        <v>0</v>
      </c>
      <c r="T31" s="89">
        <f>J31*O31*S31</f>
        <v>0</v>
      </c>
      <c r="U31" s="89">
        <f>(((P31-(AQ31*P31))*AS31)+(AR31*(AQ31*P31)))/AO31</f>
        <v>36.514461781279415</v>
      </c>
      <c r="V31" s="89">
        <f>U31*O31*S31</f>
        <v>0</v>
      </c>
      <c r="W31" s="1144">
        <f t="shared" si="7"/>
        <v>0</v>
      </c>
      <c r="X31" s="1144">
        <f t="shared" si="7"/>
        <v>0</v>
      </c>
      <c r="Y31" s="1144">
        <f t="shared" si="7"/>
        <v>0</v>
      </c>
      <c r="Z31" s="1136">
        <f t="shared" si="8"/>
        <v>0</v>
      </c>
      <c r="AA31" s="227">
        <f>EquipmentSpecs!J31</f>
        <v>0.41</v>
      </c>
      <c r="AB31" s="228">
        <f>EquipmentSpecs!K31</f>
        <v>1.3</v>
      </c>
      <c r="AC31" s="89">
        <f>(C31*AA31*(((E31*D31)/1000)^AB31)/(E31*D31))*O31*S31</f>
        <v>0</v>
      </c>
      <c r="AD31" s="84">
        <f>IF(Q31=4,0.003,0.007)</f>
        <v>3.0000000000000001E-3</v>
      </c>
      <c r="AE31" s="229">
        <v>2</v>
      </c>
      <c r="AF31" s="89">
        <f t="shared" si="9"/>
        <v>0</v>
      </c>
      <c r="AG31" s="229">
        <f>0.044*R31</f>
        <v>7.6999999999999993</v>
      </c>
      <c r="AH31" s="89">
        <f>AG31*O31*$AI$11*S31</f>
        <v>0</v>
      </c>
      <c r="AI31" s="89">
        <f>AH31*0.1</f>
        <v>0</v>
      </c>
      <c r="AJ31" s="89">
        <f t="shared" si="10"/>
        <v>0</v>
      </c>
      <c r="AK31" s="227">
        <f>EquipmentSpecs!L31</f>
        <v>1.04</v>
      </c>
      <c r="AL31" s="226">
        <f>O31*S31*AK31</f>
        <v>0</v>
      </c>
      <c r="AM31" s="230">
        <f>AL31*$AL$11</f>
        <v>0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3"/>
        <v>0.09</v>
      </c>
      <c r="AS31" s="437">
        <f>(AR31*(1+AR31)^AP31)/((1+AR31)^AP31-1)</f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4"/>
        <v>0.18067437783749629</v>
      </c>
      <c r="I32" s="225">
        <f t="shared" si="12"/>
        <v>1248.6591297431053</v>
      </c>
      <c r="J32" s="89">
        <f t="shared" si="5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1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f>Machine!B32</f>
        <v>0</v>
      </c>
      <c r="T32" s="89">
        <f t="shared" si="14"/>
        <v>0</v>
      </c>
      <c r="U32" s="89">
        <f t="shared" si="6"/>
        <v>61.186395417279016</v>
      </c>
      <c r="V32" s="89">
        <f t="shared" si="15"/>
        <v>0</v>
      </c>
      <c r="W32" s="1144">
        <f t="shared" si="7"/>
        <v>0</v>
      </c>
      <c r="X32" s="1144">
        <f t="shared" si="7"/>
        <v>0</v>
      </c>
      <c r="Y32" s="1144">
        <f t="shared" si="7"/>
        <v>0</v>
      </c>
      <c r="Z32" s="1136">
        <f t="shared" si="8"/>
        <v>0</v>
      </c>
      <c r="AA32" s="227">
        <f>EquipmentSpecs!J32</f>
        <v>0.16</v>
      </c>
      <c r="AB32" s="228">
        <f>EquipmentSpecs!K32</f>
        <v>1.3</v>
      </c>
      <c r="AC32" s="89">
        <f t="shared" si="16"/>
        <v>0</v>
      </c>
      <c r="AD32" s="84">
        <f t="shared" si="17"/>
        <v>3.0000000000000001E-3</v>
      </c>
      <c r="AE32" s="229">
        <v>2</v>
      </c>
      <c r="AF32" s="89">
        <f t="shared" si="9"/>
        <v>0</v>
      </c>
      <c r="AG32" s="229">
        <f t="shared" si="18"/>
        <v>8.58</v>
      </c>
      <c r="AH32" s="89">
        <f t="shared" si="19"/>
        <v>0</v>
      </c>
      <c r="AI32" s="89">
        <f t="shared" si="20"/>
        <v>0</v>
      </c>
      <c r="AJ32" s="89">
        <f t="shared" si="10"/>
        <v>0</v>
      </c>
      <c r="AK32" s="227">
        <f>EquipmentSpecs!L32</f>
        <v>1.04</v>
      </c>
      <c r="AL32" s="226">
        <f t="shared" si="21"/>
        <v>0</v>
      </c>
      <c r="AM32" s="230">
        <f t="shared" si="22"/>
        <v>0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3"/>
        <v>0.09</v>
      </c>
      <c r="AS32" s="437">
        <f t="shared" si="11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4"/>
        <v>0.18067437783749629</v>
      </c>
      <c r="I33" s="225">
        <f t="shared" si="12"/>
        <v>1983.108738505402</v>
      </c>
      <c r="J33" s="89">
        <f t="shared" si="5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1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f>Machine!B33</f>
        <v>0</v>
      </c>
      <c r="T33" s="89">
        <f t="shared" si="14"/>
        <v>0</v>
      </c>
      <c r="U33" s="89">
        <f t="shared" si="6"/>
        <v>61.186395417279016</v>
      </c>
      <c r="V33" s="89">
        <f t="shared" si="15"/>
        <v>0</v>
      </c>
      <c r="W33" s="1144">
        <f t="shared" si="7"/>
        <v>0</v>
      </c>
      <c r="X33" s="1144">
        <f t="shared" si="7"/>
        <v>0</v>
      </c>
      <c r="Y33" s="1144">
        <f t="shared" si="7"/>
        <v>0</v>
      </c>
      <c r="Z33" s="1136">
        <f t="shared" si="8"/>
        <v>0</v>
      </c>
      <c r="AA33" s="227">
        <f>EquipmentSpecs!J33</f>
        <v>0.63</v>
      </c>
      <c r="AB33" s="228">
        <f>EquipmentSpecs!K33</f>
        <v>1.3</v>
      </c>
      <c r="AC33" s="89">
        <f t="shared" si="16"/>
        <v>0</v>
      </c>
      <c r="AD33" s="84">
        <f t="shared" si="17"/>
        <v>3.0000000000000001E-3</v>
      </c>
      <c r="AE33" s="229">
        <v>2</v>
      </c>
      <c r="AF33" s="89">
        <f t="shared" si="9"/>
        <v>0</v>
      </c>
      <c r="AG33" s="229">
        <f t="shared" si="18"/>
        <v>8.58</v>
      </c>
      <c r="AH33" s="89">
        <f t="shared" si="19"/>
        <v>0</v>
      </c>
      <c r="AI33" s="89">
        <f t="shared" si="20"/>
        <v>0</v>
      </c>
      <c r="AJ33" s="89">
        <f t="shared" si="10"/>
        <v>0</v>
      </c>
      <c r="AK33" s="227">
        <f>EquipmentSpecs!L33</f>
        <v>1.33</v>
      </c>
      <c r="AL33" s="226">
        <f t="shared" si="21"/>
        <v>0</v>
      </c>
      <c r="AM33" s="230">
        <f t="shared" si="22"/>
        <v>0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3"/>
        <v>0.09</v>
      </c>
      <c r="AS33" s="437">
        <f t="shared" si="11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4"/>
        <v>0.18067437783749629</v>
      </c>
      <c r="I34" s="225">
        <f t="shared" si="12"/>
        <v>3851.0187968796122</v>
      </c>
      <c r="J34" s="89">
        <f t="shared" si="5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1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f>Machine!B34</f>
        <v>1</v>
      </c>
      <c r="T34" s="89">
        <f t="shared" si="14"/>
        <v>0.8782315644144405</v>
      </c>
      <c r="U34" s="89">
        <f t="shared" si="6"/>
        <v>75.989555598878766</v>
      </c>
      <c r="V34" s="89">
        <f t="shared" si="15"/>
        <v>2.772728145469924</v>
      </c>
      <c r="W34" s="1144">
        <f t="shared" si="7"/>
        <v>0.18200638890424592</v>
      </c>
      <c r="X34" s="1144">
        <f t="shared" si="7"/>
        <v>0.18200638890424592</v>
      </c>
      <c r="Y34" s="1144">
        <f t="shared" si="7"/>
        <v>0.1674458777919062</v>
      </c>
      <c r="Z34" s="1136">
        <f t="shared" si="8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16"/>
        <v>0.27946939937109178</v>
      </c>
      <c r="AD34" s="84">
        <f t="shared" si="17"/>
        <v>3.0000000000000001E-3</v>
      </c>
      <c r="AE34" s="229">
        <v>2</v>
      </c>
      <c r="AF34" s="89">
        <f t="shared" si="9"/>
        <v>0.25267111897390537</v>
      </c>
      <c r="AG34" s="229">
        <f t="shared" si="18"/>
        <v>10.119999999999999</v>
      </c>
      <c r="AH34" s="89">
        <f t="shared" si="19"/>
        <v>0.90838301636444041</v>
      </c>
      <c r="AI34" s="89">
        <f t="shared" si="20"/>
        <v>9.0838301636444047E-2</v>
      </c>
      <c r="AJ34" s="89">
        <f t="shared" si="10"/>
        <v>0.90838301636444041</v>
      </c>
      <c r="AK34" s="227">
        <f>EquipmentSpecs!L34</f>
        <v>1.04</v>
      </c>
      <c r="AL34" s="226">
        <f t="shared" si="21"/>
        <v>3.7947810703228661E-2</v>
      </c>
      <c r="AM34" s="230">
        <f t="shared" si="22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3"/>
        <v>0.09</v>
      </c>
      <c r="AS34" s="437">
        <f t="shared" si="11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4"/>
        <v>0.18067437783749629</v>
      </c>
      <c r="I35" s="225">
        <f t="shared" si="12"/>
        <v>12669.988643009812</v>
      </c>
      <c r="J35" s="89">
        <f t="shared" si="5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1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f>Machine!B35</f>
        <v>1</v>
      </c>
      <c r="T35" s="89">
        <f t="shared" si="14"/>
        <v>4.6531074743959646</v>
      </c>
      <c r="U35" s="89">
        <f t="shared" si="6"/>
        <v>61.186395417279016</v>
      </c>
      <c r="V35" s="89">
        <f t="shared" si="15"/>
        <v>3.5953544315708821</v>
      </c>
      <c r="W35" s="1144">
        <f t="shared" si="7"/>
        <v>0.43897536057692299</v>
      </c>
      <c r="X35" s="1144">
        <f t="shared" si="7"/>
        <v>0.43897536057692299</v>
      </c>
      <c r="Y35" s="1144">
        <f t="shared" si="7"/>
        <v>0.40385733173076915</v>
      </c>
      <c r="Z35" s="1136">
        <f t="shared" si="8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16"/>
        <v>2.2202930276740491</v>
      </c>
      <c r="AD35" s="84">
        <f t="shared" si="17"/>
        <v>3.0000000000000001E-3</v>
      </c>
      <c r="AE35" s="229">
        <v>2</v>
      </c>
      <c r="AF35" s="89">
        <f t="shared" si="9"/>
        <v>0.33387115384615379</v>
      </c>
      <c r="AG35" s="229">
        <f t="shared" si="18"/>
        <v>8.58</v>
      </c>
      <c r="AH35" s="89">
        <f t="shared" si="19"/>
        <v>1.2402499999999999</v>
      </c>
      <c r="AI35" s="89">
        <f t="shared" si="20"/>
        <v>0.124025</v>
      </c>
      <c r="AJ35" s="89">
        <f t="shared" si="10"/>
        <v>1.2402499999999999</v>
      </c>
      <c r="AK35" s="227">
        <f>EquipmentSpecs!L35</f>
        <v>1.1599999999999999</v>
      </c>
      <c r="AL35" s="226">
        <f t="shared" si="21"/>
        <v>6.8162393162393142E-2</v>
      </c>
      <c r="AM35" s="230">
        <f t="shared" si="22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3"/>
        <v>0.09</v>
      </c>
      <c r="AS35" s="437">
        <f t="shared" si="11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4"/>
        <v>0.18067437783749629</v>
      </c>
      <c r="I36" s="225">
        <f t="shared" si="12"/>
        <v>21116.647738349689</v>
      </c>
      <c r="J36" s="89">
        <f t="shared" si="5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1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f>Machine!B36</f>
        <v>0</v>
      </c>
      <c r="T36" s="89">
        <f t="shared" si="14"/>
        <v>0</v>
      </c>
      <c r="U36" s="89">
        <f t="shared" si="6"/>
        <v>75.989555598878766</v>
      </c>
      <c r="V36" s="89">
        <f t="shared" si="15"/>
        <v>0</v>
      </c>
      <c r="W36" s="1144">
        <f t="shared" si="7"/>
        <v>0</v>
      </c>
      <c r="X36" s="1144">
        <f t="shared" si="7"/>
        <v>0</v>
      </c>
      <c r="Y36" s="1144">
        <f t="shared" si="7"/>
        <v>0</v>
      </c>
      <c r="Z36" s="1136">
        <f t="shared" si="8"/>
        <v>0</v>
      </c>
      <c r="AA36" s="227">
        <f>EquipmentSpecs!J36</f>
        <v>0.32</v>
      </c>
      <c r="AB36" s="228">
        <f>EquipmentSpecs!K36</f>
        <v>2.1</v>
      </c>
      <c r="AC36" s="89">
        <f t="shared" si="16"/>
        <v>0</v>
      </c>
      <c r="AD36" s="84">
        <f t="shared" si="17"/>
        <v>3.0000000000000001E-3</v>
      </c>
      <c r="AE36" s="229">
        <v>2</v>
      </c>
      <c r="AF36" s="89">
        <f t="shared" si="9"/>
        <v>0</v>
      </c>
      <c r="AG36" s="229">
        <f t="shared" si="18"/>
        <v>10.119999999999999</v>
      </c>
      <c r="AH36" s="89">
        <f t="shared" si="19"/>
        <v>0</v>
      </c>
      <c r="AI36" s="89">
        <f t="shared" si="20"/>
        <v>0</v>
      </c>
      <c r="AJ36" s="89">
        <f t="shared" si="10"/>
        <v>0</v>
      </c>
      <c r="AK36" s="227">
        <f>EquipmentSpecs!L36</f>
        <v>1.1599999999999999</v>
      </c>
      <c r="AL36" s="226">
        <f t="shared" si="21"/>
        <v>0</v>
      </c>
      <c r="AM36" s="230">
        <f t="shared" si="22"/>
        <v>0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3"/>
        <v>0.09</v>
      </c>
      <c r="AS36" s="437">
        <f t="shared" si="11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4"/>
        <v>0.18067437783749629</v>
      </c>
      <c r="I37" s="225">
        <f t="shared" si="12"/>
        <v>14922.43106843378</v>
      </c>
      <c r="J37" s="89">
        <f t="shared" si="5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1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f>Machine!B37</f>
        <v>0</v>
      </c>
      <c r="T37" s="89">
        <f t="shared" si="14"/>
        <v>0</v>
      </c>
      <c r="U37" s="89">
        <f t="shared" si="6"/>
        <v>75.989555598878766</v>
      </c>
      <c r="V37" s="89">
        <f t="shared" si="15"/>
        <v>0</v>
      </c>
      <c r="W37" s="1144">
        <f t="shared" si="7"/>
        <v>0</v>
      </c>
      <c r="X37" s="1144">
        <f t="shared" si="7"/>
        <v>0</v>
      </c>
      <c r="Y37" s="1144">
        <f t="shared" si="7"/>
        <v>0</v>
      </c>
      <c r="Z37" s="1136">
        <f t="shared" si="8"/>
        <v>0</v>
      </c>
      <c r="AA37" s="227">
        <f>EquipmentSpecs!J37</f>
        <v>0.32</v>
      </c>
      <c r="AB37" s="228">
        <f>EquipmentSpecs!K37</f>
        <v>2.1</v>
      </c>
      <c r="AC37" s="89">
        <f t="shared" si="16"/>
        <v>0</v>
      </c>
      <c r="AD37" s="84">
        <f t="shared" si="17"/>
        <v>3.0000000000000001E-3</v>
      </c>
      <c r="AE37" s="229">
        <v>2</v>
      </c>
      <c r="AF37" s="89">
        <f t="shared" si="9"/>
        <v>0</v>
      </c>
      <c r="AG37" s="229">
        <f t="shared" si="18"/>
        <v>10.119999999999999</v>
      </c>
      <c r="AH37" s="89">
        <f t="shared" si="19"/>
        <v>0</v>
      </c>
      <c r="AI37" s="89">
        <f t="shared" si="20"/>
        <v>0</v>
      </c>
      <c r="AJ37" s="89">
        <f t="shared" si="10"/>
        <v>0</v>
      </c>
      <c r="AK37" s="227">
        <f>EquipmentSpecs!L37</f>
        <v>1.1100000000000001</v>
      </c>
      <c r="AL37" s="226">
        <f t="shared" si="21"/>
        <v>0</v>
      </c>
      <c r="AM37" s="230">
        <f t="shared" si="22"/>
        <v>0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3"/>
        <v>0.09</v>
      </c>
      <c r="AS37" s="437">
        <f t="shared" si="11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4"/>
        <v>0.18067437783749629</v>
      </c>
      <c r="I38" s="225">
        <f>((C38-(F38*C38))*H38)+(G38*(F38*C38))</f>
        <v>29281.751530511567</v>
      </c>
      <c r="J38" s="89">
        <f t="shared" si="5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>(K38*L38*M38)/8.25</f>
        <v>24.945454545454542</v>
      </c>
      <c r="O38" s="226">
        <f>1/N38</f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f>Machine!B38</f>
        <v>0</v>
      </c>
      <c r="T38" s="89">
        <f>J38*O38*S38</f>
        <v>0</v>
      </c>
      <c r="U38" s="89">
        <f t="shared" si="6"/>
        <v>75.989555598878766</v>
      </c>
      <c r="V38" s="89">
        <f>U38*O38*S38</f>
        <v>0</v>
      </c>
      <c r="W38" s="1144">
        <f t="shared" si="7"/>
        <v>0</v>
      </c>
      <c r="X38" s="1144">
        <f t="shared" si="7"/>
        <v>0</v>
      </c>
      <c r="Y38" s="1144">
        <f t="shared" si="7"/>
        <v>0</v>
      </c>
      <c r="Z38" s="1136">
        <f t="shared" si="8"/>
        <v>0</v>
      </c>
      <c r="AA38" s="227">
        <f>EquipmentSpecs!J38</f>
        <v>0.32</v>
      </c>
      <c r="AB38" s="228">
        <f>EquipmentSpecs!K38</f>
        <v>2.1</v>
      </c>
      <c r="AC38" s="89">
        <f>(C38*AA38*(((E38*D38)/1000)^AB38)/(E38*D38))*O38*S38</f>
        <v>0</v>
      </c>
      <c r="AD38" s="84">
        <f>IF(Q38=4,0.003,0.007)</f>
        <v>3.0000000000000001E-3</v>
      </c>
      <c r="AE38" s="229">
        <v>2</v>
      </c>
      <c r="AF38" s="89">
        <f t="shared" si="9"/>
        <v>0</v>
      </c>
      <c r="AG38" s="229">
        <f>0.044*R38</f>
        <v>10.119999999999999</v>
      </c>
      <c r="AH38" s="89">
        <f>AG38*O38*$AI$11*S38</f>
        <v>0</v>
      </c>
      <c r="AI38" s="89">
        <f>AH38*0.1</f>
        <v>0</v>
      </c>
      <c r="AJ38" s="89">
        <f t="shared" si="10"/>
        <v>0</v>
      </c>
      <c r="AK38" s="227">
        <f>EquipmentSpecs!L38</f>
        <v>1.1100000000000001</v>
      </c>
      <c r="AL38" s="226">
        <f>O38*S38*AK38</f>
        <v>0</v>
      </c>
      <c r="AM38" s="230">
        <f>AL38*$AL$11</f>
        <v>0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3"/>
        <v>0.09</v>
      </c>
      <c r="AS38" s="437">
        <f t="shared" si="11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4"/>
        <v>0.18067437783749629</v>
      </c>
      <c r="I39" s="225">
        <f t="shared" si="12"/>
        <v>2904.2977390902656</v>
      </c>
      <c r="J39" s="89">
        <f t="shared" si="5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1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f>Machine!B39</f>
        <v>0</v>
      </c>
      <c r="T39" s="89">
        <f t="shared" si="14"/>
        <v>0</v>
      </c>
      <c r="U39" s="89">
        <f t="shared" si="6"/>
        <v>75.989555598878766</v>
      </c>
      <c r="V39" s="89">
        <f t="shared" si="15"/>
        <v>0</v>
      </c>
      <c r="W39" s="1144">
        <f t="shared" si="7"/>
        <v>0</v>
      </c>
      <c r="X39" s="1144">
        <f t="shared" si="7"/>
        <v>0</v>
      </c>
      <c r="Y39" s="1144">
        <f t="shared" si="7"/>
        <v>0</v>
      </c>
      <c r="Z39" s="1136">
        <f t="shared" si="8"/>
        <v>0</v>
      </c>
      <c r="AA39" s="227">
        <f>EquipmentSpecs!J39</f>
        <v>0.41</v>
      </c>
      <c r="AB39" s="228">
        <f>EquipmentSpecs!K39</f>
        <v>1.3</v>
      </c>
      <c r="AC39" s="89">
        <f t="shared" si="16"/>
        <v>0</v>
      </c>
      <c r="AD39" s="84">
        <f t="shared" si="17"/>
        <v>3.0000000000000001E-3</v>
      </c>
      <c r="AE39" s="229">
        <v>2</v>
      </c>
      <c r="AF39" s="89">
        <f t="shared" si="9"/>
        <v>0</v>
      </c>
      <c r="AG39" s="229">
        <f t="shared" si="18"/>
        <v>10.119999999999999</v>
      </c>
      <c r="AH39" s="89">
        <f t="shared" si="19"/>
        <v>0</v>
      </c>
      <c r="AI39" s="89">
        <f t="shared" si="20"/>
        <v>0</v>
      </c>
      <c r="AJ39" s="89">
        <f t="shared" si="10"/>
        <v>0</v>
      </c>
      <c r="AK39" s="227">
        <f>EquipmentSpecs!L39</f>
        <v>1.33</v>
      </c>
      <c r="AL39" s="226">
        <f t="shared" si="21"/>
        <v>0</v>
      </c>
      <c r="AM39" s="230">
        <f t="shared" si="22"/>
        <v>0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3"/>
        <v>0.09</v>
      </c>
      <c r="AS39" s="437">
        <f t="shared" si="11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4"/>
        <v>0.18067437783749629</v>
      </c>
      <c r="I40" s="225">
        <f t="shared" si="12"/>
        <v>6851.1638973411391</v>
      </c>
      <c r="J40" s="89">
        <f t="shared" si="5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1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f>Machine!B40</f>
        <v>0</v>
      </c>
      <c r="T40" s="89">
        <f t="shared" si="14"/>
        <v>0</v>
      </c>
      <c r="U40" s="89">
        <f t="shared" si="6"/>
        <v>75.989555598878766</v>
      </c>
      <c r="V40" s="89">
        <f t="shared" si="15"/>
        <v>0</v>
      </c>
      <c r="W40" s="1144">
        <f t="shared" si="7"/>
        <v>0</v>
      </c>
      <c r="X40" s="1144">
        <f t="shared" si="7"/>
        <v>0</v>
      </c>
      <c r="Y40" s="1144">
        <f t="shared" si="7"/>
        <v>0</v>
      </c>
      <c r="Z40" s="1136">
        <f t="shared" si="8"/>
        <v>0</v>
      </c>
      <c r="AA40" s="227">
        <f>EquipmentSpecs!J40</f>
        <v>0.41</v>
      </c>
      <c r="AB40" s="228">
        <f>EquipmentSpecs!K40</f>
        <v>1.3</v>
      </c>
      <c r="AC40" s="89">
        <f t="shared" si="16"/>
        <v>0</v>
      </c>
      <c r="AD40" s="84">
        <f t="shared" si="17"/>
        <v>3.0000000000000001E-3</v>
      </c>
      <c r="AE40" s="229">
        <v>2</v>
      </c>
      <c r="AF40" s="89">
        <f t="shared" si="9"/>
        <v>0</v>
      </c>
      <c r="AG40" s="229">
        <f t="shared" si="18"/>
        <v>10.119999999999999</v>
      </c>
      <c r="AH40" s="89">
        <f t="shared" si="19"/>
        <v>0</v>
      </c>
      <c r="AI40" s="89">
        <f t="shared" si="20"/>
        <v>0</v>
      </c>
      <c r="AJ40" s="89">
        <f t="shared" si="10"/>
        <v>0</v>
      </c>
      <c r="AK40" s="227">
        <f>EquipmentSpecs!L40</f>
        <v>1.33</v>
      </c>
      <c r="AL40" s="226">
        <f t="shared" si="21"/>
        <v>0</v>
      </c>
      <c r="AM40" s="230">
        <f t="shared" si="22"/>
        <v>0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3"/>
        <v>0.09</v>
      </c>
      <c r="AS40" s="437">
        <f t="shared" si="11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4"/>
        <v>0.18067437783749629</v>
      </c>
      <c r="I41" s="225">
        <f t="shared" si="12"/>
        <v>1169.6774762902319</v>
      </c>
      <c r="J41" s="89">
        <f t="shared" si="5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1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f>Machine!B41</f>
        <v>1</v>
      </c>
      <c r="T41" s="89">
        <f t="shared" si="14"/>
        <v>2.3361126018156182</v>
      </c>
      <c r="U41" s="89">
        <f t="shared" si="6"/>
        <v>36.514461781279415</v>
      </c>
      <c r="V41" s="89">
        <f t="shared" si="15"/>
        <v>1.8231926331159782</v>
      </c>
      <c r="W41" s="1144">
        <f t="shared" si="7"/>
        <v>0.21480187095859524</v>
      </c>
      <c r="X41" s="1144">
        <f t="shared" si="7"/>
        <v>0.21480187095859524</v>
      </c>
      <c r="Y41" s="1144">
        <f t="shared" si="7"/>
        <v>0.19761772128190763</v>
      </c>
      <c r="Z41" s="1136">
        <f t="shared" si="8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16"/>
        <v>3.9928376683300543E-2</v>
      </c>
      <c r="AD41" s="84">
        <f t="shared" si="17"/>
        <v>3.0000000000000001E-3</v>
      </c>
      <c r="AE41" s="229">
        <v>2</v>
      </c>
      <c r="AF41" s="89">
        <f t="shared" si="9"/>
        <v>0.20099103936697565</v>
      </c>
      <c r="AG41" s="229">
        <f t="shared" si="18"/>
        <v>7.6999999999999993</v>
      </c>
      <c r="AH41" s="89">
        <f t="shared" si="19"/>
        <v>0.94578731745646449</v>
      </c>
      <c r="AI41" s="89">
        <f t="shared" si="20"/>
        <v>9.457873174564646E-2</v>
      </c>
      <c r="AJ41" s="89">
        <f t="shared" si="10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22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3"/>
        <v>0.09</v>
      </c>
      <c r="AS41" s="437">
        <f t="shared" si="11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4"/>
        <v>0.18067437783749629</v>
      </c>
      <c r="I42" s="225">
        <f t="shared" si="12"/>
        <v>3533.5190548838477</v>
      </c>
      <c r="J42" s="89">
        <f t="shared" si="5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1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f>Machine!B42</f>
        <v>0</v>
      </c>
      <c r="T42" s="89">
        <f t="shared" si="14"/>
        <v>0</v>
      </c>
      <c r="U42" s="89">
        <f t="shared" si="6"/>
        <v>36.514461781279415</v>
      </c>
      <c r="V42" s="89">
        <f t="shared" si="15"/>
        <v>0</v>
      </c>
      <c r="W42" s="1144">
        <f t="shared" si="7"/>
        <v>0</v>
      </c>
      <c r="X42" s="1144">
        <f t="shared" si="7"/>
        <v>0</v>
      </c>
      <c r="Y42" s="1144">
        <f t="shared" si="7"/>
        <v>0</v>
      </c>
      <c r="Z42" s="1136">
        <f t="shared" si="8"/>
        <v>0</v>
      </c>
      <c r="AA42" s="227">
        <f>EquipmentSpecs!J42</f>
        <v>0.41</v>
      </c>
      <c r="AB42" s="228">
        <f>EquipmentSpecs!K42</f>
        <v>1.3</v>
      </c>
      <c r="AC42" s="89">
        <f t="shared" si="16"/>
        <v>0</v>
      </c>
      <c r="AD42" s="84">
        <f t="shared" si="17"/>
        <v>3.0000000000000001E-3</v>
      </c>
      <c r="AE42" s="229">
        <v>2</v>
      </c>
      <c r="AF42" s="89">
        <f t="shared" si="9"/>
        <v>0</v>
      </c>
      <c r="AG42" s="229">
        <f t="shared" si="18"/>
        <v>7.6999999999999993</v>
      </c>
      <c r="AH42" s="89">
        <f t="shared" si="19"/>
        <v>0</v>
      </c>
      <c r="AI42" s="89">
        <f t="shared" si="20"/>
        <v>0</v>
      </c>
      <c r="AJ42" s="89">
        <f t="shared" si="10"/>
        <v>0</v>
      </c>
      <c r="AK42" s="227">
        <f>EquipmentSpecs!L42</f>
        <v>1.04</v>
      </c>
      <c r="AL42" s="226">
        <f t="shared" si="21"/>
        <v>0</v>
      </c>
      <c r="AM42" s="230">
        <f t="shared" si="22"/>
        <v>0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3"/>
        <v>0.09</v>
      </c>
      <c r="AS42" s="437">
        <f t="shared" si="11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4"/>
        <v>0.18067437783749629</v>
      </c>
      <c r="I43" s="225">
        <f t="shared" si="12"/>
        <v>1304.6999074067039</v>
      </c>
      <c r="J43" s="89">
        <f t="shared" si="5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1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f>Machine!B43</f>
        <v>0</v>
      </c>
      <c r="T43" s="89">
        <f t="shared" si="14"/>
        <v>0</v>
      </c>
      <c r="U43" s="89">
        <f t="shared" ref="U43:U51" si="24">(((P43-(AQ43*P43))*AS43)+(AR43*(AQ43*P43)))/AO43</f>
        <v>36.514461781279415</v>
      </c>
      <c r="V43" s="89">
        <f t="shared" si="15"/>
        <v>0</v>
      </c>
      <c r="W43" s="1144">
        <f t="shared" si="7"/>
        <v>0</v>
      </c>
      <c r="X43" s="1144">
        <f t="shared" si="7"/>
        <v>0</v>
      </c>
      <c r="Y43" s="1144">
        <f t="shared" si="7"/>
        <v>0</v>
      </c>
      <c r="Z43" s="1136">
        <f t="shared" si="8"/>
        <v>0</v>
      </c>
      <c r="AA43" s="227">
        <f>EquipmentSpecs!J43</f>
        <v>0.28000000000000003</v>
      </c>
      <c r="AB43" s="228">
        <f>EquipmentSpecs!K43</f>
        <v>1.4</v>
      </c>
      <c r="AC43" s="89">
        <f t="shared" si="16"/>
        <v>0</v>
      </c>
      <c r="AD43" s="84">
        <f t="shared" si="17"/>
        <v>3.0000000000000001E-3</v>
      </c>
      <c r="AE43" s="229">
        <v>2</v>
      </c>
      <c r="AF43" s="89">
        <f t="shared" si="9"/>
        <v>0</v>
      </c>
      <c r="AG43" s="229">
        <f t="shared" si="18"/>
        <v>7.6999999999999993</v>
      </c>
      <c r="AH43" s="89">
        <f t="shared" si="19"/>
        <v>0</v>
      </c>
      <c r="AI43" s="89">
        <f t="shared" si="20"/>
        <v>0</v>
      </c>
      <c r="AJ43" s="89">
        <f t="shared" si="10"/>
        <v>0</v>
      </c>
      <c r="AK43" s="227">
        <f>EquipmentSpecs!L43</f>
        <v>1.04</v>
      </c>
      <c r="AL43" s="226">
        <f t="shared" si="21"/>
        <v>0</v>
      </c>
      <c r="AM43" s="230">
        <f t="shared" si="22"/>
        <v>0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3"/>
        <v>0.09</v>
      </c>
      <c r="AS43" s="437">
        <f t="shared" si="11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4"/>
        <v>0.18067437783749629</v>
      </c>
      <c r="I44" s="225">
        <f t="shared" si="12"/>
        <v>1787.260147132471</v>
      </c>
      <c r="J44" s="89">
        <f t="shared" si="5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1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f>Machine!B44</f>
        <v>0</v>
      </c>
      <c r="T44" s="89">
        <f t="shared" si="14"/>
        <v>0</v>
      </c>
      <c r="U44" s="89">
        <f t="shared" si="24"/>
        <v>36.514461781279415</v>
      </c>
      <c r="V44" s="89">
        <f t="shared" si="15"/>
        <v>0</v>
      </c>
      <c r="W44" s="1144">
        <f t="shared" si="7"/>
        <v>0</v>
      </c>
      <c r="X44" s="1144">
        <f t="shared" si="7"/>
        <v>0</v>
      </c>
      <c r="Y44" s="1144">
        <f t="shared" si="7"/>
        <v>0</v>
      </c>
      <c r="Z44" s="1136">
        <f t="shared" si="8"/>
        <v>0</v>
      </c>
      <c r="AA44" s="227">
        <f>EquipmentSpecs!J44</f>
        <v>0.28000000000000003</v>
      </c>
      <c r="AB44" s="228">
        <f>EquipmentSpecs!K44</f>
        <v>1.4</v>
      </c>
      <c r="AC44" s="89">
        <f t="shared" si="16"/>
        <v>0</v>
      </c>
      <c r="AD44" s="84">
        <f t="shared" si="17"/>
        <v>3.0000000000000001E-3</v>
      </c>
      <c r="AE44" s="229">
        <v>2</v>
      </c>
      <c r="AF44" s="89">
        <f t="shared" si="9"/>
        <v>0</v>
      </c>
      <c r="AG44" s="229">
        <f t="shared" si="18"/>
        <v>7.6999999999999993</v>
      </c>
      <c r="AH44" s="89">
        <f t="shared" si="19"/>
        <v>0</v>
      </c>
      <c r="AI44" s="89">
        <f t="shared" si="20"/>
        <v>0</v>
      </c>
      <c r="AJ44" s="89">
        <f t="shared" si="10"/>
        <v>0</v>
      </c>
      <c r="AK44" s="227">
        <f>EquipmentSpecs!L44</f>
        <v>1.04</v>
      </c>
      <c r="AL44" s="226">
        <f t="shared" si="21"/>
        <v>0</v>
      </c>
      <c r="AM44" s="230">
        <f t="shared" si="22"/>
        <v>0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3"/>
        <v>0.09</v>
      </c>
      <c r="AS44" s="437">
        <f t="shared" si="11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4"/>
        <v>0.18067437783749629</v>
      </c>
      <c r="I45" s="225">
        <f>((C45-(F45*C45))*H45)+(G45*(F45*C45))</f>
        <v>921.92835922916629</v>
      </c>
      <c r="J45" s="89">
        <f t="shared" si="5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>1/N45</f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f>Machine!B45</f>
        <v>0</v>
      </c>
      <c r="T45" s="89">
        <f>J45*O45*S45</f>
        <v>0</v>
      </c>
      <c r="U45" s="89">
        <f t="shared" si="24"/>
        <v>36.514461781279415</v>
      </c>
      <c r="V45" s="89">
        <f>U45*O45*S45</f>
        <v>0</v>
      </c>
      <c r="W45" s="1144">
        <f t="shared" si="7"/>
        <v>0</v>
      </c>
      <c r="X45" s="1144">
        <f t="shared" si="7"/>
        <v>0</v>
      </c>
      <c r="Y45" s="1144">
        <f t="shared" si="7"/>
        <v>0</v>
      </c>
      <c r="Z45" s="1136">
        <f t="shared" si="8"/>
        <v>0</v>
      </c>
      <c r="AA45" s="227">
        <f>EquipmentSpecs!J45</f>
        <v>0.28000000000000003</v>
      </c>
      <c r="AB45" s="228">
        <f>EquipmentSpecs!K45</f>
        <v>1.4</v>
      </c>
      <c r="AC45" s="89">
        <f>(C45*AA45*(((E45*D45)/1000)^AB45)/(E45*D45))*O45*S45</f>
        <v>0</v>
      </c>
      <c r="AD45" s="84">
        <f>IF(Q45=4,0.003,0.007)</f>
        <v>3.0000000000000001E-3</v>
      </c>
      <c r="AE45" s="229">
        <v>2</v>
      </c>
      <c r="AF45" s="89">
        <f t="shared" si="9"/>
        <v>0</v>
      </c>
      <c r="AG45" s="229">
        <f>0.044*R45</f>
        <v>7.6999999999999993</v>
      </c>
      <c r="AH45" s="89">
        <f>AG45*O45*$AI$11*S45</f>
        <v>0</v>
      </c>
      <c r="AI45" s="89">
        <f>AH45*0.1</f>
        <v>0</v>
      </c>
      <c r="AJ45" s="89">
        <f t="shared" si="10"/>
        <v>0</v>
      </c>
      <c r="AK45" s="227">
        <f>EquipmentSpecs!L45</f>
        <v>1.04</v>
      </c>
      <c r="AL45" s="226">
        <f>O45*S45*AK45</f>
        <v>0</v>
      </c>
      <c r="AM45" s="230">
        <f>AL45*$AL$11</f>
        <v>0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3"/>
        <v>0.09</v>
      </c>
      <c r="AS45" s="437">
        <f t="shared" si="11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4"/>
        <v>0.18067437783749629</v>
      </c>
      <c r="I46" s="225">
        <f t="shared" si="12"/>
        <v>574.90201399427815</v>
      </c>
      <c r="J46" s="89">
        <f t="shared" si="5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1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f>Machine!B46</f>
        <v>0</v>
      </c>
      <c r="T46" s="89">
        <f t="shared" si="14"/>
        <v>0</v>
      </c>
      <c r="U46" s="89">
        <f t="shared" si="24"/>
        <v>36.514461781279415</v>
      </c>
      <c r="V46" s="89">
        <f t="shared" si="15"/>
        <v>0</v>
      </c>
      <c r="W46" s="1144">
        <f t="shared" si="7"/>
        <v>0</v>
      </c>
      <c r="X46" s="1144">
        <f t="shared" si="7"/>
        <v>0</v>
      </c>
      <c r="Y46" s="1144">
        <f t="shared" si="7"/>
        <v>0</v>
      </c>
      <c r="Z46" s="1136">
        <f t="shared" si="8"/>
        <v>0</v>
      </c>
      <c r="AA46" s="227">
        <f>EquipmentSpecs!J46</f>
        <v>0.18</v>
      </c>
      <c r="AB46" s="228">
        <f>EquipmentSpecs!K46</f>
        <v>1.7</v>
      </c>
      <c r="AC46" s="89">
        <f t="shared" si="16"/>
        <v>0</v>
      </c>
      <c r="AD46" s="84">
        <f t="shared" si="17"/>
        <v>3.0000000000000001E-3</v>
      </c>
      <c r="AE46" s="229">
        <v>2</v>
      </c>
      <c r="AF46" s="89">
        <f t="shared" si="9"/>
        <v>0</v>
      </c>
      <c r="AG46" s="229">
        <f t="shared" si="18"/>
        <v>7.6999999999999993</v>
      </c>
      <c r="AH46" s="89">
        <f t="shared" si="19"/>
        <v>0</v>
      </c>
      <c r="AI46" s="89">
        <f t="shared" si="20"/>
        <v>0</v>
      </c>
      <c r="AJ46" s="89">
        <f t="shared" si="10"/>
        <v>0</v>
      </c>
      <c r="AK46" s="227">
        <f>EquipmentSpecs!L46</f>
        <v>3.12</v>
      </c>
      <c r="AL46" s="226">
        <f>O46*S46*AK46</f>
        <v>0</v>
      </c>
      <c r="AM46" s="230">
        <f t="shared" si="22"/>
        <v>0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3"/>
        <v>0.09</v>
      </c>
      <c r="AS46" s="437">
        <f t="shared" si="11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4"/>
        <v>0.18067437783749629</v>
      </c>
      <c r="I47" s="225">
        <f t="shared" si="12"/>
        <v>1231.7201180654613</v>
      </c>
      <c r="J47" s="89">
        <f t="shared" si="5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1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f>Machine!B47</f>
        <v>0</v>
      </c>
      <c r="T47" s="89">
        <f t="shared" si="14"/>
        <v>0</v>
      </c>
      <c r="U47" s="89">
        <f t="shared" si="24"/>
        <v>36.514461781279415</v>
      </c>
      <c r="V47" s="89">
        <f t="shared" si="15"/>
        <v>0</v>
      </c>
      <c r="W47" s="1144">
        <f t="shared" si="7"/>
        <v>0</v>
      </c>
      <c r="X47" s="1144">
        <f t="shared" si="7"/>
        <v>0</v>
      </c>
      <c r="Y47" s="1144">
        <f t="shared" si="7"/>
        <v>0</v>
      </c>
      <c r="Z47" s="1136">
        <f t="shared" si="8"/>
        <v>0</v>
      </c>
      <c r="AA47" s="227">
        <f>EquipmentSpecs!J47</f>
        <v>0.28000000000000003</v>
      </c>
      <c r="AB47" s="228">
        <f>EquipmentSpecs!K47</f>
        <v>1.4</v>
      </c>
      <c r="AC47" s="89">
        <f t="shared" si="16"/>
        <v>0</v>
      </c>
      <c r="AD47" s="84">
        <f t="shared" si="17"/>
        <v>3.0000000000000001E-3</v>
      </c>
      <c r="AE47" s="229">
        <v>2</v>
      </c>
      <c r="AF47" s="89">
        <f t="shared" si="9"/>
        <v>0</v>
      </c>
      <c r="AG47" s="229">
        <f t="shared" si="18"/>
        <v>7.6999999999999993</v>
      </c>
      <c r="AH47" s="89">
        <f t="shared" si="19"/>
        <v>0</v>
      </c>
      <c r="AI47" s="89">
        <f t="shared" si="20"/>
        <v>0</v>
      </c>
      <c r="AJ47" s="89">
        <f t="shared" si="10"/>
        <v>0</v>
      </c>
      <c r="AK47" s="227">
        <f>EquipmentSpecs!L47</f>
        <v>1.04</v>
      </c>
      <c r="AL47" s="226">
        <f t="shared" si="21"/>
        <v>0</v>
      </c>
      <c r="AM47" s="230">
        <f t="shared" si="22"/>
        <v>0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3"/>
        <v>0.09</v>
      </c>
      <c r="AS47" s="437">
        <f t="shared" si="11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>(G48*(1+G48)^E48)/((1+G48)^E48-1)</f>
        <v>0.18067437783749629</v>
      </c>
      <c r="I48" s="225">
        <f>((C48-(F48*C48))*H48)+(G48*(F48*C48))</f>
        <v>7149.0405885298842</v>
      </c>
      <c r="J48" s="89">
        <f t="shared" si="5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5">(K48*L48*M48)/8.25</f>
        <v>4.4909090909090912</v>
      </c>
      <c r="O48" s="226">
        <f>1/N48</f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f>Machine!B48</f>
        <v>0</v>
      </c>
      <c r="T48" s="89">
        <f>J48*O48*S48</f>
        <v>0</v>
      </c>
      <c r="U48" s="89">
        <f>(((P48-(AQ48*P48))*AS48)+(AR48*(AQ48*P48)))/AO48</f>
        <v>61.186395417279016</v>
      </c>
      <c r="V48" s="89">
        <f>U48*O48*S48</f>
        <v>0</v>
      </c>
      <c r="W48" s="1144">
        <f t="shared" si="7"/>
        <v>0</v>
      </c>
      <c r="X48" s="1144">
        <f t="shared" si="7"/>
        <v>0</v>
      </c>
      <c r="Y48" s="1144">
        <f t="shared" si="7"/>
        <v>0</v>
      </c>
      <c r="Z48" s="1136">
        <f t="shared" si="8"/>
        <v>0</v>
      </c>
      <c r="AA48" s="227">
        <f>EquipmentSpecs!J48</f>
        <v>0.28000000000000003</v>
      </c>
      <c r="AB48" s="228">
        <f>EquipmentSpecs!K48</f>
        <v>1.4</v>
      </c>
      <c r="AC48" s="89">
        <f>(C48*AA48*(((E48*D48)/1000)^AB48)/(E48*D48))*O48*S48</f>
        <v>0</v>
      </c>
      <c r="AD48" s="84">
        <f>IF(Q48=4,0.003,0.007)</f>
        <v>3.0000000000000001E-3</v>
      </c>
      <c r="AE48" s="229">
        <v>2</v>
      </c>
      <c r="AF48" s="89">
        <f>((P48*AD48*(((AP48*AO48)/1000)^AE48)/(AP48*AO48))*O48*S48)+AI48</f>
        <v>0</v>
      </c>
      <c r="AG48" s="229">
        <f>0.044*R48</f>
        <v>8.58</v>
      </c>
      <c r="AH48" s="89">
        <f>AG48*O48*$AI$11*S48</f>
        <v>0</v>
      </c>
      <c r="AI48" s="89">
        <f>AH48*0.1</f>
        <v>0</v>
      </c>
      <c r="AJ48" s="89">
        <f>AH48</f>
        <v>0</v>
      </c>
      <c r="AK48" s="227">
        <f>EquipmentSpecs!L48</f>
        <v>1.04</v>
      </c>
      <c r="AL48" s="226">
        <f>O48*S48*AK48</f>
        <v>0</v>
      </c>
      <c r="AM48" s="230">
        <f>AL48*$AL$11</f>
        <v>0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3"/>
        <v>0.09</v>
      </c>
      <c r="AS48" s="437">
        <f>(AR48*(1+AR48)^AP48)/((1+AR48)^AP48-1)</f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>(G49*(1+G49)^E49)/((1+G49)^E49-1)</f>
        <v>0.18067437783749629</v>
      </c>
      <c r="I49" s="225">
        <f>((C49-(F49*C49))*H49)+(G49*(F49*C49))</f>
        <v>2814.9347317336419</v>
      </c>
      <c r="J49" s="89">
        <f t="shared" si="5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5"/>
        <v>4.4909090909090912</v>
      </c>
      <c r="O49" s="226">
        <f>1/N49</f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f>Machine!B49</f>
        <v>0</v>
      </c>
      <c r="T49" s="89">
        <f>J49*O49*S49</f>
        <v>0</v>
      </c>
      <c r="U49" s="89">
        <f>(((P49-(AQ49*P49))*AS49)+(AR49*(AQ49*P49)))/AO49</f>
        <v>61.186395417279016</v>
      </c>
      <c r="V49" s="89">
        <f>U49*O49*S49</f>
        <v>0</v>
      </c>
      <c r="W49" s="1144">
        <f t="shared" si="7"/>
        <v>0</v>
      </c>
      <c r="X49" s="1144">
        <f t="shared" si="7"/>
        <v>0</v>
      </c>
      <c r="Y49" s="1144">
        <f t="shared" si="7"/>
        <v>0</v>
      </c>
      <c r="Z49" s="1136">
        <f t="shared" si="8"/>
        <v>0</v>
      </c>
      <c r="AA49" s="227">
        <f>EquipmentSpecs!J49</f>
        <v>0.27</v>
      </c>
      <c r="AB49" s="228">
        <f>EquipmentSpecs!K49</f>
        <v>1.4</v>
      </c>
      <c r="AC49" s="89">
        <f>(C49*AA49*(((E49*D49)/1000)^AB49)/(E49*D49))*O49*S49</f>
        <v>0</v>
      </c>
      <c r="AD49" s="84">
        <f>IF(Q49=4,0.003,0.007)</f>
        <v>3.0000000000000001E-3</v>
      </c>
      <c r="AE49" s="229">
        <v>2</v>
      </c>
      <c r="AF49" s="89">
        <f>((P49*AD49*(((AP49*AO49)/1000)^AE49)/(AP49*AO49))*O49*S49)+AI49</f>
        <v>0</v>
      </c>
      <c r="AG49" s="229">
        <f>0.044*R49</f>
        <v>8.58</v>
      </c>
      <c r="AH49" s="89">
        <f>AG49*O49*$AI$11*S49</f>
        <v>0</v>
      </c>
      <c r="AI49" s="89">
        <f>AH49*0.1</f>
        <v>0</v>
      </c>
      <c r="AJ49" s="89">
        <f>AH49</f>
        <v>0</v>
      </c>
      <c r="AK49" s="227">
        <f>EquipmentSpecs!L49</f>
        <v>1.04</v>
      </c>
      <c r="AL49" s="226">
        <f>O49*S49*AK49</f>
        <v>0</v>
      </c>
      <c r="AM49" s="230">
        <f>AL49*$AL$11</f>
        <v>0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3"/>
        <v>0.09</v>
      </c>
      <c r="AS49" s="437">
        <f>(AR49*(1+AR49)^AP49)/((1+AR49)^AP49-1)</f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>(G50*(1+G50)^E50)/((1+G50)^E50-1)</f>
        <v>0.18067437783749629</v>
      </c>
      <c r="I50" s="225">
        <f>((C50-(F50*C50))*H50)+(G50*(F50*C50))</f>
        <v>2323.4381912722124</v>
      </c>
      <c r="J50" s="89">
        <f t="shared" si="5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5"/>
        <v>4.4909090909090912</v>
      </c>
      <c r="O50" s="226">
        <f>1/N50</f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f>Machine!B50</f>
        <v>0</v>
      </c>
      <c r="T50" s="89">
        <f>J50*O50*S50</f>
        <v>0</v>
      </c>
      <c r="U50" s="89">
        <f>(((P50-(AQ50*P50))*AS50)+(AR50*(AQ50*P50)))/AO50</f>
        <v>61.186395417279016</v>
      </c>
      <c r="V50" s="89">
        <f>U50*O50*S50</f>
        <v>0</v>
      </c>
      <c r="W50" s="1144">
        <f t="shared" si="7"/>
        <v>0</v>
      </c>
      <c r="X50" s="1144">
        <f t="shared" si="7"/>
        <v>0</v>
      </c>
      <c r="Y50" s="1144">
        <f t="shared" si="7"/>
        <v>0</v>
      </c>
      <c r="Z50" s="1136">
        <f t="shared" si="8"/>
        <v>0</v>
      </c>
      <c r="AA50" s="227">
        <f>EquipmentSpecs!J50</f>
        <v>0.27</v>
      </c>
      <c r="AB50" s="228">
        <f>EquipmentSpecs!K50</f>
        <v>1.4</v>
      </c>
      <c r="AC50" s="89">
        <f>(C50*AA50*(((E50*D50)/1000)^AB50)/(E50*D50))*O50*S50</f>
        <v>0</v>
      </c>
      <c r="AD50" s="84">
        <f>IF(Q50=4,0.003,0.007)</f>
        <v>3.0000000000000001E-3</v>
      </c>
      <c r="AE50" s="229">
        <v>2</v>
      </c>
      <c r="AF50" s="89">
        <f>((P50*AD50*(((AP50*AO50)/1000)^AE50)/(AP50*AO50))*O50*S50)+AI50</f>
        <v>0</v>
      </c>
      <c r="AG50" s="229">
        <f>0.044*R50</f>
        <v>8.58</v>
      </c>
      <c r="AH50" s="89">
        <f>AG50*O50*$AI$11*S50</f>
        <v>0</v>
      </c>
      <c r="AI50" s="89">
        <f>AH50*0.1</f>
        <v>0</v>
      </c>
      <c r="AJ50" s="89">
        <f>AH50</f>
        <v>0</v>
      </c>
      <c r="AK50" s="227">
        <f>EquipmentSpecs!L50</f>
        <v>1.04</v>
      </c>
      <c r="AL50" s="226">
        <f>O50*S50*AK50</f>
        <v>0</v>
      </c>
      <c r="AM50" s="230">
        <f>AL50*$AL$11</f>
        <v>0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3"/>
        <v>0.09</v>
      </c>
      <c r="AS50" s="437">
        <f>(AR50*(1+AR50)^AP50)/((1+AR50)^AP50-1)</f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4"/>
        <v>0.18067437783749629</v>
      </c>
      <c r="I51" s="225">
        <f t="shared" si="12"/>
        <v>5019.8988963663669</v>
      </c>
      <c r="J51" s="89">
        <f t="shared" si="5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5"/>
        <v>13.575757575757576</v>
      </c>
      <c r="O51" s="226">
        <f t="shared" si="1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f>Machine!B51</f>
        <v>0</v>
      </c>
      <c r="T51" s="89">
        <f t="shared" si="14"/>
        <v>0</v>
      </c>
      <c r="U51" s="89">
        <f t="shared" si="24"/>
        <v>61.186395417279016</v>
      </c>
      <c r="V51" s="89">
        <f t="shared" si="15"/>
        <v>0</v>
      </c>
      <c r="W51" s="1144">
        <f t="shared" si="7"/>
        <v>0</v>
      </c>
      <c r="X51" s="1144">
        <f t="shared" si="7"/>
        <v>0</v>
      </c>
      <c r="Y51" s="1144">
        <f t="shared" si="7"/>
        <v>0</v>
      </c>
      <c r="Z51" s="1136">
        <f t="shared" si="8"/>
        <v>0</v>
      </c>
      <c r="AA51" s="227">
        <f>EquipmentSpecs!J51</f>
        <v>0.44</v>
      </c>
      <c r="AB51" s="228">
        <f>EquipmentSpecs!K51</f>
        <v>2</v>
      </c>
      <c r="AC51" s="89">
        <f t="shared" si="16"/>
        <v>0</v>
      </c>
      <c r="AD51" s="84">
        <f t="shared" si="17"/>
        <v>3.0000000000000001E-3</v>
      </c>
      <c r="AE51" s="229">
        <v>2</v>
      </c>
      <c r="AF51" s="89">
        <f t="shared" si="9"/>
        <v>0</v>
      </c>
      <c r="AG51" s="229">
        <f t="shared" si="18"/>
        <v>8.58</v>
      </c>
      <c r="AH51" s="89">
        <f t="shared" si="19"/>
        <v>0</v>
      </c>
      <c r="AI51" s="89">
        <f t="shared" si="20"/>
        <v>0</v>
      </c>
      <c r="AJ51" s="89">
        <f t="shared" si="10"/>
        <v>0</v>
      </c>
      <c r="AK51" s="227">
        <f>EquipmentSpecs!L51</f>
        <v>1.1000000000000001</v>
      </c>
      <c r="AL51" s="226">
        <f t="shared" si="21"/>
        <v>0</v>
      </c>
      <c r="AM51" s="230">
        <f t="shared" si="22"/>
        <v>0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3"/>
        <v>0.09</v>
      </c>
      <c r="AS51" s="437">
        <f t="shared" si="11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>(G52*(1+G52)^E52)/((1+G52)^E52-1)</f>
        <v>0.18067437783749629</v>
      </c>
      <c r="I52" s="225">
        <f>((C52-(F52*C52))*H52)+(G52*(F52*C52))</f>
        <v>4090.7709398760085</v>
      </c>
      <c r="J52" s="89">
        <f t="shared" si="5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5"/>
        <v>19.781818181818181</v>
      </c>
      <c r="O52" s="226">
        <f>1/N52</f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f>Machine!B52</f>
        <v>0</v>
      </c>
      <c r="T52" s="89">
        <f>J52*O52*S52</f>
        <v>0</v>
      </c>
      <c r="U52" s="89">
        <f>(((P52-(AQ52*P52))*AS52)+(AR52*(AQ52*P52)))/AO52</f>
        <v>75.989555598878766</v>
      </c>
      <c r="V52" s="89">
        <f>U52*O52*S52</f>
        <v>0</v>
      </c>
      <c r="W52" s="1144">
        <f t="shared" si="7"/>
        <v>0</v>
      </c>
      <c r="X52" s="1144">
        <f t="shared" si="7"/>
        <v>0</v>
      </c>
      <c r="Y52" s="1144">
        <f t="shared" si="7"/>
        <v>0</v>
      </c>
      <c r="Z52" s="1136">
        <f t="shared" si="8"/>
        <v>0</v>
      </c>
      <c r="AA52" s="227">
        <f>EquipmentSpecs!J52</f>
        <v>0.16</v>
      </c>
      <c r="AB52" s="228">
        <f>EquipmentSpecs!K52</f>
        <v>1.3</v>
      </c>
      <c r="AC52" s="89">
        <f>(C52*AA52*(((E52*D52)/1000)^AB52)/(E52*D52))*O52*S52</f>
        <v>0</v>
      </c>
      <c r="AD52" s="84">
        <f>IF(Q52=4,0.003,0.007)</f>
        <v>3.0000000000000001E-3</v>
      </c>
      <c r="AE52" s="229">
        <v>2</v>
      </c>
      <c r="AF52" s="89">
        <f>((P52*AD52*(((AP52*AO52)/1000)^AE52)/(AP52*AO52))*O52*S52)+AI52</f>
        <v>0</v>
      </c>
      <c r="AG52" s="229">
        <f>0.044*R52</f>
        <v>10.119999999999999</v>
      </c>
      <c r="AH52" s="89">
        <f>AG52*O52*$AI$11*S52</f>
        <v>0</v>
      </c>
      <c r="AI52" s="89">
        <f>AH52*0.1</f>
        <v>0</v>
      </c>
      <c r="AJ52" s="89">
        <f>AH52</f>
        <v>0</v>
      </c>
      <c r="AK52" s="227">
        <f>EquipmentSpecs!L52</f>
        <v>1.04</v>
      </c>
      <c r="AL52" s="226">
        <f>O52*S52*AK52</f>
        <v>0</v>
      </c>
      <c r="AM52" s="230">
        <f>AL52*$AL$11</f>
        <v>0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3"/>
        <v>0.09</v>
      </c>
      <c r="AS52" s="437">
        <f>(AR52*(1+AR52)^AP52)/((1+AR52)^AP52-1)</f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>(G53*(1+G53)^E53)/((1+G53)^E53-1)</f>
        <v>0.18067437783749629</v>
      </c>
      <c r="I53" s="225">
        <f>((C53-(F53*C53))*H53)+(G53*(F53*C53))</f>
        <v>0</v>
      </c>
      <c r="J53" s="89">
        <f t="shared" si="5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5"/>
        <v>8.484848484848484E-2</v>
      </c>
      <c r="O53" s="226">
        <f>1/N53</f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f>Machine!B53</f>
        <v>0</v>
      </c>
      <c r="T53" s="89">
        <f>J53*O53*S53</f>
        <v>0</v>
      </c>
      <c r="U53" s="89">
        <f>(((P53-(AQ53*P53))*AS53)+(AR53*(AQ53*P53)))/AO53</f>
        <v>75.989555598878766</v>
      </c>
      <c r="V53" s="89">
        <f>U53*O53*S53</f>
        <v>0</v>
      </c>
      <c r="W53" s="1144">
        <f t="shared" si="7"/>
        <v>0</v>
      </c>
      <c r="X53" s="1144">
        <f t="shared" si="7"/>
        <v>0</v>
      </c>
      <c r="Y53" s="1144">
        <f t="shared" si="7"/>
        <v>0</v>
      </c>
      <c r="Z53" s="1136">
        <f t="shared" si="8"/>
        <v>0</v>
      </c>
      <c r="AA53" s="227">
        <f>EquipmentSpecs!J53</f>
        <v>0.63</v>
      </c>
      <c r="AB53" s="228">
        <f>EquipmentSpecs!K53</f>
        <v>1.3</v>
      </c>
      <c r="AC53" s="89">
        <f>(C53*AA53*(((E53*D53)/1000)^AB53)/(E53*D53))*O53*S53</f>
        <v>0</v>
      </c>
      <c r="AD53" s="84">
        <f>IF(Q53=4,0.003,0.007)</f>
        <v>3.0000000000000001E-3</v>
      </c>
      <c r="AE53" s="229">
        <v>2</v>
      </c>
      <c r="AF53" s="89">
        <f>((P53*AD53*(((AP53*AO53)/1000)^AE53)/(AP53*AO53))*O53*S53)+AI53</f>
        <v>0</v>
      </c>
      <c r="AG53" s="229">
        <f>0.044*R53</f>
        <v>10.119999999999999</v>
      </c>
      <c r="AH53" s="89">
        <f>AG53*O53*$AI$11*S53</f>
        <v>0</v>
      </c>
      <c r="AI53" s="89">
        <f>AH53*0.1</f>
        <v>0</v>
      </c>
      <c r="AJ53" s="89">
        <f>AH53</f>
        <v>0</v>
      </c>
      <c r="AK53" s="227">
        <f>EquipmentSpecs!L53</f>
        <v>1.33</v>
      </c>
      <c r="AL53" s="226">
        <f>O53*S53*AK53</f>
        <v>0</v>
      </c>
      <c r="AM53" s="230">
        <f>AL53*$AL$11</f>
        <v>0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3"/>
        <v>0.09</v>
      </c>
      <c r="AS53" s="437">
        <f>(AR53*(1+AR53)^AP53)/((1+AR53)^AP53-1)</f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>(G54*(1+G54)^E54)/((1+G54)^E54-1)</f>
        <v>0.18067437783749629</v>
      </c>
      <c r="I54" s="575">
        <f>((C54-(F54*C54))*H54)+(G54*(F54*C54))</f>
        <v>0</v>
      </c>
      <c r="J54" s="761">
        <f t="shared" si="5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5"/>
        <v>8.484848484848484E-2</v>
      </c>
      <c r="O54" s="763">
        <f>1/N54</f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f>Machine!B54</f>
        <v>0</v>
      </c>
      <c r="T54" s="761">
        <f>J54*O54*S54</f>
        <v>0</v>
      </c>
      <c r="U54" s="761">
        <f>(((P54-(AQ54*P54))*AS54)+(AR54*(AQ54*P54)))/AO54</f>
        <v>75.989555598878766</v>
      </c>
      <c r="V54" s="761">
        <f>U54*O54*S54</f>
        <v>0</v>
      </c>
      <c r="W54" s="1145">
        <f t="shared" si="7"/>
        <v>0</v>
      </c>
      <c r="X54" s="1145">
        <f t="shared" si="7"/>
        <v>0</v>
      </c>
      <c r="Y54" s="1145">
        <f t="shared" si="7"/>
        <v>0</v>
      </c>
      <c r="Z54" s="1137">
        <f t="shared" si="8"/>
        <v>0</v>
      </c>
      <c r="AA54" s="765">
        <f>EquipmentSpecs!J54</f>
        <v>0.63</v>
      </c>
      <c r="AB54" s="766">
        <f>EquipmentSpecs!K54</f>
        <v>1.3</v>
      </c>
      <c r="AC54" s="761">
        <f>(C54*AA54*(((E54*D54)/1000)^AB54)/(E54*D54))*O54*S54</f>
        <v>0</v>
      </c>
      <c r="AD54" s="767">
        <f>IF(Q54=4,0.003,0.007)</f>
        <v>3.0000000000000001E-3</v>
      </c>
      <c r="AE54" s="768">
        <v>2</v>
      </c>
      <c r="AF54" s="761">
        <f>((P54*AD54*(((AP54*AO54)/1000)^AE54)/(AP54*AO54))*O54*S54)+AI54</f>
        <v>0</v>
      </c>
      <c r="AG54" s="768">
        <f>0.044*R54</f>
        <v>10.119999999999999</v>
      </c>
      <c r="AH54" s="761">
        <f>AG54*O54*$AI$11*S54</f>
        <v>0</v>
      </c>
      <c r="AI54" s="761">
        <f>AH54*0.1</f>
        <v>0</v>
      </c>
      <c r="AJ54" s="761">
        <f>AH54</f>
        <v>0</v>
      </c>
      <c r="AK54" s="765">
        <f>EquipmentSpecs!L54</f>
        <v>1.33</v>
      </c>
      <c r="AL54" s="763">
        <f>O54*S54*AK54</f>
        <v>0</v>
      </c>
      <c r="AM54" s="769">
        <f>AL54*$AL$11</f>
        <v>0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3"/>
        <v>0.09</v>
      </c>
      <c r="AS54" s="754">
        <f>(AR54*(1+AR54)^AP54)/((1+AR54)^AP54-1)</f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15.077132579216398</v>
      </c>
      <c r="U56" s="17"/>
      <c r="V56" s="257">
        <f>SUM(V14:V54)</f>
        <v>20.302705790021939</v>
      </c>
      <c r="W56" s="1147"/>
      <c r="X56" s="1147">
        <f>Z56-(T56+V56)</f>
        <v>5.2568001420396868</v>
      </c>
      <c r="Y56" s="1148">
        <f>(Z56-(T56+V56))/(T56+V56)</f>
        <v>0.14858180207545296</v>
      </c>
      <c r="Z56" s="257">
        <f>SUM(Z14:Z54)</f>
        <v>40.636638511278022</v>
      </c>
      <c r="AA56" s="17"/>
      <c r="AB56" s="17"/>
      <c r="AC56" s="257">
        <f>SUM(AC14:AC54)</f>
        <v>4.0570988157376</v>
      </c>
      <c r="AD56" s="258"/>
      <c r="AE56" s="17"/>
      <c r="AF56" s="257">
        <f>SUM(AF14:AF54)</f>
        <v>1.8912147971494409</v>
      </c>
      <c r="AG56" s="17"/>
      <c r="AH56" s="257">
        <f>SUM(AH14:AH54)</f>
        <v>7.0622878150239119</v>
      </c>
      <c r="AI56" s="257">
        <f>SUM(AI14:AI54)</f>
        <v>0.70622878150239121</v>
      </c>
      <c r="AJ56" s="257"/>
      <c r="AK56" s="17"/>
      <c r="AL56" s="259">
        <f>SUM(AL14:AL54)</f>
        <v>0.42765213290890414</v>
      </c>
      <c r="AM56" s="260">
        <f>SUM(AM14:AM54)</f>
        <v>6.3420811310390484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f>Machine!B58</f>
        <v>0</v>
      </c>
      <c r="T58" s="246">
        <f>J58*O58*S58</f>
        <v>0</v>
      </c>
      <c r="U58" s="772"/>
      <c r="V58" s="772"/>
      <c r="W58" s="1143">
        <f t="shared" ref="W58:Y60" si="26">IF($T58&gt;0,((((($C58+($C58*$F58)+($C58/$E58))/2)*W$12)/$D58)*$O58),0)+IF($V58&gt;0,((((($P58+($P58*$AQ58)+($P58/$AP58))/2)*W$12)/$AO58)*$O58),0)</f>
        <v>0</v>
      </c>
      <c r="X58" s="1143">
        <f t="shared" si="26"/>
        <v>0</v>
      </c>
      <c r="Y58" s="1143">
        <f t="shared" si="26"/>
        <v>0</v>
      </c>
      <c r="Z58" s="1138">
        <f>T58+V58+(SUM(W58:Y58)*S58)</f>
        <v>0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</v>
      </c>
      <c r="AD58" s="773"/>
      <c r="AE58" s="774"/>
      <c r="AF58" s="772"/>
      <c r="AG58" s="775">
        <f>0.044*R58</f>
        <v>11</v>
      </c>
      <c r="AH58" s="246">
        <f>AG58*O58*$AI$11*S58</f>
        <v>0</v>
      </c>
      <c r="AI58" s="246">
        <f>AH58*0.1</f>
        <v>0</v>
      </c>
      <c r="AJ58" s="246">
        <f>AH58</f>
        <v>0</v>
      </c>
      <c r="AK58" s="454">
        <f>EquipmentSpecs!L58</f>
        <v>1.25</v>
      </c>
      <c r="AL58" s="247">
        <f>O58*S58*AK58</f>
        <v>0</v>
      </c>
      <c r="AM58" s="252">
        <f>AL58*$AL$11</f>
        <v>0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>$I$8</f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f>Machine!B59</f>
        <v>0</v>
      </c>
      <c r="T59" s="89">
        <f>J59*O59*S59</f>
        <v>0</v>
      </c>
      <c r="U59" s="269"/>
      <c r="V59" s="269"/>
      <c r="W59" s="1144">
        <f t="shared" si="26"/>
        <v>0</v>
      </c>
      <c r="X59" s="1144">
        <f t="shared" si="26"/>
        <v>0</v>
      </c>
      <c r="Y59" s="1144">
        <f t="shared" si="26"/>
        <v>0</v>
      </c>
      <c r="Z59" s="1136">
        <f>T59+V59+(SUM(W59:Y59)*S59)</f>
        <v>0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0</v>
      </c>
      <c r="AD59" s="271"/>
      <c r="AE59" s="272"/>
      <c r="AF59" s="269"/>
      <c r="AG59" s="229">
        <f>0.044*R59</f>
        <v>2.1999999999999997</v>
      </c>
      <c r="AH59" s="89">
        <f>AG59*O59*$AI$11*S59</f>
        <v>0</v>
      </c>
      <c r="AI59" s="89">
        <f>AH59*0.1</f>
        <v>0</v>
      </c>
      <c r="AJ59" s="89">
        <f>AH59</f>
        <v>0</v>
      </c>
      <c r="AK59" s="227">
        <f>EquipmentSpecs!L59</f>
        <v>1.04</v>
      </c>
      <c r="AL59" s="226">
        <f>O59*S59*AK59</f>
        <v>0</v>
      </c>
      <c r="AM59" s="230">
        <f>AL59*$AL$11</f>
        <v>0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>$I$8</f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f>Machine!B60</f>
        <v>0</v>
      </c>
      <c r="T60" s="761">
        <f>J60*O60*S60</f>
        <v>0</v>
      </c>
      <c r="U60" s="779"/>
      <c r="V60" s="779"/>
      <c r="W60" s="1145">
        <f t="shared" si="26"/>
        <v>0</v>
      </c>
      <c r="X60" s="1145">
        <f t="shared" si="26"/>
        <v>0</v>
      </c>
      <c r="Y60" s="1145">
        <f t="shared" si="26"/>
        <v>0</v>
      </c>
      <c r="Z60" s="1137">
        <f>T60+V60+(SUM(W60:Y60)*S60)</f>
        <v>0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</v>
      </c>
      <c r="AD60" s="780"/>
      <c r="AE60" s="781"/>
      <c r="AF60" s="779"/>
      <c r="AG60" s="782">
        <f>0.044*R60</f>
        <v>11</v>
      </c>
      <c r="AH60" s="761">
        <f>AG60*O60*$AI$11*S60</f>
        <v>0</v>
      </c>
      <c r="AI60" s="761">
        <f>AH60*0.1</f>
        <v>0</v>
      </c>
      <c r="AJ60" s="761">
        <f>AH60</f>
        <v>0</v>
      </c>
      <c r="AK60" s="751">
        <f>EquipmentSpecs!L60</f>
        <v>1.25</v>
      </c>
      <c r="AL60" s="763">
        <f>O60*S60*AK60</f>
        <v>0</v>
      </c>
      <c r="AM60" s="769">
        <f>AL60*$AL$11</f>
        <v>0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0</v>
      </c>
      <c r="U62" s="17"/>
      <c r="V62" s="257">
        <f>SUM(V58:V60)</f>
        <v>0</v>
      </c>
      <c r="W62" s="1147"/>
      <c r="X62" s="1147">
        <f>Z62-(T62+V62)</f>
        <v>0</v>
      </c>
      <c r="Y62" s="1148" t="e">
        <f>(Z62-(T62+V62))/(T62+V62)</f>
        <v>#DIV/0!</v>
      </c>
      <c r="Z62" s="257">
        <f>SUM(Z58:Z60)</f>
        <v>0</v>
      </c>
      <c r="AA62" s="17"/>
      <c r="AB62" s="17"/>
      <c r="AC62" s="257">
        <f>SUM(AC58:AC60)</f>
        <v>0</v>
      </c>
      <c r="AD62" s="258"/>
      <c r="AE62" s="17"/>
      <c r="AF62" s="257">
        <f>SUM(AF58:AF60)</f>
        <v>0</v>
      </c>
      <c r="AG62" s="17"/>
      <c r="AH62" s="257">
        <f>SUM(AH58:AH60)</f>
        <v>0</v>
      </c>
      <c r="AI62" s="257">
        <f>SUM(AI58:AI60)</f>
        <v>0</v>
      </c>
      <c r="AJ62" s="257"/>
      <c r="AK62" s="17"/>
      <c r="AL62" s="259">
        <f>SUM(AL58:AL60)</f>
        <v>0</v>
      </c>
      <c r="AM62" s="260">
        <f>SUM(AM58:AM60)</f>
        <v>0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7">$I$8</f>
        <v>0.09</v>
      </c>
      <c r="H64" s="332">
        <f t="shared" ref="H64:H74" si="28">(G64*(1+G64)^E64)/((1+G64)^E64-1)</f>
        <v>0.18067437783749629</v>
      </c>
      <c r="I64" s="245">
        <f t="shared" ref="I64:I74" si="29">((C64-(F64*C64))*H64)+(G64*(F64*C64))</f>
        <v>74226.493876552733</v>
      </c>
      <c r="J64" s="784">
        <f t="shared" ref="J64:J81" si="30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74" si="31">(K64*L64*M64)/8.25</f>
        <v>5.6424242424242417</v>
      </c>
      <c r="O64" s="247">
        <f t="shared" ref="O64:O74" si="32">1/N64</f>
        <v>0.17722878625134267</v>
      </c>
      <c r="P64" s="770"/>
      <c r="Q64" s="771"/>
      <c r="R64" s="351">
        <f>Machine!H64</f>
        <v>355</v>
      </c>
      <c r="S64" s="1196">
        <f>Machine!B64</f>
        <v>0</v>
      </c>
      <c r="T64" s="246">
        <f t="shared" ref="T64:T74" si="33">J64*O64*S64</f>
        <v>0</v>
      </c>
      <c r="U64" s="772"/>
      <c r="V64" s="772"/>
      <c r="W64" s="1143">
        <f t="shared" ref="W64:Y81" si="34">IF($T64&gt;0,((((($C64+($C64*$F64)+($C64/$E64))/2)*W$12)/$D64)*$O64),0)+IF($V64&gt;0,((((($P64+($P64*$AQ64)+($P64/$AP64))/2)*W$12)/$AO64)*$O64),0)</f>
        <v>0</v>
      </c>
      <c r="X64" s="1143">
        <f t="shared" si="34"/>
        <v>0</v>
      </c>
      <c r="Y64" s="1143">
        <f t="shared" si="34"/>
        <v>0</v>
      </c>
      <c r="Z64" s="1138">
        <f t="shared" ref="Z64:Z81" si="35">T64+V64+(SUM(W64:Y64)*S64)</f>
        <v>0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0</v>
      </c>
      <c r="AD64" s="773"/>
      <c r="AE64" s="774"/>
      <c r="AF64" s="772"/>
      <c r="AG64" s="251">
        <f t="shared" ref="AG64:AG69" si="36">0.044*R64</f>
        <v>15.62</v>
      </c>
      <c r="AH64" s="246">
        <f t="shared" ref="AH64:AH69" si="37">AG64*O64*$AJ$11*S64</f>
        <v>0</v>
      </c>
      <c r="AI64" s="246">
        <f t="shared" ref="AI64:AI69" si="38">AH64*0.1</f>
        <v>0</v>
      </c>
      <c r="AJ64" s="246">
        <f t="shared" ref="AJ64:AJ69" si="39">AH64</f>
        <v>0</v>
      </c>
      <c r="AK64" s="248">
        <f>EquipmentSpecs!L64</f>
        <v>1.1100000000000001</v>
      </c>
      <c r="AL64" s="247">
        <f t="shared" ref="AL64:AL74" si="40">O64*S64*AK64</f>
        <v>0</v>
      </c>
      <c r="AM64" s="252">
        <f t="shared" ref="AM64:AM74" si="41">AL64*$AL$11</f>
        <v>0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7"/>
        <v>0.09</v>
      </c>
      <c r="H65" s="333">
        <f t="shared" si="28"/>
        <v>0.18067437783749629</v>
      </c>
      <c r="I65" s="225">
        <f t="shared" si="29"/>
        <v>4404.3411144261827</v>
      </c>
      <c r="J65" s="546">
        <f t="shared" si="30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1"/>
        <v>5.6424242424242417</v>
      </c>
      <c r="O65" s="226">
        <f t="shared" si="32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f>Machine!B65</f>
        <v>0</v>
      </c>
      <c r="T65" s="89">
        <f t="shared" si="33"/>
        <v>0</v>
      </c>
      <c r="U65" s="89">
        <f>(((P65-(AQ65*P65))*AS65)+(AR65*(AQ65*P65)))/AO65</f>
        <v>61.186395417279016</v>
      </c>
      <c r="V65" s="89">
        <f>U65*O65*S65</f>
        <v>0</v>
      </c>
      <c r="W65" s="1144">
        <f t="shared" si="34"/>
        <v>0</v>
      </c>
      <c r="X65" s="1144">
        <f t="shared" si="34"/>
        <v>0</v>
      </c>
      <c r="Y65" s="1144">
        <f t="shared" si="34"/>
        <v>0</v>
      </c>
      <c r="Z65" s="1136">
        <f t="shared" si="35"/>
        <v>0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0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0</v>
      </c>
      <c r="AG65" s="229">
        <f t="shared" si="36"/>
        <v>8.58</v>
      </c>
      <c r="AH65" s="89">
        <f t="shared" si="37"/>
        <v>0</v>
      </c>
      <c r="AI65" s="89">
        <f t="shared" si="38"/>
        <v>0</v>
      </c>
      <c r="AJ65" s="89">
        <f t="shared" si="39"/>
        <v>0</v>
      </c>
      <c r="AK65" s="227">
        <f>EquipmentSpecs!L65</f>
        <v>1.1100000000000001</v>
      </c>
      <c r="AL65" s="226">
        <f t="shared" si="40"/>
        <v>0</v>
      </c>
      <c r="AM65" s="230">
        <f t="shared" si="41"/>
        <v>0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7"/>
        <v>0.09</v>
      </c>
      <c r="H66" s="334">
        <f t="shared" si="28"/>
        <v>0.18067437783749629</v>
      </c>
      <c r="I66" s="234">
        <f t="shared" si="29"/>
        <v>5010.8405465766728</v>
      </c>
      <c r="J66" s="547">
        <f t="shared" si="30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1"/>
        <v>5.6424242424242417</v>
      </c>
      <c r="O66" s="236">
        <f t="shared" si="32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f>Machine!B66</f>
        <v>0</v>
      </c>
      <c r="T66" s="235">
        <f t="shared" si="33"/>
        <v>0</v>
      </c>
      <c r="U66" s="235">
        <f>(((P66-(AQ66*P66))*AS66)+(AR66*(AQ66*P66)))/AO66</f>
        <v>61.186395417279016</v>
      </c>
      <c r="V66" s="235">
        <f>U66*O66*S66</f>
        <v>0</v>
      </c>
      <c r="W66" s="1146">
        <f t="shared" si="34"/>
        <v>0</v>
      </c>
      <c r="X66" s="1146">
        <f t="shared" si="34"/>
        <v>0</v>
      </c>
      <c r="Y66" s="1146">
        <f t="shared" si="34"/>
        <v>0</v>
      </c>
      <c r="Z66" s="1139">
        <f t="shared" si="35"/>
        <v>0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0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0</v>
      </c>
      <c r="AG66" s="240">
        <f t="shared" si="36"/>
        <v>8.58</v>
      </c>
      <c r="AH66" s="235">
        <f t="shared" si="37"/>
        <v>0</v>
      </c>
      <c r="AI66" s="235">
        <f t="shared" si="38"/>
        <v>0</v>
      </c>
      <c r="AJ66" s="235">
        <f t="shared" si="39"/>
        <v>0</v>
      </c>
      <c r="AK66" s="237">
        <f>EquipmentSpecs!L66</f>
        <v>3.33</v>
      </c>
      <c r="AL66" s="236">
        <f t="shared" si="40"/>
        <v>0</v>
      </c>
      <c r="AM66" s="241">
        <f t="shared" si="41"/>
        <v>0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7"/>
        <v>0.09</v>
      </c>
      <c r="H67" s="333">
        <f>(G67*(1+G67)^E67)/((1+G67)^E67-1)</f>
        <v>0.18067437783749629</v>
      </c>
      <c r="I67" s="225">
        <f>((C67-(F67*C67))*H67)+(G67*(F67*C67))</f>
        <v>149074.12996127742</v>
      </c>
      <c r="J67" s="546">
        <f t="shared" si="30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>1/N67</f>
        <v>0.13806376035478204</v>
      </c>
      <c r="P67" s="270"/>
      <c r="Q67" s="20"/>
      <c r="R67" s="339">
        <f>Machine!H67</f>
        <v>560</v>
      </c>
      <c r="S67" s="1200">
        <f>IF(AND(C67&gt;0,(SUM(Machine!B64:B66)&gt;0),Machine!B64+Machine!B67&gt;1),1/0,Machine!B67)</f>
        <v>0</v>
      </c>
      <c r="T67" s="89">
        <f>J67*O67*S67</f>
        <v>0</v>
      </c>
      <c r="U67" s="269"/>
      <c r="V67" s="269"/>
      <c r="W67" s="1144">
        <f t="shared" si="34"/>
        <v>0</v>
      </c>
      <c r="X67" s="1144">
        <f t="shared" si="34"/>
        <v>0</v>
      </c>
      <c r="Y67" s="1144">
        <f t="shared" si="34"/>
        <v>0</v>
      </c>
      <c r="Z67" s="1136">
        <f t="shared" si="35"/>
        <v>0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0</v>
      </c>
      <c r="AD67" s="271"/>
      <c r="AE67" s="272"/>
      <c r="AF67" s="269"/>
      <c r="AG67" s="229">
        <f t="shared" si="36"/>
        <v>24.639999999999997</v>
      </c>
      <c r="AH67" s="89">
        <f t="shared" si="37"/>
        <v>0</v>
      </c>
      <c r="AI67" s="89">
        <f t="shared" si="38"/>
        <v>0</v>
      </c>
      <c r="AJ67" s="89">
        <f>AH67</f>
        <v>0</v>
      </c>
      <c r="AK67" s="227">
        <f>EquipmentSpecs!L67</f>
        <v>1.1100000000000001</v>
      </c>
      <c r="AL67" s="226">
        <f>O67*S67*AK67</f>
        <v>0</v>
      </c>
      <c r="AM67" s="230">
        <f>AL67*$AL$11</f>
        <v>0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7"/>
        <v>0.09</v>
      </c>
      <c r="H68" s="334">
        <f>(G68*(1+G68)^E68)/((1+G68)^E68-1)</f>
        <v>0.18067437783749629</v>
      </c>
      <c r="I68" s="234">
        <f>((C68-(F68*C68))*H68)+(G68*(F68*C68))</f>
        <v>1985.5636171593444</v>
      </c>
      <c r="J68" s="547">
        <f t="shared" si="30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>1/N68</f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f>Machine!B68</f>
        <v>0</v>
      </c>
      <c r="T68" s="235">
        <f>J68*O68*S68</f>
        <v>0</v>
      </c>
      <c r="U68" s="235">
        <f>(((P68-(AQ68*P68))*AS68)+(AR68*(AQ68*P68)))/AO68</f>
        <v>61.186395417279016</v>
      </c>
      <c r="V68" s="235">
        <f>U68*O68*S68</f>
        <v>0</v>
      </c>
      <c r="W68" s="1146">
        <f t="shared" si="34"/>
        <v>0</v>
      </c>
      <c r="X68" s="1146">
        <f t="shared" si="34"/>
        <v>0</v>
      </c>
      <c r="Y68" s="1146">
        <f t="shared" si="34"/>
        <v>0</v>
      </c>
      <c r="Z68" s="1139">
        <f t="shared" si="35"/>
        <v>0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0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0</v>
      </c>
      <c r="AG68" s="240">
        <f t="shared" si="36"/>
        <v>8.58</v>
      </c>
      <c r="AH68" s="235">
        <f t="shared" si="37"/>
        <v>0</v>
      </c>
      <c r="AI68" s="235">
        <f t="shared" si="38"/>
        <v>0</v>
      </c>
      <c r="AJ68" s="235">
        <f>AH68</f>
        <v>0</v>
      </c>
      <c r="AK68" s="237">
        <f>EquipmentSpecs!L68</f>
        <v>1.1100000000000001</v>
      </c>
      <c r="AL68" s="236">
        <f>O68*S68*AK68</f>
        <v>0</v>
      </c>
      <c r="AM68" s="241">
        <f>AL68*$AL$11</f>
        <v>0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7"/>
        <v>0.09</v>
      </c>
      <c r="H69" s="333">
        <f t="shared" si="28"/>
        <v>0.18067437783749629</v>
      </c>
      <c r="I69" s="225">
        <f t="shared" si="29"/>
        <v>114756.02295977503</v>
      </c>
      <c r="J69" s="546">
        <f t="shared" si="30"/>
        <v>382.52007653258346</v>
      </c>
      <c r="K69" s="336">
        <f>Machine!D69</f>
        <v>30</v>
      </c>
      <c r="L69" s="336">
        <f>Machine!E69</f>
        <v>3.5</v>
      </c>
      <c r="M69" s="224">
        <f>EquipmentSpecs!C69</f>
        <v>0.7</v>
      </c>
      <c r="N69" s="89">
        <f t="shared" si="31"/>
        <v>8.9090909090909083</v>
      </c>
      <c r="O69" s="226">
        <f t="shared" si="32"/>
        <v>0.11224489795918369</v>
      </c>
      <c r="P69" s="270"/>
      <c r="Q69" s="20"/>
      <c r="R69" s="339">
        <f>Machine!H69</f>
        <v>325</v>
      </c>
      <c r="S69" s="1197">
        <f>Machine!B69</f>
        <v>1</v>
      </c>
      <c r="T69" s="89">
        <f t="shared" si="33"/>
        <v>42.935926957738964</v>
      </c>
      <c r="U69" s="269"/>
      <c r="V69" s="269"/>
      <c r="W69" s="1144">
        <f t="shared" si="34"/>
        <v>1.9423886054421771</v>
      </c>
      <c r="X69" s="1144">
        <f t="shared" si="34"/>
        <v>1.9423886054421771</v>
      </c>
      <c r="Y69" s="1144">
        <f t="shared" si="34"/>
        <v>1.7869975170068029</v>
      </c>
      <c r="Z69" s="1136">
        <f t="shared" si="35"/>
        <v>48.607701685630119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9.0865286271162944</v>
      </c>
      <c r="AD69" s="271"/>
      <c r="AE69" s="272"/>
      <c r="AF69" s="269"/>
      <c r="AG69" s="229">
        <f t="shared" si="36"/>
        <v>14.299999999999999</v>
      </c>
      <c r="AH69" s="89">
        <f t="shared" si="37"/>
        <v>3.9485510204081633</v>
      </c>
      <c r="AI69" s="89">
        <f t="shared" si="38"/>
        <v>0.39485510204081636</v>
      </c>
      <c r="AJ69" s="89">
        <f t="shared" si="39"/>
        <v>3.9485510204081633</v>
      </c>
      <c r="AK69" s="227">
        <f>EquipmentSpecs!L69</f>
        <v>1.1100000000000001</v>
      </c>
      <c r="AL69" s="226">
        <f t="shared" si="40"/>
        <v>0.1245918367346939</v>
      </c>
      <c r="AM69" s="230">
        <f t="shared" si="41"/>
        <v>1.8476969387755104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7"/>
        <v>0.09</v>
      </c>
      <c r="H70" s="333">
        <f t="shared" si="28"/>
        <v>0.18067437783749629</v>
      </c>
      <c r="I70" s="225">
        <f t="shared" si="29"/>
        <v>10543.888983719518</v>
      </c>
      <c r="J70" s="546">
        <f t="shared" si="30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1"/>
        <v>7.424242424242423</v>
      </c>
      <c r="O70" s="226">
        <f t="shared" si="32"/>
        <v>0.13469387755102044</v>
      </c>
      <c r="P70" s="270"/>
      <c r="Q70" s="20"/>
      <c r="R70" s="270"/>
      <c r="S70" s="1197">
        <f>Machine!B70</f>
        <v>0</v>
      </c>
      <c r="T70" s="89">
        <f t="shared" si="33"/>
        <v>0</v>
      </c>
      <c r="U70" s="269"/>
      <c r="V70" s="269"/>
      <c r="W70" s="1144">
        <f t="shared" si="34"/>
        <v>0</v>
      </c>
      <c r="X70" s="1144">
        <f t="shared" si="34"/>
        <v>0</v>
      </c>
      <c r="Y70" s="1144">
        <f t="shared" si="34"/>
        <v>0</v>
      </c>
      <c r="Z70" s="1136">
        <f t="shared" si="35"/>
        <v>0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0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40"/>
        <v>0</v>
      </c>
      <c r="AM70" s="230">
        <f t="shared" si="41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7"/>
        <v>0.09</v>
      </c>
      <c r="H71" s="333">
        <f t="shared" si="28"/>
        <v>0.18067437783749629</v>
      </c>
      <c r="I71" s="225">
        <f t="shared" si="29"/>
        <v>6801.5071794832829</v>
      </c>
      <c r="J71" s="546">
        <f t="shared" si="30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1"/>
        <v>11.454545454545455</v>
      </c>
      <c r="O71" s="226">
        <f t="shared" si="32"/>
        <v>8.7301587301587297E-2</v>
      </c>
      <c r="P71" s="270"/>
      <c r="Q71" s="20"/>
      <c r="R71" s="270"/>
      <c r="S71" s="1197">
        <f>Machine!B71</f>
        <v>0</v>
      </c>
      <c r="T71" s="89">
        <f t="shared" si="33"/>
        <v>0</v>
      </c>
      <c r="U71" s="269"/>
      <c r="V71" s="269"/>
      <c r="W71" s="1144">
        <f t="shared" si="34"/>
        <v>0</v>
      </c>
      <c r="X71" s="1144">
        <f t="shared" si="34"/>
        <v>0</v>
      </c>
      <c r="Y71" s="1144">
        <f t="shared" si="34"/>
        <v>0</v>
      </c>
      <c r="Z71" s="1136">
        <f t="shared" si="35"/>
        <v>0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0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40"/>
        <v>0</v>
      </c>
      <c r="AM71" s="230">
        <f t="shared" si="41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7"/>
        <v>0.09</v>
      </c>
      <c r="H72" s="333">
        <f t="shared" si="28"/>
        <v>0.18067437783749629</v>
      </c>
      <c r="I72" s="225">
        <f t="shared" si="29"/>
        <v>12205.444390579589</v>
      </c>
      <c r="J72" s="546">
        <f t="shared" si="30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1"/>
        <v>6.3636363636363633</v>
      </c>
      <c r="O72" s="226">
        <f t="shared" si="32"/>
        <v>0.15714285714285714</v>
      </c>
      <c r="P72" s="270"/>
      <c r="Q72" s="20"/>
      <c r="R72" s="270"/>
      <c r="S72" s="1197">
        <f>Machine!B72</f>
        <v>0</v>
      </c>
      <c r="T72" s="89">
        <f t="shared" si="33"/>
        <v>0</v>
      </c>
      <c r="U72" s="269"/>
      <c r="V72" s="269"/>
      <c r="W72" s="1144">
        <f t="shared" si="34"/>
        <v>0</v>
      </c>
      <c r="X72" s="1144">
        <f t="shared" si="34"/>
        <v>0</v>
      </c>
      <c r="Y72" s="1144">
        <f t="shared" si="34"/>
        <v>0</v>
      </c>
      <c r="Z72" s="1136">
        <f t="shared" si="35"/>
        <v>0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0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40"/>
        <v>0</v>
      </c>
      <c r="AM72" s="230">
        <f t="shared" si="41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7"/>
        <v>0.09</v>
      </c>
      <c r="H73" s="333">
        <f t="shared" si="28"/>
        <v>0.18067437783749629</v>
      </c>
      <c r="I73" s="225">
        <f t="shared" si="29"/>
        <v>4518.8095644512223</v>
      </c>
      <c r="J73" s="546">
        <f t="shared" si="30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1"/>
        <v>8.9090909090909083</v>
      </c>
      <c r="O73" s="226">
        <f t="shared" si="32"/>
        <v>0.11224489795918369</v>
      </c>
      <c r="P73" s="270"/>
      <c r="Q73" s="20"/>
      <c r="R73" s="270"/>
      <c r="S73" s="1197">
        <f>Machine!B73</f>
        <v>1</v>
      </c>
      <c r="T73" s="89">
        <f t="shared" si="33"/>
        <v>1.6907110615293692</v>
      </c>
      <c r="U73" s="269"/>
      <c r="V73" s="269"/>
      <c r="W73" s="1144">
        <f t="shared" si="34"/>
        <v>7.6486479591836756E-2</v>
      </c>
      <c r="X73" s="1144">
        <f t="shared" si="34"/>
        <v>7.6486479591836756E-2</v>
      </c>
      <c r="Y73" s="1144">
        <f t="shared" si="34"/>
        <v>7.0367561224489811E-2</v>
      </c>
      <c r="Z73" s="1136">
        <f t="shared" si="35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40"/>
        <v>0</v>
      </c>
      <c r="AM73" s="230">
        <f t="shared" si="41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7"/>
        <v>0.09</v>
      </c>
      <c r="H74" s="334">
        <f t="shared" si="28"/>
        <v>0.18067437783749629</v>
      </c>
      <c r="I74" s="234">
        <f t="shared" si="29"/>
        <v>8433.2301994258705</v>
      </c>
      <c r="J74" s="547">
        <f t="shared" si="30"/>
        <v>28.11076733141957</v>
      </c>
      <c r="K74" s="337">
        <f>Machine!D74</f>
        <v>30</v>
      </c>
      <c r="L74" s="337">
        <f>Machine!E74</f>
        <v>3.5</v>
      </c>
      <c r="M74" s="233">
        <f>EquipmentSpecs!C74</f>
        <v>0.7</v>
      </c>
      <c r="N74" s="235">
        <f t="shared" si="31"/>
        <v>8.9090909090909083</v>
      </c>
      <c r="O74" s="236">
        <f t="shared" si="32"/>
        <v>0.11224489795918369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f>Machine!B74</f>
        <v>1</v>
      </c>
      <c r="T74" s="235">
        <f t="shared" si="33"/>
        <v>3.155290210669544</v>
      </c>
      <c r="U74" s="235">
        <f>(((P74-(AQ74*P74))*AS74)+(AR74*(AQ74*P74)))/AO74</f>
        <v>61.186395417279016</v>
      </c>
      <c r="V74" s="235">
        <f>U74*O74*S74</f>
        <v>6.8678607101027476</v>
      </c>
      <c r="W74" s="1146">
        <f t="shared" si="34"/>
        <v>0.51108843537414972</v>
      </c>
      <c r="X74" s="1146">
        <f t="shared" si="34"/>
        <v>0.51108843537414972</v>
      </c>
      <c r="Y74" s="1146">
        <f t="shared" si="34"/>
        <v>0.47020136054421779</v>
      </c>
      <c r="Z74" s="1139">
        <f t="shared" si="35"/>
        <v>11.515529152064808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1.6195577179310805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0.63776204081632659</v>
      </c>
      <c r="AG74" s="240">
        <f>0.044*R74</f>
        <v>8.58</v>
      </c>
      <c r="AH74" s="235">
        <f t="shared" ref="AH74:AH81" si="42">AG74*O74*$AJ$11*S74</f>
        <v>2.3691306122448981</v>
      </c>
      <c r="AI74" s="235">
        <f>AH74*0.1</f>
        <v>0.23691306122448982</v>
      </c>
      <c r="AJ74" s="235">
        <f>AH74</f>
        <v>2.3691306122448981</v>
      </c>
      <c r="AK74" s="459">
        <f>EquipmentSpecs!L74</f>
        <v>1.1100000000000001</v>
      </c>
      <c r="AL74" s="236">
        <f t="shared" si="40"/>
        <v>0.1245918367346939</v>
      </c>
      <c r="AM74" s="241">
        <f t="shared" si="41"/>
        <v>1.8476969387755104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7"/>
        <v>0.09</v>
      </c>
      <c r="H75" s="544">
        <f t="shared" ref="H75:H81" si="43">(G75*(1+G75)^E75)/((1+G75)^E75-1)</f>
        <v>0.18067437783749629</v>
      </c>
      <c r="I75" s="265">
        <f t="shared" ref="I75:I81" si="44">((C75-(F75*C75))*H75)+(G75*(F75*C75))</f>
        <v>0</v>
      </c>
      <c r="J75" s="545">
        <f t="shared" si="30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ref="N75:N81" si="45">(K75*L75*M75)/8.25</f>
        <v>3.7424242424242422</v>
      </c>
      <c r="O75" s="226">
        <f t="shared" ref="O75:O81" si="46">1/N75</f>
        <v>0.26720647773279355</v>
      </c>
      <c r="P75" s="270"/>
      <c r="Q75" s="20"/>
      <c r="R75" s="339">
        <f>Machine!H75</f>
        <v>230</v>
      </c>
      <c r="S75" s="1197">
        <f>Machine!B75</f>
        <v>0</v>
      </c>
      <c r="T75" s="89">
        <f t="shared" ref="T75:T81" si="47">J75*O75*S75</f>
        <v>0</v>
      </c>
      <c r="U75" s="269"/>
      <c r="V75" s="266"/>
      <c r="W75" s="1144">
        <f t="shared" si="34"/>
        <v>0</v>
      </c>
      <c r="X75" s="1144">
        <f t="shared" si="34"/>
        <v>0</v>
      </c>
      <c r="Y75" s="1144">
        <f t="shared" si="34"/>
        <v>0</v>
      </c>
      <c r="Z75" s="1136">
        <f t="shared" si="35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</v>
      </c>
      <c r="AD75" s="267"/>
      <c r="AE75" s="268"/>
      <c r="AF75" s="266"/>
      <c r="AG75" s="229">
        <f t="shared" ref="AG75:AG81" si="48">0.044*R75</f>
        <v>10.119999999999999</v>
      </c>
      <c r="AH75" s="89">
        <f t="shared" si="42"/>
        <v>0</v>
      </c>
      <c r="AI75" s="89">
        <f t="shared" ref="AI75:AI81" si="49">AH75*0.1</f>
        <v>0</v>
      </c>
      <c r="AJ75" s="89">
        <f t="shared" ref="AJ75:AJ81" si="50">AH75</f>
        <v>0</v>
      </c>
      <c r="AK75" s="436">
        <f>EquipmentSpecs!L75</f>
        <v>1.1100000000000001</v>
      </c>
      <c r="AL75" s="226">
        <f t="shared" ref="AL75:AL81" si="51">O75*S75*AK75</f>
        <v>0</v>
      </c>
      <c r="AM75" s="230">
        <f t="shared" ref="AM75:AM81" si="52">AL75*$AL$11</f>
        <v>0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7"/>
        <v>0.09</v>
      </c>
      <c r="H76" s="333">
        <f t="shared" si="43"/>
        <v>0.18067437783749629</v>
      </c>
      <c r="I76" s="225">
        <f t="shared" si="44"/>
        <v>27796.113815696521</v>
      </c>
      <c r="J76" s="546">
        <f t="shared" si="30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45"/>
        <v>2.9939393939393937</v>
      </c>
      <c r="O76" s="226">
        <f t="shared" si="46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f>Machine!B76</f>
        <v>0</v>
      </c>
      <c r="T76" s="89">
        <f t="shared" si="47"/>
        <v>0</v>
      </c>
      <c r="U76" s="89">
        <f>(((P76-(AQ76*P76))*AS76)+(AR76*(AQ76*P76)))/AO76</f>
        <v>75.989555598878766</v>
      </c>
      <c r="V76" s="89">
        <f>U76*O76*S76</f>
        <v>0</v>
      </c>
      <c r="W76" s="1144">
        <f t="shared" si="34"/>
        <v>0</v>
      </c>
      <c r="X76" s="1144">
        <f t="shared" si="34"/>
        <v>0</v>
      </c>
      <c r="Y76" s="1144">
        <f t="shared" si="34"/>
        <v>0</v>
      </c>
      <c r="Z76" s="1136">
        <f t="shared" si="35"/>
        <v>0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0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0</v>
      </c>
      <c r="AG76" s="229">
        <f t="shared" si="48"/>
        <v>10.119999999999999</v>
      </c>
      <c r="AH76" s="89">
        <f t="shared" si="42"/>
        <v>0</v>
      </c>
      <c r="AI76" s="89">
        <f t="shared" si="49"/>
        <v>0</v>
      </c>
      <c r="AJ76" s="89">
        <f t="shared" si="50"/>
        <v>0</v>
      </c>
      <c r="AK76" s="436">
        <f>EquipmentSpecs!L76</f>
        <v>1.1100000000000001</v>
      </c>
      <c r="AL76" s="226">
        <f t="shared" si="51"/>
        <v>0</v>
      </c>
      <c r="AM76" s="230">
        <f t="shared" si="52"/>
        <v>0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7"/>
        <v>0.09</v>
      </c>
      <c r="H77" s="333">
        <f t="shared" si="43"/>
        <v>0.18067437783749629</v>
      </c>
      <c r="I77" s="225">
        <f t="shared" si="44"/>
        <v>8303.2660353936226</v>
      </c>
      <c r="J77" s="546">
        <f t="shared" si="30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45"/>
        <v>2.9939393939393937</v>
      </c>
      <c r="O77" s="226">
        <f t="shared" si="46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f>Machine!B77</f>
        <v>0</v>
      </c>
      <c r="T77" s="89">
        <f t="shared" si="47"/>
        <v>0</v>
      </c>
      <c r="U77" s="89">
        <f>(((P77-(AQ77*P77))*AS77)+(AR77*(AQ77*P77)))/AO77</f>
        <v>61.186395417279016</v>
      </c>
      <c r="V77" s="89">
        <f>U77*O77*S77</f>
        <v>0</v>
      </c>
      <c r="W77" s="1144">
        <f t="shared" si="34"/>
        <v>0</v>
      </c>
      <c r="X77" s="1144">
        <f t="shared" si="34"/>
        <v>0</v>
      </c>
      <c r="Y77" s="1144">
        <f t="shared" si="34"/>
        <v>0</v>
      </c>
      <c r="Z77" s="1136">
        <f t="shared" si="35"/>
        <v>0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0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0</v>
      </c>
      <c r="AG77" s="229">
        <f t="shared" si="48"/>
        <v>8.58</v>
      </c>
      <c r="AH77" s="89">
        <f t="shared" si="42"/>
        <v>0</v>
      </c>
      <c r="AI77" s="89">
        <f t="shared" si="49"/>
        <v>0</v>
      </c>
      <c r="AJ77" s="89">
        <f t="shared" si="50"/>
        <v>0</v>
      </c>
      <c r="AK77" s="436">
        <f>EquipmentSpecs!L77</f>
        <v>1.1100000000000001</v>
      </c>
      <c r="AL77" s="226">
        <f t="shared" si="51"/>
        <v>0</v>
      </c>
      <c r="AM77" s="230">
        <f t="shared" si="52"/>
        <v>0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7"/>
        <v>0.09</v>
      </c>
      <c r="H78" s="334">
        <f t="shared" si="43"/>
        <v>0.18067437783749629</v>
      </c>
      <c r="I78" s="234">
        <f t="shared" si="44"/>
        <v>1126.3560882794827</v>
      </c>
      <c r="J78" s="547">
        <f t="shared" si="30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45"/>
        <v>2.9939393939393937</v>
      </c>
      <c r="O78" s="236">
        <f t="shared" si="46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f>Machine!B78</f>
        <v>0</v>
      </c>
      <c r="T78" s="235">
        <f t="shared" si="47"/>
        <v>0</v>
      </c>
      <c r="U78" s="235">
        <f>(((P78-(AQ78*P78))*AS78)+(AR78*(AQ78*P78)))/AO78</f>
        <v>61.186395417279016</v>
      </c>
      <c r="V78" s="235">
        <f>U78*O78*S78</f>
        <v>0</v>
      </c>
      <c r="W78" s="1146">
        <f t="shared" si="34"/>
        <v>0</v>
      </c>
      <c r="X78" s="1146">
        <f t="shared" si="34"/>
        <v>0</v>
      </c>
      <c r="Y78" s="1146">
        <f t="shared" si="34"/>
        <v>0</v>
      </c>
      <c r="Z78" s="1139">
        <f t="shared" si="35"/>
        <v>0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0</v>
      </c>
      <c r="AG78" s="240">
        <f t="shared" si="48"/>
        <v>8.58</v>
      </c>
      <c r="AH78" s="235">
        <f t="shared" si="42"/>
        <v>0</v>
      </c>
      <c r="AI78" s="235">
        <f t="shared" si="49"/>
        <v>0</v>
      </c>
      <c r="AJ78" s="235">
        <f t="shared" si="50"/>
        <v>0</v>
      </c>
      <c r="AK78" s="459">
        <f>EquipmentSpecs!L78</f>
        <v>1.1100000000000001</v>
      </c>
      <c r="AL78" s="236">
        <f t="shared" si="51"/>
        <v>0</v>
      </c>
      <c r="AM78" s="241">
        <f t="shared" si="52"/>
        <v>0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7"/>
        <v>0.09</v>
      </c>
      <c r="H79" s="544">
        <f t="shared" si="43"/>
        <v>0.18067437783749629</v>
      </c>
      <c r="I79" s="265">
        <f t="shared" si="44"/>
        <v>0</v>
      </c>
      <c r="J79" s="545">
        <f t="shared" si="30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45"/>
        <v>8.484848484848484E-2</v>
      </c>
      <c r="O79" s="226">
        <f t="shared" si="46"/>
        <v>11.785714285714286</v>
      </c>
      <c r="P79" s="270"/>
      <c r="Q79" s="20"/>
      <c r="R79" s="339">
        <f>Machine!H79</f>
        <v>325</v>
      </c>
      <c r="S79" s="1197">
        <f>Machine!B79</f>
        <v>0</v>
      </c>
      <c r="T79" s="89">
        <f t="shared" si="47"/>
        <v>0</v>
      </c>
      <c r="U79" s="269"/>
      <c r="V79" s="269"/>
      <c r="W79" s="1144">
        <f t="shared" si="34"/>
        <v>0</v>
      </c>
      <c r="X79" s="1144">
        <f t="shared" si="34"/>
        <v>0</v>
      </c>
      <c r="Y79" s="1144">
        <f t="shared" si="34"/>
        <v>0</v>
      </c>
      <c r="Z79" s="1136">
        <f t="shared" si="35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0</v>
      </c>
      <c r="AD79" s="271"/>
      <c r="AE79" s="272"/>
      <c r="AF79" s="269"/>
      <c r="AG79" s="229">
        <f t="shared" si="48"/>
        <v>14.299999999999999</v>
      </c>
      <c r="AH79" s="89">
        <f t="shared" si="42"/>
        <v>0</v>
      </c>
      <c r="AI79" s="89">
        <f t="shared" si="49"/>
        <v>0</v>
      </c>
      <c r="AJ79" s="89">
        <f t="shared" si="50"/>
        <v>0</v>
      </c>
      <c r="AK79" s="227">
        <f>EquipmentSpecs!L79</f>
        <v>1.1100000000000001</v>
      </c>
      <c r="AL79" s="226">
        <f t="shared" si="51"/>
        <v>0</v>
      </c>
      <c r="AM79" s="230">
        <f t="shared" si="52"/>
        <v>0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7"/>
        <v>0.09</v>
      </c>
      <c r="H80" s="333">
        <f t="shared" si="43"/>
        <v>0.18067437783749629</v>
      </c>
      <c r="I80" s="225">
        <f t="shared" si="44"/>
        <v>0</v>
      </c>
      <c r="J80" s="546">
        <f t="shared" si="30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45"/>
        <v>8.484848484848484E-2</v>
      </c>
      <c r="O80" s="226">
        <f t="shared" si="46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f>Machine!B80</f>
        <v>0</v>
      </c>
      <c r="T80" s="89">
        <f t="shared" si="47"/>
        <v>0</v>
      </c>
      <c r="U80" s="89">
        <f>(((P80-(AQ80*P80))*AS80)+(AR80*(AQ80*P80)))/AO80</f>
        <v>61.186395417279016</v>
      </c>
      <c r="V80" s="89">
        <f>U80*O80*S80</f>
        <v>0</v>
      </c>
      <c r="W80" s="1144">
        <f t="shared" si="34"/>
        <v>0</v>
      </c>
      <c r="X80" s="1144">
        <f t="shared" si="34"/>
        <v>0</v>
      </c>
      <c r="Y80" s="1144">
        <f t="shared" si="34"/>
        <v>0</v>
      </c>
      <c r="Z80" s="1136">
        <f t="shared" si="35"/>
        <v>0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0</v>
      </c>
      <c r="AG80" s="229">
        <f t="shared" si="48"/>
        <v>8.58</v>
      </c>
      <c r="AH80" s="89">
        <f t="shared" si="42"/>
        <v>0</v>
      </c>
      <c r="AI80" s="89">
        <f t="shared" si="49"/>
        <v>0</v>
      </c>
      <c r="AJ80" s="89">
        <f t="shared" si="50"/>
        <v>0</v>
      </c>
      <c r="AK80" s="227">
        <f>EquipmentSpecs!L80</f>
        <v>1.1100000000000001</v>
      </c>
      <c r="AL80" s="226">
        <f t="shared" si="51"/>
        <v>0</v>
      </c>
      <c r="AM80" s="230">
        <f t="shared" si="52"/>
        <v>0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7"/>
        <v>0.09</v>
      </c>
      <c r="H81" s="760">
        <f t="shared" si="43"/>
        <v>0.18067437783749629</v>
      </c>
      <c r="I81" s="575">
        <f t="shared" si="44"/>
        <v>0</v>
      </c>
      <c r="J81" s="785">
        <f t="shared" si="30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45"/>
        <v>8.484848484848484E-2</v>
      </c>
      <c r="O81" s="763">
        <f t="shared" si="46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f>Machine!B81</f>
        <v>0</v>
      </c>
      <c r="T81" s="761">
        <f t="shared" si="47"/>
        <v>0</v>
      </c>
      <c r="U81" s="761">
        <f>(((P81-(AQ81*P81))*AS81)+(AR81*(AQ81*P81)))/AO81</f>
        <v>61.186395417279016</v>
      </c>
      <c r="V81" s="761">
        <f>U81*O81*S81</f>
        <v>0</v>
      </c>
      <c r="W81" s="1145">
        <f t="shared" si="34"/>
        <v>0</v>
      </c>
      <c r="X81" s="1145">
        <f t="shared" si="34"/>
        <v>0</v>
      </c>
      <c r="Y81" s="1145">
        <f t="shared" si="34"/>
        <v>0</v>
      </c>
      <c r="Z81" s="1137">
        <f t="shared" si="35"/>
        <v>0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0</v>
      </c>
      <c r="AG81" s="768">
        <f t="shared" si="48"/>
        <v>8.58</v>
      </c>
      <c r="AH81" s="761">
        <f t="shared" si="42"/>
        <v>0</v>
      </c>
      <c r="AI81" s="761">
        <f t="shared" si="49"/>
        <v>0</v>
      </c>
      <c r="AJ81" s="761">
        <f t="shared" si="50"/>
        <v>0</v>
      </c>
      <c r="AK81" s="765">
        <f>EquipmentSpecs!L81</f>
        <v>1.1100000000000001</v>
      </c>
      <c r="AL81" s="763">
        <f t="shared" si="51"/>
        <v>0</v>
      </c>
      <c r="AM81" s="769">
        <f t="shared" si="52"/>
        <v>0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47.781928229937876</v>
      </c>
      <c r="U83" s="17"/>
      <c r="V83" s="257">
        <f>SUM(V64:V81)</f>
        <v>6.8678607101027476</v>
      </c>
      <c r="W83" s="1147"/>
      <c r="X83" s="1147">
        <f>Z83-(T83+V83)</f>
        <v>7.3874934795918392</v>
      </c>
      <c r="Y83" s="1148">
        <f>(Z83-(T83+V83))/(T83+V83)</f>
        <v>0.13517881080377231</v>
      </c>
      <c r="Z83" s="257">
        <f>SUM(Z64:Z81)</f>
        <v>62.037282419632461</v>
      </c>
      <c r="AA83" s="17"/>
      <c r="AB83" s="17"/>
      <c r="AC83" s="257">
        <f>SUM(AC64:AC81)</f>
        <v>11.929337004964173</v>
      </c>
      <c r="AD83" s="258"/>
      <c r="AE83" s="17"/>
      <c r="AF83" s="257">
        <f>SUM(AF64:AF81)</f>
        <v>0.63776204081632659</v>
      </c>
      <c r="AG83" s="17"/>
      <c r="AH83" s="257">
        <f>SUM(AH64:AH81)</f>
        <v>6.3176816326530609</v>
      </c>
      <c r="AI83" s="257">
        <f>SUM(AI64:AI81)</f>
        <v>0.63176816326530616</v>
      </c>
      <c r="AJ83" s="257"/>
      <c r="AK83" s="17"/>
      <c r="AL83" s="259">
        <f>SUM(AL64:AL81)</f>
        <v>0.2491836734693878</v>
      </c>
      <c r="AM83" s="257">
        <f>SUM(AM64:AM81)</f>
        <v>3.6953938775510209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71"/>
  <sheetViews>
    <sheetView zoomScaleNormal="100" workbookViewId="0">
      <selection activeCell="G11" sqref="G11"/>
    </sheetView>
  </sheetViews>
  <sheetFormatPr defaultRowHeight="12.75" x14ac:dyDescent="0.35"/>
  <cols>
    <col min="1" max="1" width="1.73046875" customWidth="1"/>
    <col min="2" max="2" width="15" bestFit="1" customWidth="1"/>
    <col min="3" max="3" width="37.73046875" bestFit="1" customWidth="1"/>
    <col min="4" max="4" width="9.265625" customWidth="1"/>
    <col min="5" max="5" width="8.86328125" customWidth="1"/>
    <col min="6" max="6" width="8.73046875" customWidth="1"/>
    <col min="7" max="7" width="8.86328125" customWidth="1"/>
  </cols>
  <sheetData>
    <row r="2" spans="2:7" x14ac:dyDescent="0.35">
      <c r="B2" s="596" t="s">
        <v>445</v>
      </c>
      <c r="C2" s="633" t="s">
        <v>475</v>
      </c>
      <c r="D2" s="40"/>
      <c r="E2" s="3"/>
      <c r="F2" s="3"/>
      <c r="G2" s="3"/>
    </row>
    <row r="3" spans="2:7" x14ac:dyDescent="0.35">
      <c r="B3" s="598" t="s">
        <v>446</v>
      </c>
      <c r="C3" s="553" t="s">
        <v>444</v>
      </c>
      <c r="D3" s="167"/>
      <c r="E3" s="3"/>
      <c r="F3" s="3"/>
      <c r="G3" s="3"/>
    </row>
    <row r="4" spans="2:7" x14ac:dyDescent="0.35">
      <c r="B4" s="167"/>
      <c r="C4" s="167"/>
      <c r="D4" s="3"/>
      <c r="E4" s="3"/>
      <c r="F4" s="3"/>
      <c r="G4" s="3"/>
    </row>
    <row r="5" spans="2:7" ht="25.5" x14ac:dyDescent="0.35">
      <c r="B5" s="621" t="s">
        <v>540</v>
      </c>
      <c r="C5" s="627"/>
      <c r="D5" s="633" t="s">
        <v>2</v>
      </c>
      <c r="E5" s="633" t="s">
        <v>21</v>
      </c>
      <c r="F5" s="633" t="s">
        <v>815</v>
      </c>
      <c r="G5" s="1564" t="s">
        <v>816</v>
      </c>
    </row>
    <row r="6" spans="2:7" x14ac:dyDescent="0.35">
      <c r="B6" s="596" t="s">
        <v>541</v>
      </c>
      <c r="C6" s="553" t="s">
        <v>1159</v>
      </c>
      <c r="D6" s="553" t="s">
        <v>5</v>
      </c>
      <c r="E6" s="707"/>
      <c r="F6" s="602"/>
      <c r="G6" s="1899"/>
    </row>
    <row r="7" spans="2:7" x14ac:dyDescent="0.35">
      <c r="B7" s="602" t="s">
        <v>542</v>
      </c>
      <c r="C7" s="553" t="s">
        <v>1057</v>
      </c>
      <c r="D7" s="553" t="s">
        <v>5</v>
      </c>
      <c r="E7" s="1896">
        <f>(810/2000)</f>
        <v>0.40500000000000003</v>
      </c>
      <c r="F7" s="602"/>
      <c r="G7" s="1899"/>
    </row>
    <row r="8" spans="2:7" x14ac:dyDescent="0.35">
      <c r="B8" s="602" t="s">
        <v>543</v>
      </c>
      <c r="C8" s="553" t="s">
        <v>1058</v>
      </c>
      <c r="D8" s="553" t="s">
        <v>5</v>
      </c>
      <c r="E8" s="1896">
        <f>440/2000</f>
        <v>0.22</v>
      </c>
      <c r="F8" s="602"/>
      <c r="G8" s="1899"/>
    </row>
    <row r="9" spans="2:7" x14ac:dyDescent="0.35">
      <c r="B9" s="602" t="s">
        <v>544</v>
      </c>
      <c r="C9" s="553" t="s">
        <v>1044</v>
      </c>
      <c r="D9" s="553" t="s">
        <v>5</v>
      </c>
      <c r="E9" s="1896">
        <f>((540+530)/2)/2000</f>
        <v>0.26750000000000002</v>
      </c>
      <c r="F9" s="602"/>
      <c r="G9" s="1899"/>
    </row>
    <row r="10" spans="2:7" x14ac:dyDescent="0.35">
      <c r="B10" s="602" t="s">
        <v>545</v>
      </c>
      <c r="C10" s="553" t="str">
        <f>IF(A2_Budget_Look_Up!B8=1,"Zinc Sulfate 33%","Boron")</f>
        <v>Boron</v>
      </c>
      <c r="D10" s="553" t="s">
        <v>5</v>
      </c>
      <c r="E10" s="1314">
        <f>IF(OR(A2_Budget_Look_Up!B8=1,A2_Budget_Look_Up!B10=1),G10,F10)</f>
        <v>0.72</v>
      </c>
      <c r="F10" s="1900">
        <v>0.72</v>
      </c>
      <c r="G10" s="1900">
        <f>69/50</f>
        <v>1.38</v>
      </c>
    </row>
    <row r="11" spans="2:7" x14ac:dyDescent="0.35">
      <c r="B11" s="602" t="s">
        <v>546</v>
      </c>
      <c r="C11" s="553" t="s">
        <v>1241</v>
      </c>
      <c r="D11" s="1897" t="s">
        <v>1242</v>
      </c>
      <c r="E11" s="1964">
        <f>82</f>
        <v>82</v>
      </c>
      <c r="F11" s="598"/>
      <c r="G11" s="1901"/>
    </row>
    <row r="12" spans="2:7" x14ac:dyDescent="0.35">
      <c r="B12" s="602" t="s">
        <v>546</v>
      </c>
      <c r="C12" s="553" t="s">
        <v>1045</v>
      </c>
      <c r="D12" s="553" t="s">
        <v>5</v>
      </c>
      <c r="E12" s="1896">
        <f>930/2000</f>
        <v>0.46500000000000002</v>
      </c>
      <c r="F12" s="602"/>
      <c r="G12" s="1899"/>
    </row>
    <row r="13" spans="2:7" x14ac:dyDescent="0.35">
      <c r="B13" s="598" t="s">
        <v>546</v>
      </c>
      <c r="C13" s="553" t="s">
        <v>484</v>
      </c>
      <c r="D13" s="553" t="s">
        <v>5</v>
      </c>
      <c r="E13" s="1896">
        <v>0</v>
      </c>
      <c r="F13" s="602"/>
      <c r="G13" s="1899"/>
    </row>
    <row r="14" spans="2:7" x14ac:dyDescent="0.35">
      <c r="B14" s="167"/>
      <c r="C14" s="167"/>
      <c r="D14" s="3"/>
      <c r="E14" s="3"/>
      <c r="F14" s="3"/>
      <c r="G14" s="3"/>
    </row>
    <row r="15" spans="2:7" x14ac:dyDescent="0.35">
      <c r="B15" s="621" t="s">
        <v>447</v>
      </c>
      <c r="C15" s="627"/>
      <c r="D15" s="3"/>
      <c r="E15" s="3"/>
      <c r="F15" s="3"/>
      <c r="G15" s="3"/>
    </row>
    <row r="16" spans="2:7" x14ac:dyDescent="0.35">
      <c r="B16" s="602" t="s">
        <v>449</v>
      </c>
      <c r="C16" s="619" t="s">
        <v>548</v>
      </c>
      <c r="D16" s="3"/>
      <c r="E16" s="3"/>
      <c r="F16" s="3"/>
      <c r="G16" s="3"/>
    </row>
    <row r="17" spans="2:4" x14ac:dyDescent="0.35">
      <c r="B17" s="602" t="s">
        <v>450</v>
      </c>
      <c r="C17" s="619" t="s">
        <v>448</v>
      </c>
      <c r="D17" s="3"/>
    </row>
    <row r="18" spans="2:4" x14ac:dyDescent="0.35">
      <c r="B18" s="598" t="s">
        <v>547</v>
      </c>
      <c r="C18" s="553" t="s">
        <v>448</v>
      </c>
      <c r="D18" s="3"/>
    </row>
    <row r="19" spans="2:4" x14ac:dyDescent="0.35">
      <c r="B19" s="167"/>
      <c r="C19" s="167"/>
      <c r="D19" s="3"/>
    </row>
    <row r="20" spans="2:4" x14ac:dyDescent="0.35">
      <c r="B20" s="621" t="s">
        <v>557</v>
      </c>
      <c r="C20" s="627"/>
      <c r="D20" s="3"/>
    </row>
    <row r="21" spans="2:4" x14ac:dyDescent="0.35">
      <c r="B21" s="621" t="s">
        <v>555</v>
      </c>
      <c r="C21" s="553" t="s">
        <v>556</v>
      </c>
      <c r="D21" s="3"/>
    </row>
    <row r="22" spans="2:4" x14ac:dyDescent="0.35">
      <c r="B22" s="167"/>
      <c r="C22" s="167"/>
      <c r="D22" s="3"/>
    </row>
    <row r="23" spans="2:4" x14ac:dyDescent="0.35">
      <c r="B23" s="621" t="s">
        <v>553</v>
      </c>
      <c r="C23" s="627"/>
      <c r="D23" s="633" t="s">
        <v>2</v>
      </c>
    </row>
    <row r="24" spans="2:4" x14ac:dyDescent="0.35">
      <c r="B24" s="602" t="s">
        <v>549</v>
      </c>
      <c r="C24" s="619" t="s">
        <v>169</v>
      </c>
      <c r="D24" s="607" t="s">
        <v>4</v>
      </c>
    </row>
    <row r="25" spans="2:4" x14ac:dyDescent="0.35">
      <c r="B25" s="602" t="s">
        <v>550</v>
      </c>
      <c r="C25" s="619" t="s">
        <v>170</v>
      </c>
      <c r="D25" s="607" t="s">
        <v>4</v>
      </c>
    </row>
    <row r="26" spans="2:4" x14ac:dyDescent="0.35">
      <c r="B26" s="602" t="s">
        <v>551</v>
      </c>
      <c r="C26" s="619" t="s">
        <v>758</v>
      </c>
      <c r="D26" s="607" t="s">
        <v>5</v>
      </c>
    </row>
    <row r="27" spans="2:4" x14ac:dyDescent="0.35">
      <c r="B27" s="598" t="s">
        <v>552</v>
      </c>
      <c r="C27" s="619" t="s">
        <v>1046</v>
      </c>
      <c r="D27" s="607" t="s">
        <v>4</v>
      </c>
    </row>
    <row r="28" spans="2:4" x14ac:dyDescent="0.35">
      <c r="B28" s="167"/>
      <c r="C28" s="167"/>
      <c r="D28" s="3"/>
    </row>
    <row r="29" spans="2:4" x14ac:dyDescent="0.35">
      <c r="B29" s="596" t="s">
        <v>539</v>
      </c>
      <c r="C29" s="597"/>
      <c r="D29" s="633" t="s">
        <v>2</v>
      </c>
    </row>
    <row r="30" spans="2:4" x14ac:dyDescent="0.35">
      <c r="B30" s="602" t="s">
        <v>537</v>
      </c>
      <c r="C30" s="553" t="str">
        <f>IF(AND(Machine!B67&gt;0,Machine!J67=1),"Round Module Cover","Other Inputs")</f>
        <v>Other Inputs</v>
      </c>
      <c r="D30" s="607" t="s">
        <v>4</v>
      </c>
    </row>
    <row r="31" spans="2:4" x14ac:dyDescent="0.35">
      <c r="B31" s="598" t="s">
        <v>538</v>
      </c>
      <c r="C31" s="553" t="s">
        <v>1175</v>
      </c>
      <c r="D31" s="553" t="s">
        <v>4</v>
      </c>
    </row>
    <row r="33" spans="2:8" x14ac:dyDescent="0.35">
      <c r="B33" s="596" t="s">
        <v>559</v>
      </c>
      <c r="C33" s="597"/>
      <c r="D33" s="633" t="s">
        <v>560</v>
      </c>
      <c r="E33" s="3"/>
      <c r="F33" s="3"/>
      <c r="G33" s="3"/>
      <c r="H33" s="3"/>
    </row>
    <row r="34" spans="2:8" x14ac:dyDescent="0.35">
      <c r="B34" s="630" t="s">
        <v>558</v>
      </c>
      <c r="C34" s="553" t="s">
        <v>652</v>
      </c>
      <c r="D34" s="729">
        <f>6/12</f>
        <v>0.5</v>
      </c>
      <c r="E34" s="3"/>
      <c r="F34" s="3"/>
      <c r="G34" s="3"/>
      <c r="H34" s="3"/>
    </row>
    <row r="35" spans="2:8" x14ac:dyDescent="0.35">
      <c r="B35" s="167"/>
      <c r="C35" s="167"/>
      <c r="D35" s="803"/>
      <c r="E35" s="3"/>
      <c r="F35" s="3"/>
      <c r="G35" s="3"/>
      <c r="H35" s="3"/>
    </row>
    <row r="36" spans="2:8" x14ac:dyDescent="0.35">
      <c r="B36" s="630" t="s">
        <v>564</v>
      </c>
      <c r="C36" s="804">
        <v>500</v>
      </c>
      <c r="D36" s="803"/>
      <c r="E36" s="3"/>
      <c r="F36" s="3"/>
      <c r="G36" s="3"/>
      <c r="H36" s="3"/>
    </row>
    <row r="37" spans="2:8" x14ac:dyDescent="0.35">
      <c r="B37" s="3"/>
      <c r="C37" s="3"/>
      <c r="D37" s="3"/>
      <c r="E37" s="3"/>
      <c r="F37" s="3"/>
      <c r="G37" s="3"/>
      <c r="H37" s="3"/>
    </row>
    <row r="38" spans="2:8" x14ac:dyDescent="0.35">
      <c r="B38" s="603"/>
      <c r="C38" s="604" t="s">
        <v>470</v>
      </c>
      <c r="D38" s="605"/>
      <c r="E38" s="604" t="s">
        <v>442</v>
      </c>
      <c r="F38" s="605"/>
      <c r="G38" s="597"/>
      <c r="H38" s="3"/>
    </row>
    <row r="39" spans="2:8" x14ac:dyDescent="0.35">
      <c r="B39" s="606"/>
      <c r="C39" s="599" t="s">
        <v>554</v>
      </c>
      <c r="D39" s="599" t="s">
        <v>2</v>
      </c>
      <c r="E39" s="599" t="s">
        <v>12</v>
      </c>
      <c r="F39" s="615"/>
      <c r="G39" s="616"/>
      <c r="H39" s="3"/>
    </row>
    <row r="40" spans="2:8" x14ac:dyDescent="0.35">
      <c r="B40" s="602" t="s">
        <v>439</v>
      </c>
      <c r="C40" s="619" t="s">
        <v>472</v>
      </c>
      <c r="D40" s="619" t="s">
        <v>476</v>
      </c>
      <c r="E40" s="620">
        <f>Budget!D3</f>
        <v>105</v>
      </c>
      <c r="F40" s="628" t="s">
        <v>471</v>
      </c>
      <c r="G40" s="614"/>
      <c r="H40" s="3"/>
    </row>
    <row r="41" spans="2:8" x14ac:dyDescent="0.35">
      <c r="B41" s="602" t="s">
        <v>440</v>
      </c>
      <c r="C41" s="553" t="s">
        <v>472</v>
      </c>
      <c r="D41" s="553" t="s">
        <v>476</v>
      </c>
      <c r="E41" s="601">
        <v>0</v>
      </c>
      <c r="F41" s="482"/>
      <c r="G41" s="614"/>
      <c r="H41" s="3"/>
    </row>
    <row r="42" spans="2:8" x14ac:dyDescent="0.35">
      <c r="B42" s="602" t="s">
        <v>441</v>
      </c>
      <c r="C42" s="623" t="s">
        <v>472</v>
      </c>
      <c r="D42" s="623" t="s">
        <v>476</v>
      </c>
      <c r="E42" s="624">
        <v>0</v>
      </c>
      <c r="F42" s="482"/>
      <c r="G42" s="614"/>
      <c r="H42" s="3"/>
    </row>
    <row r="43" spans="2:8" ht="12.75" customHeight="1" x14ac:dyDescent="0.35">
      <c r="B43" s="621"/>
      <c r="C43" s="625"/>
      <c r="D43" s="625"/>
      <c r="E43" s="626"/>
      <c r="F43" s="629" t="s">
        <v>3</v>
      </c>
      <c r="G43" s="627"/>
      <c r="H43" s="3"/>
    </row>
    <row r="44" spans="2:8" x14ac:dyDescent="0.35">
      <c r="B44" s="621" t="s">
        <v>473</v>
      </c>
      <c r="C44" s="553" t="s">
        <v>472</v>
      </c>
      <c r="D44" s="553" t="s">
        <v>476</v>
      </c>
      <c r="E44" s="601">
        <v>0</v>
      </c>
      <c r="F44" s="601">
        <v>0</v>
      </c>
      <c r="G44" s="622">
        <f>IF(A2_Budget_Look_Up!B14&gt;0,F44,0)</f>
        <v>0</v>
      </c>
      <c r="H44" s="3"/>
    </row>
    <row r="45" spans="2:8" x14ac:dyDescent="0.35">
      <c r="B45" s="3"/>
      <c r="C45" s="3"/>
      <c r="D45" s="3"/>
      <c r="E45" s="3"/>
      <c r="F45" s="3"/>
      <c r="G45" s="3"/>
      <c r="H45" s="3"/>
    </row>
    <row r="46" spans="2:8" x14ac:dyDescent="0.35">
      <c r="B46" s="630" t="s">
        <v>474</v>
      </c>
      <c r="C46" s="631" t="s">
        <v>977</v>
      </c>
      <c r="D46" s="632">
        <v>0</v>
      </c>
      <c r="E46" s="603"/>
      <c r="F46" s="605"/>
      <c r="G46" s="605"/>
      <c r="H46" s="633" t="s">
        <v>994</v>
      </c>
    </row>
    <row r="47" spans="2:8" x14ac:dyDescent="0.35">
      <c r="B47" s="630" t="s">
        <v>474</v>
      </c>
      <c r="C47" s="631" t="s">
        <v>978</v>
      </c>
      <c r="D47" s="634">
        <v>1</v>
      </c>
      <c r="E47" s="1559" t="s">
        <v>3</v>
      </c>
      <c r="F47" s="601">
        <v>0.01</v>
      </c>
      <c r="G47" s="629" t="s">
        <v>993</v>
      </c>
      <c r="H47" s="802">
        <v>355</v>
      </c>
    </row>
    <row r="49" spans="2:8" ht="50.1" customHeight="1" x14ac:dyDescent="0.35">
      <c r="B49" s="1979" t="s">
        <v>987</v>
      </c>
      <c r="C49" s="1980"/>
      <c r="D49" s="1981"/>
      <c r="E49" s="1982" t="s">
        <v>988</v>
      </c>
      <c r="F49" s="1983"/>
      <c r="G49" s="1983"/>
      <c r="H49" s="1560" t="s">
        <v>826</v>
      </c>
    </row>
    <row r="50" spans="2:8" x14ac:dyDescent="0.35">
      <c r="B50" s="618" t="s">
        <v>469</v>
      </c>
      <c r="C50" s="635">
        <v>0</v>
      </c>
      <c r="D50" s="600"/>
      <c r="E50" s="1561"/>
      <c r="F50" s="1563">
        <v>0.05</v>
      </c>
      <c r="G50" s="1562"/>
      <c r="H50" s="1884">
        <v>0</v>
      </c>
    </row>
    <row r="51" spans="2:8" x14ac:dyDescent="0.35">
      <c r="B51" s="944"/>
      <c r="C51" s="943"/>
      <c r="D51" s="653"/>
      <c r="E51" s="3"/>
      <c r="F51" s="653"/>
      <c r="G51" s="653"/>
      <c r="H51" s="3"/>
    </row>
    <row r="52" spans="2:8" x14ac:dyDescent="0.35">
      <c r="B52" s="948" t="s">
        <v>498</v>
      </c>
      <c r="C52" s="945" t="s">
        <v>632</v>
      </c>
      <c r="D52" s="948" t="s">
        <v>634</v>
      </c>
      <c r="E52" s="948" t="s">
        <v>31</v>
      </c>
      <c r="F52" s="596" t="s">
        <v>991</v>
      </c>
      <c r="G52" s="605"/>
      <c r="H52" s="597"/>
    </row>
    <row r="53" spans="2:8" x14ac:dyDescent="0.35">
      <c r="B53" s="946" t="s">
        <v>273</v>
      </c>
      <c r="C53" s="954">
        <v>0</v>
      </c>
      <c r="D53" s="947">
        <v>0</v>
      </c>
      <c r="E53" s="955">
        <v>2</v>
      </c>
      <c r="F53" s="602" t="s">
        <v>989</v>
      </c>
      <c r="G53" s="482"/>
      <c r="H53" s="614"/>
    </row>
    <row r="54" spans="2:8" x14ac:dyDescent="0.35">
      <c r="B54" s="946" t="s">
        <v>272</v>
      </c>
      <c r="C54" s="954">
        <v>0</v>
      </c>
      <c r="D54" s="947">
        <v>0</v>
      </c>
      <c r="E54" s="955">
        <v>2</v>
      </c>
      <c r="F54" s="602" t="s">
        <v>992</v>
      </c>
      <c r="G54" s="482"/>
      <c r="H54" s="614"/>
    </row>
    <row r="55" spans="2:8" x14ac:dyDescent="0.35">
      <c r="B55" s="946" t="s">
        <v>188</v>
      </c>
      <c r="C55" s="954">
        <v>0.01</v>
      </c>
      <c r="D55" s="947">
        <v>0.01</v>
      </c>
      <c r="E55" s="955">
        <v>2</v>
      </c>
      <c r="F55" s="602" t="s">
        <v>990</v>
      </c>
      <c r="G55" s="482"/>
      <c r="H55" s="614"/>
    </row>
    <row r="56" spans="2:8" x14ac:dyDescent="0.35">
      <c r="B56" s="946" t="s">
        <v>633</v>
      </c>
      <c r="C56" s="1195">
        <f>IF(Irrigation!I21=0,IF(Irrigation!I19=1,0.01,IF(Irrigation!I20&gt;0,0.028,0)),0)</f>
        <v>0.01</v>
      </c>
      <c r="D56" s="1194">
        <v>0.01</v>
      </c>
      <c r="E56" s="633">
        <f>IF(Irrigation!I19+Irrigation!I20&gt;1,0,IF(Irrigation!I20=1,1,2))</f>
        <v>2</v>
      </c>
      <c r="F56" s="1931" t="str">
        <f>IF(E56=0,"Error, irrigation insurance selection."," ")</f>
        <v xml:space="preserve"> </v>
      </c>
      <c r="G56" s="615"/>
      <c r="H56" s="616"/>
    </row>
    <row r="57" spans="2:8" x14ac:dyDescent="0.35">
      <c r="B57" s="3"/>
      <c r="C57" s="3"/>
      <c r="D57" s="3"/>
      <c r="E57" s="3"/>
      <c r="F57" s="3"/>
      <c r="G57" s="3"/>
      <c r="H57" s="3"/>
    </row>
    <row r="58" spans="2:8" x14ac:dyDescent="0.35">
      <c r="B58" s="596" t="s">
        <v>464</v>
      </c>
      <c r="C58" s="613"/>
      <c r="D58" s="613"/>
      <c r="E58" s="613"/>
      <c r="F58" s="613"/>
      <c r="G58" s="613"/>
      <c r="H58" s="597"/>
    </row>
    <row r="59" spans="2:8" x14ac:dyDescent="0.35">
      <c r="B59" s="939" t="s">
        <v>1034</v>
      </c>
      <c r="C59" s="612"/>
      <c r="D59" s="612"/>
      <c r="E59" s="612"/>
      <c r="F59" s="612"/>
      <c r="G59" s="612"/>
      <c r="H59" s="617"/>
    </row>
    <row r="60" spans="2:8" x14ac:dyDescent="0.35">
      <c r="B60" s="596" t="s">
        <v>1020</v>
      </c>
      <c r="C60" s="613"/>
      <c r="D60" s="613"/>
      <c r="E60" s="613"/>
      <c r="F60" s="613"/>
      <c r="G60" s="613"/>
      <c r="H60" s="597"/>
    </row>
    <row r="61" spans="2:8" x14ac:dyDescent="0.35">
      <c r="B61" s="939" t="s">
        <v>1021</v>
      </c>
      <c r="C61" s="612"/>
      <c r="D61" s="612"/>
      <c r="E61" s="612"/>
      <c r="F61" s="612"/>
      <c r="G61" s="612"/>
      <c r="H61" s="617"/>
    </row>
    <row r="62" spans="2:8" x14ac:dyDescent="0.35">
      <c r="B62" s="1855" t="s">
        <v>1023</v>
      </c>
      <c r="C62" s="611"/>
      <c r="D62" s="611"/>
      <c r="E62" s="611"/>
      <c r="F62" s="611"/>
      <c r="G62" s="611"/>
      <c r="H62" s="614"/>
    </row>
    <row r="63" spans="2:8" x14ac:dyDescent="0.35">
      <c r="B63" s="939" t="s">
        <v>1022</v>
      </c>
      <c r="C63" s="612"/>
      <c r="D63" s="612"/>
      <c r="E63" s="612"/>
      <c r="F63" s="612"/>
      <c r="G63" s="612"/>
      <c r="H63" s="617"/>
    </row>
    <row r="64" spans="2:8" x14ac:dyDescent="0.35">
      <c r="B64" s="602" t="s">
        <v>465</v>
      </c>
      <c r="C64" s="482"/>
      <c r="D64" s="482"/>
      <c r="E64" s="482"/>
      <c r="F64" s="482"/>
      <c r="G64" s="482"/>
      <c r="H64" s="614"/>
    </row>
    <row r="65" spans="2:2" x14ac:dyDescent="0.35">
      <c r="B65" s="938" t="s">
        <v>1027</v>
      </c>
    </row>
    <row r="66" spans="2:2" x14ac:dyDescent="0.35">
      <c r="B66" s="602" t="s">
        <v>466</v>
      </c>
    </row>
    <row r="67" spans="2:2" x14ac:dyDescent="0.35">
      <c r="B67" s="938" t="s">
        <v>1240</v>
      </c>
    </row>
    <row r="68" spans="2:2" x14ac:dyDescent="0.35">
      <c r="B68" s="602" t="s">
        <v>467</v>
      </c>
    </row>
    <row r="69" spans="2:2" x14ac:dyDescent="0.35">
      <c r="B69" s="553" t="s">
        <v>1028</v>
      </c>
    </row>
    <row r="70" spans="2:2" x14ac:dyDescent="0.35">
      <c r="B70" s="602" t="s">
        <v>1024</v>
      </c>
    </row>
    <row r="71" spans="2:2" x14ac:dyDescent="0.35">
      <c r="B71" s="938" t="s">
        <v>1025</v>
      </c>
    </row>
  </sheetData>
  <sheetProtection selectLockedCells="1"/>
  <mergeCells count="2">
    <mergeCell ref="B49:D49"/>
    <mergeCell ref="E49:G4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H16"/>
  <sheetViews>
    <sheetView workbookViewId="0"/>
  </sheetViews>
  <sheetFormatPr defaultRowHeight="12.75" x14ac:dyDescent="0.35"/>
  <cols>
    <col min="1" max="1" width="10" customWidth="1"/>
    <col min="2" max="2" width="9.265625" bestFit="1" customWidth="1"/>
    <col min="3" max="3" width="14.73046875" bestFit="1" customWidth="1"/>
    <col min="4" max="4" width="14.73046875" customWidth="1"/>
    <col min="5" max="5" width="10.86328125" bestFit="1" customWidth="1"/>
    <col min="7" max="8" width="10.59765625" bestFit="1" customWidth="1"/>
  </cols>
  <sheetData>
    <row r="1" spans="1:8" ht="13.9" x14ac:dyDescent="0.4">
      <c r="A1" s="92" t="s">
        <v>318</v>
      </c>
      <c r="B1" s="92"/>
      <c r="C1" s="90"/>
      <c r="D1" s="90"/>
      <c r="E1" s="90"/>
      <c r="F1" s="90"/>
      <c r="G1" s="90"/>
      <c r="H1" s="90"/>
    </row>
    <row r="2" spans="1:8" ht="13.9" x14ac:dyDescent="0.4">
      <c r="A2" s="91"/>
      <c r="B2" s="120" t="s">
        <v>248</v>
      </c>
      <c r="C2" s="120" t="s">
        <v>251</v>
      </c>
      <c r="D2" s="120" t="s">
        <v>252</v>
      </c>
      <c r="E2" s="120" t="s">
        <v>22</v>
      </c>
      <c r="F2" s="120" t="s">
        <v>22</v>
      </c>
      <c r="G2" s="120" t="s">
        <v>252</v>
      </c>
      <c r="H2" s="120" t="s">
        <v>250</v>
      </c>
    </row>
    <row r="3" spans="1:8" ht="13.9" x14ac:dyDescent="0.4">
      <c r="A3" s="95" t="s">
        <v>45</v>
      </c>
      <c r="B3" s="105" t="s">
        <v>14</v>
      </c>
      <c r="C3" s="105" t="str">
        <f>IF(A2_Budget_Look_Up!B7=1,"per Pound",'C1_Messages_Indicators'!C26)</f>
        <v>per Bushel</v>
      </c>
      <c r="D3" s="105" t="s">
        <v>251</v>
      </c>
      <c r="E3" s="105" t="s">
        <v>249</v>
      </c>
      <c r="F3" s="105" t="s">
        <v>14</v>
      </c>
      <c r="G3" s="105" t="s">
        <v>250</v>
      </c>
      <c r="H3" s="105" t="str">
        <f>IF(A2_Budget_Look_Up!B7=1,"per Pound",'C1_Messages_Indicators'!C26)</f>
        <v>per Bushel</v>
      </c>
    </row>
    <row r="4" spans="1:8" ht="13.9" x14ac:dyDescent="0.4">
      <c r="A4" s="91" t="s">
        <v>300</v>
      </c>
      <c r="B4" s="121">
        <f>SummaryReport_Verification!B27</f>
        <v>548.9368181589191</v>
      </c>
      <c r="C4" s="121">
        <f>SummaryReport_Verification!B32</f>
        <v>5.2279696967516101</v>
      </c>
      <c r="D4" s="121">
        <f>SummaryReport_Verification!B28</f>
        <v>-50.186818158919095</v>
      </c>
      <c r="E4" s="121">
        <f>SummaryReport_Verification!B29</f>
        <v>141.29136262745436</v>
      </c>
      <c r="F4" s="121">
        <f>SummaryReport_Verification!B30</f>
        <v>690.22818078637351</v>
      </c>
      <c r="G4" s="121">
        <f>SummaryReport_Verification!B31</f>
        <v>-191.47818078637351</v>
      </c>
      <c r="H4" s="121">
        <f>SummaryReport_Verification!B33</f>
        <v>6.5736017217749856</v>
      </c>
    </row>
    <row r="5" spans="1:8" ht="13.9" x14ac:dyDescent="0.4">
      <c r="A5" s="91"/>
      <c r="B5" s="121"/>
      <c r="C5" s="121"/>
      <c r="D5" s="121"/>
      <c r="E5" s="121"/>
      <c r="F5" s="121"/>
      <c r="G5" s="121"/>
      <c r="H5" s="121"/>
    </row>
    <row r="6" spans="1:8" ht="13.9" x14ac:dyDescent="0.4">
      <c r="A6" s="91"/>
      <c r="B6" s="121"/>
      <c r="C6" s="121"/>
      <c r="D6" s="121"/>
      <c r="E6" s="121"/>
      <c r="F6" s="121"/>
      <c r="G6" s="121"/>
      <c r="H6" s="121"/>
    </row>
    <row r="7" spans="1:8" ht="13.9" x14ac:dyDescent="0.4">
      <c r="A7" s="91"/>
      <c r="B7" s="121"/>
      <c r="C7" s="121"/>
      <c r="D7" s="121"/>
      <c r="E7" s="121"/>
      <c r="F7" s="121"/>
      <c r="G7" s="121"/>
      <c r="H7" s="121"/>
    </row>
    <row r="8" spans="1:8" ht="13.9" x14ac:dyDescent="0.4">
      <c r="A8" s="91"/>
      <c r="B8" s="121"/>
      <c r="C8" s="121"/>
      <c r="D8" s="121"/>
      <c r="E8" s="121"/>
      <c r="F8" s="121"/>
      <c r="G8" s="121"/>
      <c r="H8" s="121"/>
    </row>
    <row r="9" spans="1:8" ht="13.5" x14ac:dyDescent="0.35">
      <c r="A9" s="107" t="s">
        <v>253</v>
      </c>
      <c r="B9" s="122">
        <f t="shared" ref="B9:H9" si="0">AVERAGE(B4:B8)</f>
        <v>548.9368181589191</v>
      </c>
      <c r="C9" s="122">
        <f t="shared" si="0"/>
        <v>5.2279696967516101</v>
      </c>
      <c r="D9" s="122">
        <f t="shared" si="0"/>
        <v>-50.186818158919095</v>
      </c>
      <c r="E9" s="122">
        <f t="shared" si="0"/>
        <v>141.29136262745436</v>
      </c>
      <c r="F9" s="122">
        <f t="shared" si="0"/>
        <v>690.22818078637351</v>
      </c>
      <c r="G9" s="122">
        <f t="shared" si="0"/>
        <v>-191.47818078637351</v>
      </c>
      <c r="H9" s="122">
        <f t="shared" si="0"/>
        <v>6.5736017217749856</v>
      </c>
    </row>
    <row r="10" spans="1:8" ht="13.9" x14ac:dyDescent="0.4">
      <c r="A10" s="91"/>
      <c r="B10" s="96"/>
      <c r="C10" s="96"/>
      <c r="D10" s="96"/>
      <c r="E10" s="96"/>
    </row>
    <row r="11" spans="1:8" ht="13.9" x14ac:dyDescent="0.4">
      <c r="A11" s="91"/>
      <c r="B11" s="96"/>
      <c r="C11" s="96"/>
      <c r="D11" s="96"/>
      <c r="E11" s="96"/>
    </row>
    <row r="12" spans="1:8" ht="13.9" x14ac:dyDescent="0.4">
      <c r="A12" s="91"/>
      <c r="B12" s="96"/>
      <c r="C12" s="96"/>
      <c r="D12" s="96"/>
      <c r="E12" s="96"/>
    </row>
    <row r="13" spans="1:8" ht="13.9" x14ac:dyDescent="0.4">
      <c r="A13" s="91"/>
      <c r="B13" s="96"/>
      <c r="C13" s="96"/>
      <c r="D13" s="96"/>
      <c r="E13" s="96"/>
    </row>
    <row r="14" spans="1:8" ht="13.9" x14ac:dyDescent="0.4">
      <c r="A14" s="91"/>
      <c r="B14" s="108"/>
      <c r="C14" s="108"/>
      <c r="D14" s="108"/>
      <c r="E14" s="108"/>
    </row>
    <row r="15" spans="1:8" ht="13.5" x14ac:dyDescent="0.35">
      <c r="A15" s="107" t="s">
        <v>532</v>
      </c>
      <c r="B15" s="122">
        <f>B9-SummaryReport_Verification!G27</f>
        <v>0</v>
      </c>
      <c r="C15" s="122">
        <f>C9-SummaryReport_Verification!G32</f>
        <v>0</v>
      </c>
      <c r="D15" s="122">
        <f>D9-SummaryReport_Verification!G28</f>
        <v>0</v>
      </c>
      <c r="E15" s="122">
        <f>E9-SummaryReport_Verification!G29</f>
        <v>0</v>
      </c>
      <c r="F15" s="122">
        <f>F9-SummaryReport_Verification!G30</f>
        <v>0</v>
      </c>
      <c r="G15" s="122">
        <f>G9-SummaryReport_Verification!G31</f>
        <v>0</v>
      </c>
      <c r="H15" s="122">
        <f>H9-SummaryReport_Verification!G33</f>
        <v>0</v>
      </c>
    </row>
    <row r="16" spans="1:8" ht="27.75" x14ac:dyDescent="0.4">
      <c r="A16" s="1608" t="s">
        <v>1006</v>
      </c>
      <c r="B16" s="114"/>
      <c r="C16" s="114"/>
      <c r="D16" s="114"/>
      <c r="E16" s="11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H35"/>
  <sheetViews>
    <sheetView workbookViewId="0"/>
  </sheetViews>
  <sheetFormatPr defaultRowHeight="12.75" x14ac:dyDescent="0.35"/>
  <cols>
    <col min="1" max="1" width="31.3984375" customWidth="1"/>
    <col min="2" max="7" width="9" customWidth="1"/>
  </cols>
  <sheetData>
    <row r="1" spans="1:8" ht="13.9" x14ac:dyDescent="0.4">
      <c r="A1" s="92" t="s">
        <v>319</v>
      </c>
      <c r="B1" s="92"/>
      <c r="C1" s="90"/>
      <c r="D1" s="90"/>
      <c r="E1" s="90"/>
      <c r="F1" s="90"/>
      <c r="G1" s="90"/>
    </row>
    <row r="2" spans="1:8" ht="13.9" x14ac:dyDescent="0.4">
      <c r="A2" s="92"/>
      <c r="B2" s="103" t="s">
        <v>45</v>
      </c>
      <c r="C2" s="123"/>
      <c r="D2" s="123"/>
      <c r="E2" s="123"/>
      <c r="F2" s="123"/>
      <c r="G2" s="123"/>
    </row>
    <row r="3" spans="1:8" ht="13.9" x14ac:dyDescent="0.4">
      <c r="A3" s="100" t="s">
        <v>13</v>
      </c>
      <c r="B3" s="95" t="s">
        <v>300</v>
      </c>
      <c r="C3" s="95"/>
      <c r="D3" s="95"/>
      <c r="E3" s="95"/>
      <c r="F3" s="95"/>
      <c r="G3" s="100" t="s">
        <v>253</v>
      </c>
    </row>
    <row r="4" spans="1:8" ht="13.9" x14ac:dyDescent="0.4">
      <c r="A4" s="96" t="str">
        <f>IF(A2_Budget_Look_Up!B7=1,"Yield (lb.)",'C1_Messages_Indicators'!D26)</f>
        <v>Yield (bu.)</v>
      </c>
      <c r="B4" s="163">
        <f>Budget!D3</f>
        <v>105</v>
      </c>
      <c r="C4" s="113"/>
      <c r="D4" s="113"/>
      <c r="E4" s="113"/>
      <c r="F4" s="113"/>
      <c r="G4" s="163">
        <f>AVERAGE(B4:F4)</f>
        <v>105</v>
      </c>
    </row>
    <row r="5" spans="1:8" ht="13.9" x14ac:dyDescent="0.4">
      <c r="A5" s="96" t="str">
        <f>IF(A2_Budget_Look_Up!B7=1,"Price ($/lb.)",'C1_Messages_Indicators'!E26)</f>
        <v>Price ($/bu.)</v>
      </c>
      <c r="B5" s="96">
        <f>Budget!E3</f>
        <v>4.75</v>
      </c>
      <c r="C5" s="96"/>
      <c r="D5" s="96"/>
      <c r="E5" s="96"/>
      <c r="F5" s="96"/>
      <c r="G5" s="96">
        <f>AVERAGE(B5:F5)</f>
        <v>4.75</v>
      </c>
    </row>
    <row r="6" spans="1:8" ht="13.5" x14ac:dyDescent="0.35">
      <c r="A6" s="107" t="s">
        <v>231</v>
      </c>
      <c r="B6" s="114">
        <f>Budget!F3</f>
        <v>498.75</v>
      </c>
      <c r="C6" s="114"/>
      <c r="D6" s="114"/>
      <c r="E6" s="114"/>
      <c r="F6" s="114"/>
      <c r="G6" s="114">
        <f>AVERAGE(B6:F6)</f>
        <v>498.75</v>
      </c>
    </row>
    <row r="7" spans="1:8" ht="13.5" x14ac:dyDescent="0.35">
      <c r="A7" s="107" t="str">
        <f>IF(A2_Budget_Look_Up!B7=1,"Cottonseed Value"," ")</f>
        <v xml:space="preserve"> </v>
      </c>
      <c r="B7" s="114" t="str">
        <f>IF(A2_Budget_Look_Up!B7=1,Budget!F4," ")</f>
        <v xml:space="preserve"> </v>
      </c>
      <c r="C7" s="114"/>
      <c r="D7" s="114"/>
      <c r="E7" s="114"/>
      <c r="F7" s="114"/>
      <c r="G7" s="114" t="str">
        <f>IF(A2_Budget_Look_Up!B7=1,AVERAGE(SummaryReport_Verification!B7:F7)," ")</f>
        <v xml:space="preserve"> </v>
      </c>
    </row>
    <row r="8" spans="1:8" ht="13.9" x14ac:dyDescent="0.4">
      <c r="A8" s="94" t="s">
        <v>651</v>
      </c>
      <c r="B8" s="96"/>
      <c r="C8" s="96"/>
      <c r="D8" s="96"/>
      <c r="E8" s="96"/>
      <c r="F8" s="96"/>
      <c r="G8" s="96"/>
    </row>
    <row r="9" spans="1:8" ht="13.9" x14ac:dyDescent="0.4">
      <c r="A9" s="91" t="s">
        <v>223</v>
      </c>
      <c r="B9" s="96">
        <f>Budget!F6</f>
        <v>27.04</v>
      </c>
      <c r="C9" s="96"/>
      <c r="D9" s="96"/>
      <c r="E9" s="96"/>
      <c r="F9" s="96"/>
      <c r="G9" s="96">
        <f t="shared" ref="G9:G28" si="0">AVERAGE(B9:F9)</f>
        <v>27.04</v>
      </c>
      <c r="H9" s="1898">
        <f>G9/G$23</f>
        <v>5.3975101104581778E-2</v>
      </c>
    </row>
    <row r="10" spans="1:8" ht="13.9" x14ac:dyDescent="0.4">
      <c r="A10" s="91" t="s">
        <v>224</v>
      </c>
      <c r="B10" s="96">
        <f>SUM(Budget!F7:F13)</f>
        <v>199.79166666666666</v>
      </c>
      <c r="C10" s="96"/>
      <c r="D10" s="96"/>
      <c r="E10" s="96"/>
      <c r="F10" s="96"/>
      <c r="G10" s="96">
        <f t="shared" si="0"/>
        <v>199.79166666666666</v>
      </c>
      <c r="H10" s="1898">
        <f>G10/G$23</f>
        <v>0.39880826213706488</v>
      </c>
    </row>
    <row r="11" spans="1:8" ht="13.9" x14ac:dyDescent="0.4">
      <c r="A11" s="91" t="str">
        <f>Budget!A14</f>
        <v>Herbicide</v>
      </c>
      <c r="B11" s="96">
        <f>Budget!F14</f>
        <v>32.388250000000006</v>
      </c>
      <c r="C11" s="96"/>
      <c r="D11" s="96"/>
      <c r="E11" s="96"/>
      <c r="F11" s="96"/>
      <c r="G11" s="96">
        <f t="shared" si="0"/>
        <v>32.388250000000006</v>
      </c>
      <c r="H11" s="1898">
        <f>SUM(G11:G14)/$G$23</f>
        <v>0.12381427089531774</v>
      </c>
    </row>
    <row r="12" spans="1:8" ht="15" customHeight="1" x14ac:dyDescent="0.4">
      <c r="A12" s="91" t="str">
        <f>Budget!A15</f>
        <v>Insecticide</v>
      </c>
      <c r="B12" s="96">
        <f>Budget!F15</f>
        <v>29.639200000000002</v>
      </c>
      <c r="C12" s="96"/>
      <c r="D12" s="96"/>
      <c r="E12" s="96"/>
      <c r="F12" s="96"/>
      <c r="G12" s="96">
        <f t="shared" si="0"/>
        <v>29.639200000000002</v>
      </c>
    </row>
    <row r="13" spans="1:8" ht="13.9" x14ac:dyDescent="0.4">
      <c r="A13" s="91" t="str">
        <f>IF(A2_Budget_Look_Up!B13&gt;0,Budget!A17,Budget!A16)</f>
        <v>Fungicide</v>
      </c>
      <c r="B13" s="96">
        <f>IF(A2_Budget_Look_Up!B13&gt;0,Budget!F17,Budget!F16)</f>
        <v>0</v>
      </c>
      <c r="C13" s="96"/>
      <c r="D13" s="96"/>
      <c r="E13" s="96"/>
      <c r="F13" s="96"/>
      <c r="G13" s="96">
        <f t="shared" si="0"/>
        <v>0</v>
      </c>
    </row>
    <row r="14" spans="1:8" ht="13.9" x14ac:dyDescent="0.4">
      <c r="A14" s="91" t="s">
        <v>91</v>
      </c>
      <c r="B14" s="96">
        <f>IF(A2_Budget_Look_Up!B13&gt;0,Budget!F16+Budget!F18,Budget!F17+Budget!F18)</f>
        <v>0</v>
      </c>
      <c r="C14" s="96"/>
      <c r="D14" s="96"/>
      <c r="E14" s="96"/>
      <c r="F14" s="96"/>
      <c r="G14" s="96">
        <f t="shared" si="0"/>
        <v>0</v>
      </c>
    </row>
    <row r="15" spans="1:8" ht="13.9" x14ac:dyDescent="0.4">
      <c r="A15" s="91" t="s">
        <v>225</v>
      </c>
      <c r="B15" s="96">
        <f>SUM(Budget!F20:F23)</f>
        <v>76.5</v>
      </c>
      <c r="C15" s="96"/>
      <c r="D15" s="96"/>
      <c r="E15" s="96"/>
      <c r="F15" s="96"/>
      <c r="G15" s="96">
        <f t="shared" si="0"/>
        <v>76.5</v>
      </c>
    </row>
    <row r="16" spans="1:8" ht="13.9" x14ac:dyDescent="0.4">
      <c r="A16" s="91" t="s">
        <v>421</v>
      </c>
      <c r="B16" s="96">
        <f>Budget!F31+Budget!F32</f>
        <v>16.25</v>
      </c>
      <c r="C16" s="96"/>
      <c r="D16" s="96"/>
      <c r="E16" s="96"/>
      <c r="F16" s="96"/>
      <c r="G16" s="96">
        <f>AVERAGE(B16:F16)</f>
        <v>16.25</v>
      </c>
    </row>
    <row r="17" spans="1:7" ht="13.9" x14ac:dyDescent="0.4">
      <c r="A17" s="91" t="s">
        <v>462</v>
      </c>
      <c r="B17" s="96">
        <f>Budget!F25+Budget!F27</f>
        <v>13.379969447676972</v>
      </c>
      <c r="C17" s="96"/>
      <c r="D17" s="96"/>
      <c r="E17" s="96"/>
      <c r="F17" s="96"/>
      <c r="G17" s="96">
        <f t="shared" si="0"/>
        <v>13.379969447676972</v>
      </c>
    </row>
    <row r="18" spans="1:7" ht="13.9" x14ac:dyDescent="0.4">
      <c r="A18" s="91" t="s">
        <v>227</v>
      </c>
      <c r="B18" s="96">
        <f>Budget!F29</f>
        <v>29.055824511278196</v>
      </c>
      <c r="C18" s="96"/>
      <c r="D18" s="96"/>
      <c r="E18" s="96"/>
      <c r="F18" s="96"/>
      <c r="G18" s="96">
        <f>AVERAGE(B18:F18)</f>
        <v>29.055824511278196</v>
      </c>
    </row>
    <row r="19" spans="1:7" ht="13.5" x14ac:dyDescent="0.35">
      <c r="A19" s="107" t="s">
        <v>777</v>
      </c>
      <c r="B19" s="108">
        <f>SUM(Budget!F6:F18)+SUM(Budget!F20:F23)+Budget!F25+Budget!F27+Budget!F29+Budget!F31+Budget!F32</f>
        <v>424.04491062562187</v>
      </c>
      <c r="C19" s="108"/>
      <c r="D19" s="108"/>
      <c r="E19" s="108"/>
      <c r="F19" s="108"/>
      <c r="G19" s="108">
        <f>AVERAGE(B19:F19)</f>
        <v>424.04491062562187</v>
      </c>
    </row>
    <row r="20" spans="1:7" ht="13.9" x14ac:dyDescent="0.4">
      <c r="A20" s="91" t="s">
        <v>778</v>
      </c>
      <c r="B20" s="96">
        <f>SUM(Budget!F34:F36)</f>
        <v>37</v>
      </c>
      <c r="C20" s="108"/>
      <c r="D20" s="108"/>
      <c r="E20" s="108"/>
      <c r="F20" s="108"/>
      <c r="G20" s="96">
        <f t="shared" si="0"/>
        <v>37</v>
      </c>
    </row>
    <row r="21" spans="1:7" ht="15.4" x14ac:dyDescent="0.4">
      <c r="A21" s="91" t="s">
        <v>754</v>
      </c>
      <c r="B21" s="96">
        <f>Budget!F26+Budget!F28+Budget!F30</f>
        <v>22.281558492000876</v>
      </c>
      <c r="C21" s="96"/>
      <c r="D21" s="96"/>
      <c r="E21" s="96"/>
      <c r="F21" s="96"/>
      <c r="G21" s="96">
        <f t="shared" si="0"/>
        <v>22.281558492000876</v>
      </c>
    </row>
    <row r="22" spans="1:7" ht="13.9" x14ac:dyDescent="0.4">
      <c r="A22" s="91" t="s">
        <v>214</v>
      </c>
      <c r="B22" s="96">
        <f>Budget!F33</f>
        <v>17.645265008590073</v>
      </c>
      <c r="C22" s="96"/>
      <c r="D22" s="96"/>
      <c r="E22" s="96"/>
      <c r="F22" s="96"/>
      <c r="G22" s="96">
        <f t="shared" si="0"/>
        <v>17.645265008590073</v>
      </c>
    </row>
    <row r="23" spans="1:7" ht="13.9" x14ac:dyDescent="0.4">
      <c r="A23" s="107" t="s">
        <v>640</v>
      </c>
      <c r="B23" s="108">
        <f>SUM(Budget!F6:F18)+SUM(Budget!F20:F23)+SUM(Budget!F25:F36)</f>
        <v>500.97173412621282</v>
      </c>
      <c r="C23" s="96"/>
      <c r="D23" s="96"/>
      <c r="E23" s="96"/>
      <c r="F23" s="96"/>
      <c r="G23" s="108">
        <f t="shared" si="0"/>
        <v>500.97173412621282</v>
      </c>
    </row>
    <row r="24" spans="1:7" ht="13.9" x14ac:dyDescent="0.4">
      <c r="A24" s="91" t="s">
        <v>28</v>
      </c>
      <c r="B24" s="96">
        <f>Budget!F37</f>
        <v>20.665084032706279</v>
      </c>
      <c r="C24" s="96"/>
      <c r="D24" s="96"/>
      <c r="E24" s="96"/>
      <c r="F24" s="96"/>
      <c r="G24" s="96">
        <f t="shared" si="0"/>
        <v>20.665084032706279</v>
      </c>
    </row>
    <row r="25" spans="1:7" ht="15" customHeight="1" x14ac:dyDescent="0.4">
      <c r="A25" s="91" t="s">
        <v>228</v>
      </c>
      <c r="B25" s="96">
        <f>SUM(Budget!F39:F43)</f>
        <v>27.3</v>
      </c>
      <c r="C25" s="96"/>
      <c r="D25" s="96"/>
      <c r="E25" s="96"/>
      <c r="F25" s="96"/>
      <c r="G25" s="96">
        <f t="shared" si="0"/>
        <v>27.3</v>
      </c>
    </row>
    <row r="26" spans="1:7" ht="13.9" x14ac:dyDescent="0.4">
      <c r="A26" s="91" t="s">
        <v>435</v>
      </c>
      <c r="B26" s="96">
        <f>Budget!F38</f>
        <v>0</v>
      </c>
      <c r="C26" s="96"/>
      <c r="D26" s="96"/>
      <c r="E26" s="96"/>
      <c r="F26" s="96"/>
      <c r="G26" s="96">
        <f t="shared" si="0"/>
        <v>0</v>
      </c>
    </row>
    <row r="27" spans="1:7" ht="13.5" x14ac:dyDescent="0.35">
      <c r="A27" s="107" t="str">
        <f>IF(A2_Budget_Look_Up!B7=1,"Operating Expenses","Total Operating Expenses")</f>
        <v>Total Operating Expenses</v>
      </c>
      <c r="B27" s="108">
        <f>SUM(B9:B18)+SUM(B20:B22)+SUM(B24:B26)-IF(A2_Budget_Look_Up!B7=1,B7,0)</f>
        <v>548.9368181589191</v>
      </c>
      <c r="C27" s="108"/>
      <c r="D27" s="108"/>
      <c r="E27" s="108"/>
      <c r="F27" s="108"/>
      <c r="G27" s="108">
        <f t="shared" si="0"/>
        <v>548.9368181589191</v>
      </c>
    </row>
    <row r="28" spans="1:7" ht="13.5" x14ac:dyDescent="0.35">
      <c r="A28" s="107" t="s">
        <v>233</v>
      </c>
      <c r="B28" s="114">
        <f>B6-B27</f>
        <v>-50.186818158919095</v>
      </c>
      <c r="C28" s="114"/>
      <c r="D28" s="114"/>
      <c r="E28" s="114"/>
      <c r="F28" s="114"/>
      <c r="G28" s="114">
        <f t="shared" si="0"/>
        <v>-50.186818158919095</v>
      </c>
    </row>
    <row r="29" spans="1:7" ht="13.9" x14ac:dyDescent="0.4">
      <c r="A29" s="91" t="s">
        <v>230</v>
      </c>
      <c r="B29" s="96">
        <f>Budget!F51</f>
        <v>141.29136262745436</v>
      </c>
      <c r="C29" s="96"/>
      <c r="D29" s="96"/>
      <c r="E29" s="96"/>
      <c r="F29" s="96"/>
      <c r="G29" s="96">
        <f>AVERAGE(B29:F29)</f>
        <v>141.29136262745436</v>
      </c>
    </row>
    <row r="30" spans="1:7" ht="15.4" x14ac:dyDescent="0.35">
      <c r="A30" s="107" t="s">
        <v>753</v>
      </c>
      <c r="B30" s="108">
        <f>B27+B29</f>
        <v>690.22818078637351</v>
      </c>
      <c r="C30" s="108"/>
      <c r="D30" s="108"/>
      <c r="E30" s="108"/>
      <c r="F30" s="108"/>
      <c r="G30" s="108">
        <f>AVERAGE(B30:F30)</f>
        <v>690.22818078637351</v>
      </c>
    </row>
    <row r="31" spans="1:7" ht="13.5" x14ac:dyDescent="0.35">
      <c r="A31" s="107" t="str">
        <f>IF(OR(Budget!B3&lt;1,Budget!E44&gt;0),"Returns to Specified Expenses","Returns to Specified Expenses")</f>
        <v>Returns to Specified Expenses</v>
      </c>
      <c r="B31" s="114">
        <f>B6-B30</f>
        <v>-191.47818078637351</v>
      </c>
      <c r="C31" s="114"/>
      <c r="D31" s="114"/>
      <c r="E31" s="114"/>
      <c r="F31" s="114"/>
      <c r="G31" s="114">
        <f>AVERAGE(B31:F31)</f>
        <v>-191.47818078637351</v>
      </c>
    </row>
    <row r="32" spans="1:7" ht="13.9" x14ac:dyDescent="0.4">
      <c r="A32" s="96" t="str">
        <f>IF(A2_Budget_Look_Up!B7=1,"Operating Expenses/lb.",'C1_Messages_Indicators'!F26)</f>
        <v>Operating Expenses/bu.</v>
      </c>
      <c r="B32" s="96">
        <f>B27/B4</f>
        <v>5.2279696967516101</v>
      </c>
      <c r="C32" s="96"/>
      <c r="D32" s="96"/>
      <c r="E32" s="96"/>
      <c r="F32" s="96"/>
      <c r="G32" s="96">
        <f>AVERAGE(B32:F32)</f>
        <v>5.2279696967516101</v>
      </c>
    </row>
    <row r="33" spans="1:7" ht="13.9" x14ac:dyDescent="0.4">
      <c r="A33" s="92" t="str">
        <f>IF(A2_Budget_Look_Up!B7=1,"Total Expenses/lb.",'C1_Messages_Indicators'!H26)</f>
        <v>Total Specified Expenses/bu.</v>
      </c>
      <c r="B33" s="98">
        <f>B30/B4</f>
        <v>6.5736017217749856</v>
      </c>
      <c r="C33" s="98"/>
      <c r="D33" s="98"/>
      <c r="E33" s="98"/>
      <c r="F33" s="98"/>
      <c r="G33" s="98">
        <f>AVERAGE(B33:F33)</f>
        <v>6.5736017217749856</v>
      </c>
    </row>
    <row r="34" spans="1:7" ht="15.4" x14ac:dyDescent="0.4">
      <c r="A34" s="91" t="s">
        <v>755</v>
      </c>
      <c r="B34" s="91"/>
      <c r="C34" s="91"/>
      <c r="D34" s="91"/>
      <c r="E34" s="91"/>
      <c r="F34" s="91"/>
    </row>
    <row r="35" spans="1:7" ht="15.4" x14ac:dyDescent="0.4">
      <c r="A35" s="91" t="s">
        <v>752</v>
      </c>
      <c r="B35" s="91"/>
      <c r="C35" s="91"/>
      <c r="D35" s="91"/>
      <c r="E35" s="91"/>
      <c r="F35" s="91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6"/>
  <sheetViews>
    <sheetView workbookViewId="0">
      <selection activeCell="A2" sqref="A2"/>
    </sheetView>
  </sheetViews>
  <sheetFormatPr defaultRowHeight="12.75" x14ac:dyDescent="0.35"/>
  <cols>
    <col min="1" max="1" width="23.73046875" customWidth="1"/>
    <col min="2" max="2" width="6.59765625" customWidth="1"/>
    <col min="3" max="3" width="26.3984375" customWidth="1"/>
    <col min="4" max="4" width="35" bestFit="1" customWidth="1"/>
  </cols>
  <sheetData>
    <row r="1" spans="1:4" ht="15.75" customHeight="1" thickBot="1" x14ac:dyDescent="0.45">
      <c r="A1" s="1984" t="s">
        <v>1012</v>
      </c>
      <c r="B1" s="1984"/>
      <c r="C1" s="1856" t="s">
        <v>1031</v>
      </c>
      <c r="D1" s="1856" t="s">
        <v>1033</v>
      </c>
    </row>
    <row r="2" spans="1:4" ht="15.75" customHeight="1" thickBot="1" x14ac:dyDescent="0.45">
      <c r="A2" s="1904" t="s">
        <v>636</v>
      </c>
      <c r="B2" s="1905"/>
      <c r="C2" s="1905"/>
      <c r="D2" s="951"/>
    </row>
    <row r="3" spans="1:4" ht="13.5" thickBot="1" x14ac:dyDescent="0.45">
      <c r="A3" s="952" t="s">
        <v>351</v>
      </c>
      <c r="B3" s="953" t="s">
        <v>43</v>
      </c>
      <c r="C3" s="508" t="s">
        <v>352</v>
      </c>
      <c r="D3" s="509" t="s">
        <v>353</v>
      </c>
    </row>
    <row r="4" spans="1:4" ht="12.75" customHeight="1" x14ac:dyDescent="0.4">
      <c r="A4" s="524" t="s">
        <v>354</v>
      </c>
      <c r="B4" s="510" t="s">
        <v>355</v>
      </c>
      <c r="C4" s="511" t="s">
        <v>356</v>
      </c>
      <c r="D4" s="512"/>
    </row>
    <row r="5" spans="1:4" ht="13.15" x14ac:dyDescent="0.4">
      <c r="A5" s="525" t="s">
        <v>357</v>
      </c>
      <c r="B5" s="510" t="s">
        <v>358</v>
      </c>
      <c r="C5" s="511" t="s">
        <v>356</v>
      </c>
      <c r="D5" s="513"/>
    </row>
    <row r="6" spans="1:4" ht="13.15" x14ac:dyDescent="0.4">
      <c r="A6" s="523" t="s">
        <v>256</v>
      </c>
      <c r="B6" s="507" t="s">
        <v>359</v>
      </c>
      <c r="C6" s="511" t="s">
        <v>360</v>
      </c>
      <c r="D6" s="514" t="s">
        <v>524</v>
      </c>
    </row>
    <row r="7" spans="1:4" ht="13.15" x14ac:dyDescent="0.4">
      <c r="A7" s="525" t="s">
        <v>361</v>
      </c>
      <c r="B7" s="510" t="s">
        <v>358</v>
      </c>
      <c r="C7" s="515" t="s">
        <v>362</v>
      </c>
      <c r="D7" s="514"/>
    </row>
    <row r="8" spans="1:4" ht="13.15" x14ac:dyDescent="0.4">
      <c r="A8" s="523" t="s">
        <v>86</v>
      </c>
      <c r="B8" s="507" t="s">
        <v>363</v>
      </c>
      <c r="C8" s="516" t="s">
        <v>364</v>
      </c>
      <c r="D8" s="514" t="s">
        <v>365</v>
      </c>
    </row>
    <row r="9" spans="1:4" ht="13.15" x14ac:dyDescent="0.4">
      <c r="A9" s="525" t="s">
        <v>366</v>
      </c>
      <c r="B9" s="510" t="s">
        <v>358</v>
      </c>
      <c r="C9" s="516" t="s">
        <v>362</v>
      </c>
      <c r="D9" s="514"/>
    </row>
    <row r="10" spans="1:4" ht="13.15" x14ac:dyDescent="0.4">
      <c r="A10" s="525" t="s">
        <v>84</v>
      </c>
      <c r="B10" s="510" t="s">
        <v>358</v>
      </c>
      <c r="C10" s="516" t="s">
        <v>637</v>
      </c>
      <c r="D10" s="514"/>
    </row>
    <row r="11" spans="1:4" ht="13.15" x14ac:dyDescent="0.4">
      <c r="A11" s="525" t="s">
        <v>256</v>
      </c>
      <c r="B11" s="510" t="s">
        <v>359</v>
      </c>
      <c r="C11" s="516" t="s">
        <v>638</v>
      </c>
      <c r="D11" s="514" t="s">
        <v>639</v>
      </c>
    </row>
    <row r="12" spans="1:4" ht="13.15" x14ac:dyDescent="0.4">
      <c r="A12" s="523" t="s">
        <v>256</v>
      </c>
      <c r="B12" s="510" t="s">
        <v>359</v>
      </c>
      <c r="C12" s="516" t="s">
        <v>183</v>
      </c>
      <c r="D12" s="514" t="s">
        <v>525</v>
      </c>
    </row>
    <row r="13" spans="1:4" ht="13.15" x14ac:dyDescent="0.4">
      <c r="A13" s="525" t="s">
        <v>367</v>
      </c>
      <c r="B13" s="510" t="s">
        <v>358</v>
      </c>
      <c r="C13" s="516" t="s">
        <v>364</v>
      </c>
      <c r="D13" s="514" t="s">
        <v>368</v>
      </c>
    </row>
    <row r="14" spans="1:4" ht="13.15" x14ac:dyDescent="0.4">
      <c r="A14" s="523" t="s">
        <v>256</v>
      </c>
      <c r="B14" s="510" t="s">
        <v>359</v>
      </c>
      <c r="C14" s="516" t="s">
        <v>369</v>
      </c>
      <c r="D14" s="514" t="s">
        <v>526</v>
      </c>
    </row>
    <row r="15" spans="1:4" ht="13.15" x14ac:dyDescent="0.4">
      <c r="A15" s="525" t="s">
        <v>191</v>
      </c>
      <c r="B15" s="510" t="s">
        <v>358</v>
      </c>
      <c r="C15" s="516" t="s">
        <v>362</v>
      </c>
      <c r="D15" s="514"/>
    </row>
    <row r="16" spans="1:4" ht="13.15" x14ac:dyDescent="0.4">
      <c r="A16" s="525" t="s">
        <v>370</v>
      </c>
      <c r="B16" s="510"/>
      <c r="C16" s="516" t="s">
        <v>371</v>
      </c>
      <c r="D16" s="514"/>
    </row>
    <row r="17" spans="1:4" ht="13.15" x14ac:dyDescent="0.4">
      <c r="A17" s="525" t="s">
        <v>89</v>
      </c>
      <c r="B17" s="510" t="s">
        <v>358</v>
      </c>
      <c r="C17" s="516" t="s">
        <v>183</v>
      </c>
      <c r="D17" s="514" t="s">
        <v>527</v>
      </c>
    </row>
    <row r="18" spans="1:4" ht="13.15" x14ac:dyDescent="0.4">
      <c r="A18" s="525" t="s">
        <v>256</v>
      </c>
      <c r="B18" s="510" t="s">
        <v>359</v>
      </c>
      <c r="C18" s="516" t="s">
        <v>372</v>
      </c>
      <c r="D18" s="514" t="s">
        <v>373</v>
      </c>
    </row>
    <row r="19" spans="1:4" ht="13.15" x14ac:dyDescent="0.4">
      <c r="A19" s="525" t="s">
        <v>256</v>
      </c>
      <c r="B19" s="510" t="s">
        <v>359</v>
      </c>
      <c r="C19" s="516" t="s">
        <v>372</v>
      </c>
      <c r="D19" s="514" t="s">
        <v>374</v>
      </c>
    </row>
    <row r="20" spans="1:4" ht="13.15" x14ac:dyDescent="0.4">
      <c r="A20" s="525" t="s">
        <v>256</v>
      </c>
      <c r="B20" s="510" t="s">
        <v>359</v>
      </c>
      <c r="C20" s="516" t="s">
        <v>372</v>
      </c>
      <c r="D20" s="514" t="s">
        <v>375</v>
      </c>
    </row>
    <row r="21" spans="1:4" ht="13.15" x14ac:dyDescent="0.4">
      <c r="A21" s="525" t="s">
        <v>256</v>
      </c>
      <c r="B21" s="510" t="s">
        <v>359</v>
      </c>
      <c r="C21" s="516" t="s">
        <v>376</v>
      </c>
      <c r="D21" s="514" t="s">
        <v>377</v>
      </c>
    </row>
    <row r="22" spans="1:4" ht="13.5" thickBot="1" x14ac:dyDescent="0.45">
      <c r="A22" s="526" t="s">
        <v>256</v>
      </c>
      <c r="B22" s="517" t="s">
        <v>359</v>
      </c>
      <c r="C22" s="518" t="s">
        <v>376</v>
      </c>
      <c r="D22" s="508" t="s">
        <v>378</v>
      </c>
    </row>
    <row r="23" spans="1:4" ht="13.15" x14ac:dyDescent="0.4">
      <c r="A23" s="523" t="s">
        <v>379</v>
      </c>
      <c r="B23" s="507" t="s">
        <v>355</v>
      </c>
      <c r="C23" s="519" t="s">
        <v>240</v>
      </c>
      <c r="D23" s="520"/>
    </row>
    <row r="24" spans="1:4" ht="13.15" x14ac:dyDescent="0.4">
      <c r="A24" s="523" t="s">
        <v>9</v>
      </c>
      <c r="B24" s="507"/>
      <c r="C24" s="519" t="s">
        <v>240</v>
      </c>
      <c r="D24" s="520"/>
    </row>
    <row r="25" spans="1:4" ht="13.5" thickBot="1" x14ac:dyDescent="0.45">
      <c r="A25" s="527" t="s">
        <v>10</v>
      </c>
      <c r="B25" s="521"/>
      <c r="C25" s="508" t="s">
        <v>240</v>
      </c>
      <c r="D25" s="522"/>
    </row>
    <row r="26" spans="1:4" ht="13.5" thickBot="1" x14ac:dyDescent="0.45">
      <c r="A26" s="527" t="s">
        <v>330</v>
      </c>
      <c r="B26" s="521" t="s">
        <v>380</v>
      </c>
      <c r="C26" s="508" t="s">
        <v>381</v>
      </c>
      <c r="D26" s="522"/>
    </row>
  </sheetData>
  <sheetProtection selectLockedCells="1"/>
  <mergeCells count="1">
    <mergeCell ref="A1:B1"/>
  </mergeCells>
  <hyperlinks>
    <hyperlink ref="A1" location="Budget!F1" display="Return to Budget Worksheet" xr:uid="{00000000-0004-0000-0F00-000000000000}"/>
    <hyperlink ref="C1" location="Fertilizer!B1" display="Return to Fertilizer Worksheet" xr:uid="{00000000-0004-0000-0F00-000001000000}"/>
    <hyperlink ref="D1" location="Machine!A1" display="Return to Machine Worksheet" xr:uid="{00000000-0004-0000-0F00-000002000000}"/>
  </hyperlink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1"/>
  <sheetViews>
    <sheetView workbookViewId="0"/>
  </sheetViews>
  <sheetFormatPr defaultRowHeight="12.75" x14ac:dyDescent="0.35"/>
  <cols>
    <col min="1" max="1" width="30.73046875" customWidth="1"/>
    <col min="2" max="2" width="27.265625" customWidth="1"/>
    <col min="3" max="3" width="34.265625" customWidth="1"/>
    <col min="8" max="8" width="16.59765625" bestFit="1" customWidth="1"/>
  </cols>
  <sheetData>
    <row r="1" spans="1:3" ht="13.9" x14ac:dyDescent="0.4">
      <c r="B1" s="1880" t="s">
        <v>1039</v>
      </c>
      <c r="C1" s="3"/>
    </row>
    <row r="2" spans="1:3" x14ac:dyDescent="0.35">
      <c r="A2" s="3"/>
      <c r="C2" s="3"/>
    </row>
    <row r="3" spans="1:3" x14ac:dyDescent="0.35">
      <c r="A3" s="3"/>
      <c r="B3" s="3"/>
      <c r="C3" s="3"/>
    </row>
    <row r="4" spans="1:3" x14ac:dyDescent="0.35">
      <c r="A4" s="3"/>
      <c r="B4" s="3"/>
      <c r="C4" s="3"/>
    </row>
    <row r="5" spans="1:3" x14ac:dyDescent="0.35">
      <c r="A5" s="3"/>
      <c r="B5" s="3"/>
      <c r="C5" s="3"/>
    </row>
    <row r="6" spans="1:3" x14ac:dyDescent="0.35">
      <c r="A6" s="3"/>
      <c r="B6" s="3"/>
      <c r="C6" s="3"/>
    </row>
    <row r="7" spans="1:3" x14ac:dyDescent="0.35">
      <c r="A7" s="3"/>
      <c r="B7" s="3"/>
      <c r="C7" s="3"/>
    </row>
    <row r="8" spans="1:3" ht="13.9" customHeight="1" x14ac:dyDescent="0.35">
      <c r="A8" s="372" t="s">
        <v>1037</v>
      </c>
      <c r="B8" s="365"/>
      <c r="C8" s="365"/>
    </row>
    <row r="9" spans="1:3" ht="13.9" customHeight="1" x14ac:dyDescent="0.35">
      <c r="A9" s="372" t="s">
        <v>399</v>
      </c>
      <c r="B9" s="365"/>
      <c r="C9" s="365"/>
    </row>
    <row r="10" spans="1:3" ht="13.15" customHeight="1" x14ac:dyDescent="0.4">
      <c r="A10" s="1869" t="s">
        <v>405</v>
      </c>
      <c r="B10" s="1870"/>
      <c r="C10" s="1871"/>
    </row>
    <row r="11" spans="1:3" ht="13.15" customHeight="1" x14ac:dyDescent="0.4">
      <c r="A11" s="1872" t="s">
        <v>956</v>
      </c>
      <c r="B11" s="3"/>
      <c r="C11" s="1873"/>
    </row>
    <row r="12" spans="1:3" ht="13.15" customHeight="1" x14ac:dyDescent="0.4">
      <c r="A12" s="1872" t="s">
        <v>400</v>
      </c>
      <c r="B12" s="3"/>
      <c r="C12" s="1873"/>
    </row>
    <row r="13" spans="1:3" ht="13.15" customHeight="1" x14ac:dyDescent="0.4">
      <c r="A13" s="1872"/>
      <c r="B13" s="3"/>
      <c r="C13" s="1873"/>
    </row>
    <row r="14" spans="1:3" ht="13.15" customHeight="1" x14ac:dyDescent="0.4">
      <c r="A14" s="1872" t="s">
        <v>827</v>
      </c>
      <c r="B14" s="3"/>
      <c r="C14" s="1873"/>
    </row>
    <row r="15" spans="1:3" ht="13.15" customHeight="1" x14ac:dyDescent="0.4">
      <c r="A15" s="1872" t="s">
        <v>762</v>
      </c>
      <c r="B15" s="3"/>
      <c r="C15" s="1873"/>
    </row>
    <row r="16" spans="1:3" ht="13.15" customHeight="1" x14ac:dyDescent="0.4">
      <c r="A16" s="1872" t="s">
        <v>828</v>
      </c>
      <c r="B16" s="3"/>
      <c r="C16" s="1873"/>
    </row>
    <row r="17" spans="1:3" ht="13.15" customHeight="1" x14ac:dyDescent="0.4">
      <c r="A17" s="1872"/>
      <c r="B17" s="3"/>
      <c r="C17" s="1873"/>
    </row>
    <row r="18" spans="1:3" ht="13.15" customHeight="1" x14ac:dyDescent="0.4">
      <c r="A18" s="1872" t="s">
        <v>382</v>
      </c>
      <c r="B18" s="3"/>
      <c r="C18" s="1873"/>
    </row>
    <row r="19" spans="1:3" ht="13.15" customHeight="1" x14ac:dyDescent="0.4">
      <c r="A19" s="1872"/>
      <c r="B19" s="3"/>
      <c r="C19" s="1873"/>
    </row>
    <row r="20" spans="1:3" ht="13.15" customHeight="1" x14ac:dyDescent="0.4">
      <c r="A20" s="1872" t="s">
        <v>889</v>
      </c>
      <c r="B20" s="3"/>
      <c r="C20" s="1873"/>
    </row>
    <row r="21" spans="1:3" ht="13.15" customHeight="1" x14ac:dyDescent="0.4">
      <c r="A21" s="1872" t="s">
        <v>888</v>
      </c>
      <c r="B21" s="3"/>
      <c r="C21" s="1873"/>
    </row>
    <row r="22" spans="1:3" ht="13.15" customHeight="1" x14ac:dyDescent="0.4">
      <c r="A22" s="1872"/>
      <c r="B22" s="3"/>
      <c r="C22" s="1873"/>
    </row>
    <row r="23" spans="1:3" ht="13.15" customHeight="1" x14ac:dyDescent="0.4">
      <c r="A23" s="1872" t="s">
        <v>384</v>
      </c>
      <c r="B23" s="3"/>
      <c r="C23" s="1873"/>
    </row>
    <row r="24" spans="1:3" ht="13.15" customHeight="1" x14ac:dyDescent="0.4">
      <c r="A24" s="1872" t="s">
        <v>385</v>
      </c>
      <c r="B24" s="3"/>
      <c r="C24" s="1873"/>
    </row>
    <row r="25" spans="1:3" ht="13.15" customHeight="1" x14ac:dyDescent="0.4">
      <c r="A25" s="1872" t="s">
        <v>386</v>
      </c>
      <c r="B25" s="3"/>
      <c r="C25" s="1873"/>
    </row>
    <row r="26" spans="1:3" ht="13.15" customHeight="1" x14ac:dyDescent="0.4">
      <c r="A26" s="1872" t="s">
        <v>887</v>
      </c>
      <c r="B26" s="3"/>
      <c r="C26" s="1873"/>
    </row>
    <row r="27" spans="1:3" ht="13.15" customHeight="1" x14ac:dyDescent="0.4">
      <c r="A27" s="1872" t="s">
        <v>387</v>
      </c>
      <c r="B27" s="3"/>
      <c r="C27" s="1873"/>
    </row>
    <row r="28" spans="1:3" ht="13.15" customHeight="1" x14ac:dyDescent="0.4">
      <c r="A28" s="1872"/>
      <c r="B28" s="3"/>
      <c r="C28" s="1873"/>
    </row>
    <row r="29" spans="1:3" ht="13.15" customHeight="1" x14ac:dyDescent="0.4">
      <c r="A29" s="1872" t="s">
        <v>388</v>
      </c>
      <c r="B29" s="3"/>
      <c r="C29" s="1873"/>
    </row>
    <row r="30" spans="1:3" ht="13.15" customHeight="1" x14ac:dyDescent="0.4">
      <c r="A30" s="1872" t="s">
        <v>389</v>
      </c>
      <c r="B30" s="3"/>
      <c r="C30" s="1873"/>
    </row>
    <row r="31" spans="1:3" ht="13.15" customHeight="1" x14ac:dyDescent="0.4">
      <c r="A31" s="1872" t="s">
        <v>402</v>
      </c>
      <c r="B31" s="3"/>
      <c r="C31" s="1873"/>
    </row>
    <row r="32" spans="1:3" ht="13.15" customHeight="1" x14ac:dyDescent="0.4">
      <c r="A32" s="1872" t="s">
        <v>403</v>
      </c>
      <c r="B32" s="3"/>
      <c r="C32" s="1873"/>
    </row>
    <row r="33" spans="1:3" ht="13.15" customHeight="1" x14ac:dyDescent="0.4">
      <c r="A33" s="1872" t="s">
        <v>404</v>
      </c>
      <c r="B33" s="3"/>
      <c r="C33" s="1873"/>
    </row>
    <row r="34" spans="1:3" ht="13.15" customHeight="1" x14ac:dyDescent="0.4">
      <c r="A34" s="1872"/>
      <c r="B34" s="3"/>
      <c r="C34" s="1873"/>
    </row>
    <row r="35" spans="1:3" ht="13.15" customHeight="1" x14ac:dyDescent="0.4">
      <c r="A35" s="1872" t="s">
        <v>390</v>
      </c>
      <c r="B35" s="3"/>
      <c r="C35" s="1873"/>
    </row>
    <row r="36" spans="1:3" ht="13.15" customHeight="1" x14ac:dyDescent="0.4">
      <c r="A36" s="1872" t="s">
        <v>391</v>
      </c>
      <c r="B36" s="3"/>
      <c r="C36" s="1873"/>
    </row>
    <row r="37" spans="1:3" ht="13.15" customHeight="1" x14ac:dyDescent="0.4">
      <c r="A37" s="1872" t="s">
        <v>392</v>
      </c>
      <c r="B37" s="3"/>
      <c r="C37" s="1873"/>
    </row>
    <row r="38" spans="1:3" ht="13.15" customHeight="1" x14ac:dyDescent="0.4">
      <c r="A38" s="1872" t="s">
        <v>393</v>
      </c>
      <c r="B38" s="3"/>
      <c r="C38" s="1873"/>
    </row>
    <row r="39" spans="1:3" ht="13.15" customHeight="1" x14ac:dyDescent="0.4">
      <c r="A39" s="1872" t="s">
        <v>394</v>
      </c>
      <c r="B39" s="3"/>
      <c r="C39" s="1873"/>
    </row>
    <row r="40" spans="1:3" ht="13.15" customHeight="1" x14ac:dyDescent="0.4">
      <c r="A40" s="1872" t="s">
        <v>395</v>
      </c>
      <c r="B40" s="3"/>
      <c r="C40" s="1873"/>
    </row>
    <row r="41" spans="1:3" ht="13.15" customHeight="1" x14ac:dyDescent="0.4">
      <c r="A41" s="1872" t="s">
        <v>396</v>
      </c>
      <c r="B41" s="3"/>
      <c r="C41" s="1873"/>
    </row>
    <row r="42" spans="1:3" ht="13.15" customHeight="1" x14ac:dyDescent="0.4">
      <c r="A42" s="1872" t="s">
        <v>397</v>
      </c>
      <c r="B42" s="3"/>
      <c r="C42" s="1873"/>
    </row>
    <row r="43" spans="1:3" ht="13.15" customHeight="1" x14ac:dyDescent="0.4">
      <c r="A43" s="1872" t="s">
        <v>398</v>
      </c>
      <c r="B43" s="3"/>
      <c r="C43" s="1873"/>
    </row>
    <row r="44" spans="1:3" ht="13.15" customHeight="1" x14ac:dyDescent="0.4">
      <c r="A44" s="1872" t="s">
        <v>401</v>
      </c>
      <c r="B44" s="3"/>
      <c r="C44" s="1873"/>
    </row>
    <row r="45" spans="1:3" ht="13.15" customHeight="1" x14ac:dyDescent="0.4">
      <c r="A45" s="1872"/>
      <c r="B45" s="3"/>
      <c r="C45" s="1873"/>
    </row>
    <row r="46" spans="1:3" ht="13.15" customHeight="1" x14ac:dyDescent="0.4">
      <c r="A46" s="1872" t="s">
        <v>383</v>
      </c>
      <c r="B46" s="3"/>
      <c r="C46" s="1873"/>
    </row>
    <row r="47" spans="1:3" ht="13.15" customHeight="1" x14ac:dyDescent="0.4">
      <c r="A47" s="1077"/>
      <c r="B47" s="397"/>
      <c r="C47" s="1810"/>
    </row>
    <row r="48" spans="1:3" ht="13.9" customHeight="1" x14ac:dyDescent="0.35">
      <c r="A48" s="372"/>
      <c r="B48" s="365"/>
      <c r="C48" s="365"/>
    </row>
    <row r="49" spans="1:3" ht="13.9" customHeight="1" x14ac:dyDescent="0.35">
      <c r="A49" s="372"/>
      <c r="B49" s="365"/>
      <c r="C49" s="365"/>
    </row>
    <row r="50" spans="1:3" ht="13.9" customHeight="1" x14ac:dyDescent="0.35">
      <c r="A50" s="372"/>
      <c r="B50" s="365"/>
      <c r="C50" s="365"/>
    </row>
    <row r="51" spans="1:3" ht="13.9" customHeight="1" x14ac:dyDescent="0.35">
      <c r="A51" s="372"/>
      <c r="B51" s="365"/>
      <c r="C51" s="365"/>
    </row>
  </sheetData>
  <sheetProtection selectLockedCells="1"/>
  <hyperlinks>
    <hyperlink ref="B1" location="Budget!F1" display="Return to Budget Worksheet" xr:uid="{00000000-0004-0000-1000-000000000000}"/>
    <hyperlink ref="B1" location="Budget!F1" display="Goto Budget Worksheet" xr:uid="{00000000-0004-0000-1000-000001000000}"/>
    <hyperlink ref="B1" location="Budget!F1" display="Click here for Budget Worksheet" xr:uid="{00000000-0004-0000-1000-000002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78"/>
  <sheetViews>
    <sheetView zoomScaleNormal="100" workbookViewId="0">
      <selection activeCell="I5" sqref="I5:K5"/>
    </sheetView>
  </sheetViews>
  <sheetFormatPr defaultRowHeight="12.75" x14ac:dyDescent="0.35"/>
  <cols>
    <col min="1" max="1" width="43.1328125" customWidth="1"/>
    <col min="2" max="2" width="10.73046875" customWidth="1"/>
    <col min="3" max="3" width="7.1328125" customWidth="1"/>
    <col min="4" max="4" width="9" customWidth="1"/>
    <col min="5" max="5" width="10.3984375" customWidth="1"/>
    <col min="6" max="6" width="10.1328125" customWidth="1"/>
    <col min="7" max="8" width="0.86328125" customWidth="1"/>
    <col min="9" max="9" width="8.265625" customWidth="1"/>
    <col min="10" max="10" width="12.86328125" customWidth="1"/>
  </cols>
  <sheetData>
    <row r="1" spans="1:11" ht="13.9" x14ac:dyDescent="0.4">
      <c r="A1" s="1866" t="str">
        <f>Budget!A1</f>
        <v>Table 7. 2026 Grain Sorghum Enterprise Budget, Furrow Irrigation</v>
      </c>
      <c r="B1" s="1866"/>
      <c r="C1" s="1805"/>
      <c r="D1" s="1805"/>
      <c r="E1" s="1805"/>
      <c r="F1" s="1805"/>
      <c r="G1" s="410"/>
      <c r="H1" s="20"/>
      <c r="I1" s="4"/>
      <c r="J1" s="667"/>
      <c r="K1" s="4"/>
    </row>
    <row r="2" spans="1:11" ht="15.95" customHeight="1" x14ac:dyDescent="0.4">
      <c r="A2" s="308" t="str">
        <f>Budget!A2</f>
        <v>CROP VALUE</v>
      </c>
      <c r="B2" s="411" t="str">
        <f>Budget!B2</f>
        <v>Grower %</v>
      </c>
      <c r="C2" s="411" t="str">
        <f>Budget!C2</f>
        <v>Unit</v>
      </c>
      <c r="D2" s="411" t="s">
        <v>1029</v>
      </c>
      <c r="E2" s="411" t="str">
        <f>Budget!E2</f>
        <v>Price/Unit</v>
      </c>
      <c r="F2" s="411" t="str">
        <f>Budget!F2</f>
        <v>Revenue</v>
      </c>
      <c r="G2" s="667"/>
      <c r="H2" s="20"/>
      <c r="I2" s="1987" t="s">
        <v>1012</v>
      </c>
      <c r="J2" s="1987"/>
      <c r="K2" s="1987"/>
    </row>
    <row r="3" spans="1:11" ht="14.1" customHeight="1" x14ac:dyDescent="0.4">
      <c r="A3" s="309" t="str">
        <f>Budget!A3</f>
        <v>Crop Value, Enter Expected Farm Yield &amp; Price</v>
      </c>
      <c r="B3" s="403">
        <f>Budget!B3</f>
        <v>1</v>
      </c>
      <c r="C3" s="307" t="str">
        <f>Budget!C3</f>
        <v>Bu.</v>
      </c>
      <c r="D3" s="307">
        <f>Budget!D3</f>
        <v>105</v>
      </c>
      <c r="E3" s="307">
        <f>Budget!E3</f>
        <v>4.75</v>
      </c>
      <c r="F3" s="307">
        <f>Budget!F3</f>
        <v>498.75</v>
      </c>
      <c r="G3" s="307"/>
      <c r="H3" s="20"/>
      <c r="I3" s="4"/>
      <c r="J3" s="4"/>
      <c r="K3" s="4"/>
    </row>
    <row r="4" spans="1:11" ht="14.1" customHeight="1" x14ac:dyDescent="0.4">
      <c r="A4" s="4" t="str">
        <f>Budget!A4</f>
        <v xml:space="preserve"> </v>
      </c>
      <c r="B4" s="403" t="str">
        <f>Budget!B4</f>
        <v xml:space="preserve"> </v>
      </c>
      <c r="C4" s="307" t="str">
        <f>Budget!C4</f>
        <v xml:space="preserve"> </v>
      </c>
      <c r="D4" s="407" t="str">
        <f>Budget!D4</f>
        <v xml:space="preserve"> </v>
      </c>
      <c r="E4" s="307" t="str">
        <f>Budget!E4</f>
        <v xml:space="preserve"> </v>
      </c>
      <c r="F4" s="307" t="str">
        <f>Budget!F4</f>
        <v xml:space="preserve"> </v>
      </c>
      <c r="G4" s="307"/>
      <c r="H4" s="20"/>
      <c r="I4" s="1986" t="s">
        <v>1016</v>
      </c>
      <c r="J4" s="1986"/>
      <c r="K4" s="4"/>
    </row>
    <row r="5" spans="1:11" ht="14.1" customHeight="1" x14ac:dyDescent="0.4">
      <c r="A5" s="308" t="str">
        <f>Budget!A5</f>
        <v>OPERATING EXPENSES</v>
      </c>
      <c r="B5" s="404"/>
      <c r="C5" s="310" t="str">
        <f>Budget!C5</f>
        <v>Unit</v>
      </c>
      <c r="D5" s="310" t="str">
        <f>Budget!D5</f>
        <v>Quantity</v>
      </c>
      <c r="E5" s="310" t="str">
        <f>Budget!E5</f>
        <v>Price/Unit</v>
      </c>
      <c r="F5" s="310" t="str">
        <f>Budget!F5</f>
        <v>Costs</v>
      </c>
      <c r="G5" s="310"/>
      <c r="H5" s="20"/>
      <c r="I5" s="1858" t="s">
        <v>1018</v>
      </c>
      <c r="J5" s="1858"/>
      <c r="K5" s="1858"/>
    </row>
    <row r="6" spans="1:11" ht="13.9" x14ac:dyDescent="0.4">
      <c r="A6" s="4" t="str">
        <f>Budget!A6</f>
        <v>Seed, Includes Applicable Fees</v>
      </c>
      <c r="B6" s="403">
        <f>Budget!B6</f>
        <v>1</v>
      </c>
      <c r="C6" s="307" t="str">
        <f>Budget!C6</f>
        <v>Lbs</v>
      </c>
      <c r="D6" s="406">
        <f>Budget!D6</f>
        <v>6.5</v>
      </c>
      <c r="E6" s="307">
        <f>Budget!E6</f>
        <v>4.16</v>
      </c>
      <c r="F6" s="307">
        <f>Budget!F6</f>
        <v>27.04</v>
      </c>
      <c r="G6" s="307"/>
      <c r="H6" s="20"/>
      <c r="I6" s="3"/>
      <c r="J6" s="3"/>
      <c r="K6" s="3"/>
    </row>
    <row r="7" spans="1:11" ht="14.1" customHeight="1" x14ac:dyDescent="0.4">
      <c r="A7" s="4" t="str">
        <f>Budget!A7</f>
        <v xml:space="preserve">Urea (46-0-0), </v>
      </c>
      <c r="B7" s="403">
        <f>Budget!B7</f>
        <v>1</v>
      </c>
      <c r="C7" s="307" t="str">
        <f>Budget!C7</f>
        <v>Lbs</v>
      </c>
      <c r="D7" s="406">
        <f>Budget!D7</f>
        <v>350</v>
      </c>
      <c r="E7" s="307">
        <f>Budget!E7</f>
        <v>0.28083333333333332</v>
      </c>
      <c r="F7" s="307">
        <f>Budget!F7</f>
        <v>98.291666666666657</v>
      </c>
      <c r="G7" s="307"/>
      <c r="H7" s="20"/>
      <c r="I7" s="3"/>
      <c r="J7" s="3"/>
      <c r="K7" s="3"/>
    </row>
    <row r="8" spans="1:11" ht="14.1" customHeight="1" x14ac:dyDescent="0.4">
      <c r="A8" s="4" t="str">
        <f>Budget!A8</f>
        <v>Phosphate (0-46-0)</v>
      </c>
      <c r="B8" s="403">
        <f>Budget!B8</f>
        <v>1</v>
      </c>
      <c r="C8" s="307" t="str">
        <f>Budget!C8</f>
        <v>Lbs</v>
      </c>
      <c r="D8" s="406">
        <f>Budget!D8</f>
        <v>150</v>
      </c>
      <c r="E8" s="307">
        <f>Budget!E8</f>
        <v>0.40500000000000003</v>
      </c>
      <c r="F8" s="307">
        <f>Budget!F8</f>
        <v>60.750000000000007</v>
      </c>
      <c r="G8" s="307"/>
      <c r="H8" s="20"/>
      <c r="I8" s="3"/>
      <c r="J8" s="3"/>
      <c r="K8" s="3"/>
    </row>
    <row r="9" spans="1:11" ht="14.1" customHeight="1" x14ac:dyDescent="0.4">
      <c r="A9" s="4" t="str">
        <f>Budget!A9</f>
        <v>Potash (0-0-60)</v>
      </c>
      <c r="B9" s="403">
        <f>Budget!B9</f>
        <v>1</v>
      </c>
      <c r="C9" s="307" t="str">
        <f>Budget!C9</f>
        <v>Lbs</v>
      </c>
      <c r="D9" s="406">
        <f>Budget!D9</f>
        <v>120</v>
      </c>
      <c r="E9" s="307">
        <f>Budget!E9</f>
        <v>0.22</v>
      </c>
      <c r="F9" s="307">
        <f>Budget!F9</f>
        <v>26.4</v>
      </c>
      <c r="G9" s="307"/>
      <c r="H9" s="20"/>
      <c r="I9" s="3"/>
      <c r="J9" s="3"/>
      <c r="K9" s="3"/>
    </row>
    <row r="10" spans="1:11" ht="14.1" customHeight="1" x14ac:dyDescent="0.4">
      <c r="A10" s="4" t="str">
        <f>Budget!A10</f>
        <v>Ammonium Sulfate (21-0-0-24)</v>
      </c>
      <c r="B10" s="403">
        <f>Budget!B10</f>
        <v>1</v>
      </c>
      <c r="C10" s="307" t="str">
        <f>Budget!C10</f>
        <v>Lbs</v>
      </c>
      <c r="D10" s="406">
        <f>Budget!D10</f>
        <v>0</v>
      </c>
      <c r="E10" s="307">
        <f>Budget!E10</f>
        <v>0.26750000000000002</v>
      </c>
      <c r="F10" s="307">
        <f>Budget!F10</f>
        <v>0</v>
      </c>
      <c r="G10" s="307"/>
      <c r="H10" s="20"/>
      <c r="I10" s="3"/>
      <c r="J10" s="3"/>
      <c r="K10" s="3"/>
    </row>
    <row r="11" spans="1:11" ht="14.1" customHeight="1" x14ac:dyDescent="0.4">
      <c r="A11" s="4" t="str">
        <f>Budget!A11</f>
        <v>Boron</v>
      </c>
      <c r="B11" s="403">
        <f>Budget!B11</f>
        <v>1</v>
      </c>
      <c r="C11" s="307" t="str">
        <f>Budget!C11</f>
        <v>Lbs</v>
      </c>
      <c r="D11" s="307">
        <f>Budget!D11</f>
        <v>0</v>
      </c>
      <c r="E11" s="307">
        <f>Budget!E11</f>
        <v>0.72</v>
      </c>
      <c r="F11" s="307">
        <f>Budget!F11</f>
        <v>0</v>
      </c>
      <c r="G11" s="307"/>
      <c r="H11" s="20"/>
      <c r="I11" s="3"/>
      <c r="J11" s="3"/>
      <c r="K11" s="3"/>
    </row>
    <row r="12" spans="1:11" ht="14.1" customHeight="1" x14ac:dyDescent="0.4">
      <c r="A12" s="4" t="str">
        <f>Budget!A13</f>
        <v>DAP (18-46-0)</v>
      </c>
      <c r="B12" s="403">
        <f>Budget!B13</f>
        <v>1</v>
      </c>
      <c r="C12" s="307" t="str">
        <f>Budget!C13</f>
        <v>Lbs</v>
      </c>
      <c r="D12" s="307">
        <f>Budget!D13</f>
        <v>0</v>
      </c>
      <c r="E12" s="307">
        <f>Budget!E13</f>
        <v>0.46500000000000002</v>
      </c>
      <c r="F12" s="307">
        <f>Budget!F13</f>
        <v>0</v>
      </c>
      <c r="G12" s="307"/>
      <c r="H12" s="20"/>
      <c r="I12" s="3"/>
      <c r="J12" s="3"/>
      <c r="K12" s="3"/>
    </row>
    <row r="13" spans="1:11" ht="14.1" customHeight="1" x14ac:dyDescent="0.4">
      <c r="A13" s="4" t="str">
        <f>Budget!A14</f>
        <v>Herbicide</v>
      </c>
      <c r="B13" s="403">
        <f>Budget!B14</f>
        <v>1</v>
      </c>
      <c r="C13" s="307" t="str">
        <f>Budget!C14</f>
        <v>Acre</v>
      </c>
      <c r="D13" s="406">
        <f>Budget!D14</f>
        <v>1</v>
      </c>
      <c r="E13" s="307">
        <f>Budget!E14</f>
        <v>32.388250000000006</v>
      </c>
      <c r="F13" s="307">
        <f>Budget!F14</f>
        <v>32.388250000000006</v>
      </c>
      <c r="G13" s="307"/>
      <c r="H13" s="20"/>
      <c r="I13" s="3"/>
      <c r="J13" s="3"/>
      <c r="K13" s="3"/>
    </row>
    <row r="14" spans="1:11" ht="14.1" customHeight="1" x14ac:dyDescent="0.4">
      <c r="A14" s="4" t="str">
        <f>Budget!A15</f>
        <v>Insecticide</v>
      </c>
      <c r="B14" s="403">
        <f>Budget!B15</f>
        <v>1</v>
      </c>
      <c r="C14" s="307" t="str">
        <f>Budget!C15</f>
        <v>Acre</v>
      </c>
      <c r="D14" s="406">
        <f>Budget!D15</f>
        <v>1</v>
      </c>
      <c r="E14" s="307">
        <f>Budget!E15</f>
        <v>29.639200000000002</v>
      </c>
      <c r="F14" s="307">
        <f>Budget!F15</f>
        <v>29.639200000000002</v>
      </c>
      <c r="G14" s="307"/>
      <c r="H14" s="20"/>
      <c r="I14" s="3"/>
      <c r="J14" s="3"/>
      <c r="K14" s="3"/>
    </row>
    <row r="15" spans="1:11" ht="14.1" customHeight="1" x14ac:dyDescent="0.4">
      <c r="A15" s="4" t="str">
        <f>Budget!A16</f>
        <v>Fungicide</v>
      </c>
      <c r="B15" s="403">
        <f>Budget!B16</f>
        <v>1</v>
      </c>
      <c r="C15" s="307" t="str">
        <f>Budget!C16</f>
        <v>Acre</v>
      </c>
      <c r="D15" s="406">
        <f>Budget!D16</f>
        <v>1</v>
      </c>
      <c r="E15" s="307">
        <f>Budget!E16</f>
        <v>0</v>
      </c>
      <c r="F15" s="307">
        <f>Budget!F16</f>
        <v>0</v>
      </c>
      <c r="G15" s="307"/>
      <c r="H15" s="20"/>
      <c r="I15" s="3"/>
      <c r="J15" s="3"/>
      <c r="K15" s="3"/>
    </row>
    <row r="16" spans="1:11" ht="14.1" customHeight="1" x14ac:dyDescent="0.4">
      <c r="A16" s="4" t="str">
        <f>Budget!A17</f>
        <v>Other Chemical</v>
      </c>
      <c r="B16" s="403">
        <f>Budget!B17</f>
        <v>1</v>
      </c>
      <c r="C16" s="307" t="str">
        <f>Budget!C17</f>
        <v>Acre</v>
      </c>
      <c r="D16" s="406">
        <f>Budget!D17</f>
        <v>1</v>
      </c>
      <c r="E16" s="307">
        <f>Budget!E17</f>
        <v>0</v>
      </c>
      <c r="F16" s="307">
        <f>Budget!F17</f>
        <v>0</v>
      </c>
      <c r="G16" s="307"/>
      <c r="H16" s="20"/>
      <c r="I16" s="3"/>
      <c r="J16" s="3"/>
      <c r="K16" s="3"/>
    </row>
    <row r="17" spans="1:6" ht="14.1" customHeight="1" x14ac:dyDescent="0.4">
      <c r="A17" s="4" t="str">
        <f>Budget!A18</f>
        <v>Other Chemical</v>
      </c>
      <c r="B17" s="403">
        <f>Budget!B18</f>
        <v>1</v>
      </c>
      <c r="C17" s="307" t="str">
        <f>Budget!C18</f>
        <v>Acre</v>
      </c>
      <c r="D17" s="406">
        <f>Budget!D18</f>
        <v>1</v>
      </c>
      <c r="E17" s="307">
        <f>Budget!E18</f>
        <v>0</v>
      </c>
      <c r="F17" s="307">
        <f>Budget!F18</f>
        <v>0</v>
      </c>
    </row>
    <row r="18" spans="1:6" ht="14.1" customHeight="1" x14ac:dyDescent="0.4">
      <c r="A18" s="4" t="str">
        <f>Budget!A19</f>
        <v>Custom Chemical &amp; Fertilizer Applications</v>
      </c>
      <c r="B18" s="403"/>
      <c r="C18" s="311"/>
      <c r="D18" s="311"/>
      <c r="E18" s="311"/>
      <c r="F18" s="311"/>
    </row>
    <row r="19" spans="1:6" ht="14.1" customHeight="1" x14ac:dyDescent="0.4">
      <c r="A19" s="4" t="str">
        <f>Budget!A20</f>
        <v xml:space="preserve">   Ground Application: Fertilizer &amp; Chemical</v>
      </c>
      <c r="B19" s="403">
        <f>Budget!B20</f>
        <v>1</v>
      </c>
      <c r="C19" s="307" t="str">
        <f>Budget!C20</f>
        <v>Acre</v>
      </c>
      <c r="D19" s="408">
        <f>Budget!D20</f>
        <v>7</v>
      </c>
      <c r="E19" s="307">
        <f>Budget!E20</f>
        <v>9.5</v>
      </c>
      <c r="F19" s="307">
        <f>Budget!F20</f>
        <v>66.5</v>
      </c>
    </row>
    <row r="20" spans="1:6" ht="14.1" customHeight="1" x14ac:dyDescent="0.4">
      <c r="A20" s="4" t="str">
        <f>Budget!A21</f>
        <v xml:space="preserve">   Air Application: Fertilizer &amp; Chemical</v>
      </c>
      <c r="B20" s="403">
        <f>Budget!B21</f>
        <v>1</v>
      </c>
      <c r="C20" s="307" t="str">
        <f>Budget!C21</f>
        <v>Acre</v>
      </c>
      <c r="D20" s="408">
        <f>Budget!D21</f>
        <v>1</v>
      </c>
      <c r="E20" s="307">
        <f>Budget!E21</f>
        <v>10</v>
      </c>
      <c r="F20" s="307">
        <f>Budget!F21</f>
        <v>10</v>
      </c>
    </row>
    <row r="21" spans="1:6" ht="14.1" customHeight="1" x14ac:dyDescent="0.4">
      <c r="A21" s="4" t="str">
        <f>Budget!A22</f>
        <v xml:space="preserve">   Air Application: Lbs.</v>
      </c>
      <c r="B21" s="403">
        <f>Budget!B22</f>
        <v>1</v>
      </c>
      <c r="C21" s="307" t="str">
        <f>Budget!C22</f>
        <v>Lbs</v>
      </c>
      <c r="D21" s="408">
        <f>Budget!D22</f>
        <v>0</v>
      </c>
      <c r="E21" s="407">
        <f>Budget!E22</f>
        <v>0.1</v>
      </c>
      <c r="F21" s="307">
        <f>Budget!F22</f>
        <v>0</v>
      </c>
    </row>
    <row r="22" spans="1:6" ht="14.1" customHeight="1" x14ac:dyDescent="0.4">
      <c r="A22" s="4" t="str">
        <f>Budget!A23</f>
        <v xml:space="preserve">   Other Custom Hire, Air Seeding</v>
      </c>
      <c r="B22" s="403">
        <f>Budget!B23</f>
        <v>1</v>
      </c>
      <c r="C22" s="307" t="str">
        <f>Budget!C23</f>
        <v>Acre</v>
      </c>
      <c r="D22" s="408">
        <f>Budget!D23</f>
        <v>0</v>
      </c>
      <c r="E22" s="307">
        <f>Budget!E23</f>
        <v>9</v>
      </c>
      <c r="F22" s="307">
        <f>Budget!F23</f>
        <v>0</v>
      </c>
    </row>
    <row r="23" spans="1:6" ht="14.1" customHeight="1" x14ac:dyDescent="0.4">
      <c r="A23" s="4" t="str">
        <f>Budget!A24</f>
        <v>Machinery and Equipment</v>
      </c>
      <c r="B23" s="405"/>
      <c r="C23" s="4"/>
      <c r="D23" s="4"/>
      <c r="E23" s="4"/>
      <c r="F23" s="4"/>
    </row>
    <row r="24" spans="1:6" ht="14.1" customHeight="1" x14ac:dyDescent="0.4">
      <c r="A24" s="4" t="str">
        <f>Budget!A25</f>
        <v xml:space="preserve">   Diesel Fuel, Pre-Post Harvest</v>
      </c>
      <c r="B24" s="403">
        <f>Budget!B25</f>
        <v>1</v>
      </c>
      <c r="C24" s="307" t="str">
        <f>Budget!C25</f>
        <v>Gallons</v>
      </c>
      <c r="D24" s="407">
        <f>Budget!D25</f>
        <v>2.8708487052942733</v>
      </c>
      <c r="E24" s="307">
        <f>Budget!E25</f>
        <v>2.46</v>
      </c>
      <c r="F24" s="307">
        <f>Budget!F25</f>
        <v>7.0622878150239119</v>
      </c>
    </row>
    <row r="25" spans="1:6" ht="14.1" customHeight="1" x14ac:dyDescent="0.4">
      <c r="A25" s="4" t="str">
        <f>Budget!A26</f>
        <v xml:space="preserve">   Repairs and Maintenance, Pre-Post Harvest</v>
      </c>
      <c r="B25" s="403">
        <f>Budget!B26</f>
        <v>1</v>
      </c>
      <c r="C25" s="307" t="str">
        <f>Budget!C26</f>
        <v>Acre</v>
      </c>
      <c r="D25" s="406">
        <f>Budget!D26</f>
        <v>1</v>
      </c>
      <c r="E25" s="307">
        <f>Budget!E26</f>
        <v>5.9483136128870413</v>
      </c>
      <c r="F25" s="307">
        <f>Budget!F26</f>
        <v>5.9483136128870413</v>
      </c>
    </row>
    <row r="26" spans="1:6" ht="14.1" customHeight="1" x14ac:dyDescent="0.4">
      <c r="A26" s="4" t="str">
        <f>Budget!A27</f>
        <v xml:space="preserve">   Diesel Fuel, Harvest</v>
      </c>
      <c r="B26" s="403">
        <f>Budget!B27</f>
        <v>1</v>
      </c>
      <c r="C26" s="307" t="str">
        <f>Budget!C27</f>
        <v>Gallons</v>
      </c>
      <c r="D26" s="407">
        <f>Budget!D27</f>
        <v>2.5681632653061222</v>
      </c>
      <c r="E26" s="307">
        <f>Budget!E27</f>
        <v>2.46</v>
      </c>
      <c r="F26" s="307">
        <f>Budget!F27</f>
        <v>6.31768163265306</v>
      </c>
    </row>
    <row r="27" spans="1:6" ht="14.1" customHeight="1" x14ac:dyDescent="0.4">
      <c r="A27" s="4" t="str">
        <f>Budget!A28</f>
        <v xml:space="preserve">   Repairs and Maintenance, Harvest</v>
      </c>
      <c r="B27" s="403">
        <f>Budget!B28</f>
        <v>1</v>
      </c>
      <c r="C27" s="307" t="str">
        <f>Budget!C28</f>
        <v>Acre</v>
      </c>
      <c r="D27" s="406">
        <f>Budget!D28</f>
        <v>1</v>
      </c>
      <c r="E27" s="307">
        <f>Budget!E28</f>
        <v>12.5670990457805</v>
      </c>
      <c r="F27" s="307">
        <f>Budget!F28</f>
        <v>12.5670990457805</v>
      </c>
    </row>
    <row r="28" spans="1:6" ht="14.1" customHeight="1" x14ac:dyDescent="0.4">
      <c r="A28" s="4" t="str">
        <f>Budget!A29</f>
        <v>Irrigation Energy Cost</v>
      </c>
      <c r="B28" s="403">
        <f>Budget!B29</f>
        <v>1</v>
      </c>
      <c r="C28" s="307" t="str">
        <f>Budget!C29</f>
        <v>Ac-In</v>
      </c>
      <c r="D28" s="406">
        <f>Budget!D29</f>
        <v>10</v>
      </c>
      <c r="E28" s="307">
        <f>Budget!E29</f>
        <v>2.9055824511278194</v>
      </c>
      <c r="F28" s="307">
        <f>Budget!F29</f>
        <v>29.055824511278196</v>
      </c>
    </row>
    <row r="29" spans="1:6" ht="14.1" customHeight="1" x14ac:dyDescent="0.4">
      <c r="A29" s="4" t="str">
        <f>Budget!A30</f>
        <v>Irrigation System Repairs &amp; Maintenance</v>
      </c>
      <c r="B29" s="403"/>
      <c r="C29" s="307" t="str">
        <f>Budget!C30</f>
        <v>Ac-In</v>
      </c>
      <c r="D29" s="406">
        <f>Budget!D30</f>
        <v>10</v>
      </c>
      <c r="E29" s="307">
        <f>Budget!E30</f>
        <v>0.37661458333333331</v>
      </c>
      <c r="F29" s="307">
        <f>Budget!F30</f>
        <v>3.7661458333333329</v>
      </c>
    </row>
    <row r="30" spans="1:6" ht="14.1" customHeight="1" x14ac:dyDescent="0.4">
      <c r="A30" s="4" t="str">
        <f>Budget!A31</f>
        <v>Supplies (ex. polypipe)</v>
      </c>
      <c r="B30" s="403">
        <f>Budget!B31</f>
        <v>1</v>
      </c>
      <c r="C30" s="307" t="str">
        <f>Budget!C31</f>
        <v>Acre</v>
      </c>
      <c r="D30" s="406">
        <f>Budget!D31</f>
        <v>1</v>
      </c>
      <c r="E30" s="307">
        <f>Budget!E31</f>
        <v>16.25</v>
      </c>
      <c r="F30" s="307">
        <f>Budget!F31</f>
        <v>16.25</v>
      </c>
    </row>
    <row r="31" spans="1:6" ht="14.1" customHeight="1" x14ac:dyDescent="0.4">
      <c r="A31" s="4" t="str">
        <f>Budget!A32</f>
        <v>Other Inputs</v>
      </c>
      <c r="B31" s="403">
        <f>Budget!B32</f>
        <v>1</v>
      </c>
      <c r="C31" s="307" t="str">
        <f>Budget!C32</f>
        <v>Acre</v>
      </c>
      <c r="D31" s="406">
        <f>Budget!D32</f>
        <v>1</v>
      </c>
      <c r="E31" s="307">
        <f>Budget!E32</f>
        <v>0</v>
      </c>
      <c r="F31" s="307">
        <f>Budget!F32</f>
        <v>0</v>
      </c>
    </row>
    <row r="32" spans="1:6" ht="14.1" customHeight="1" x14ac:dyDescent="0.4">
      <c r="A32" s="4" t="str">
        <f>Budget!A33</f>
        <v>Labor, Field Activities and Irrigation</v>
      </c>
      <c r="B32" s="403">
        <f>Budget!B33</f>
        <v>1</v>
      </c>
      <c r="C32" s="307" t="str">
        <f>Budget!C33</f>
        <v>Hrs</v>
      </c>
      <c r="D32" s="407">
        <f>Budget!D33</f>
        <v>1.1898358063782921</v>
      </c>
      <c r="E32" s="307">
        <f>Budget!E33</f>
        <v>14.83</v>
      </c>
      <c r="F32" s="307">
        <f>Budget!F33</f>
        <v>17.645265008590073</v>
      </c>
    </row>
    <row r="33" spans="1:6" ht="14.1" customHeight="1" x14ac:dyDescent="0.4">
      <c r="A33" s="4" t="str">
        <f>Budget!A34</f>
        <v>Scouting/Consultant Fee</v>
      </c>
      <c r="B33" s="403">
        <f>Budget!B34</f>
        <v>1</v>
      </c>
      <c r="C33" s="307" t="str">
        <f>Budget!C34</f>
        <v>Acre</v>
      </c>
      <c r="D33" s="406">
        <f>Budget!D34</f>
        <v>1</v>
      </c>
      <c r="E33" s="307">
        <f>Budget!E34</f>
        <v>6</v>
      </c>
      <c r="F33" s="307">
        <f>Budget!F34</f>
        <v>6</v>
      </c>
    </row>
    <row r="34" spans="1:6" ht="13.9" x14ac:dyDescent="0.4">
      <c r="A34" s="4" t="str">
        <f>Budget!A35</f>
        <v>Survey and Mark Levees (Rice)</v>
      </c>
      <c r="B34" s="403">
        <f>Budget!B35</f>
        <v>1</v>
      </c>
      <c r="C34" s="307" t="str">
        <f>Budget!C35</f>
        <v>Acre</v>
      </c>
      <c r="D34" s="406">
        <f>Budget!D35</f>
        <v>1</v>
      </c>
      <c r="E34" s="307">
        <f>Budget!E35</f>
        <v>0</v>
      </c>
      <c r="F34" s="307">
        <f>Budget!F35</f>
        <v>0</v>
      </c>
    </row>
    <row r="35" spans="1:6" ht="14.1" customHeight="1" x14ac:dyDescent="0.4">
      <c r="A35" s="4" t="str">
        <f>Budget!A36</f>
        <v>Crop Insurance</v>
      </c>
      <c r="B35" s="403">
        <f>Budget!B36</f>
        <v>1</v>
      </c>
      <c r="C35" s="307" t="str">
        <f>Budget!C36</f>
        <v>Acre</v>
      </c>
      <c r="D35" s="406">
        <f>Budget!D36</f>
        <v>1</v>
      </c>
      <c r="E35" s="307">
        <f>Budget!E36</f>
        <v>31</v>
      </c>
      <c r="F35" s="307">
        <f>Budget!F36</f>
        <v>31</v>
      </c>
    </row>
    <row r="36" spans="1:6" ht="14.1" customHeight="1" x14ac:dyDescent="0.4">
      <c r="A36" s="4" t="str">
        <f>Budget!A37</f>
        <v>Interest, Annual Rate Applied for 6 Months</v>
      </c>
      <c r="B36" s="403">
        <f>Budget!B37</f>
        <v>1</v>
      </c>
      <c r="C36" s="307" t="str">
        <f>Budget!C37</f>
        <v>Rate %</v>
      </c>
      <c r="D36" s="307">
        <f>Budget!D37</f>
        <v>8.25</v>
      </c>
      <c r="E36" s="307">
        <f>Budget!E37</f>
        <v>500.97173412621277</v>
      </c>
      <c r="F36" s="307">
        <f>Budget!F37</f>
        <v>20.665084032706279</v>
      </c>
    </row>
    <row r="37" spans="1:6" ht="14.1" customHeight="1" x14ac:dyDescent="0.4">
      <c r="A37" s="4" t="str">
        <f>Budget!A38</f>
        <v>Custom Harvest</v>
      </c>
      <c r="B37" s="403">
        <f>Budget!B38</f>
        <v>1</v>
      </c>
      <c r="C37" s="307" t="str">
        <f>Budget!C38</f>
        <v>Acre</v>
      </c>
      <c r="D37" s="307">
        <f>Budget!D38</f>
        <v>0</v>
      </c>
      <c r="E37" s="307">
        <f>Budget!E38</f>
        <v>0</v>
      </c>
      <c r="F37" s="307">
        <f>Budget!F38</f>
        <v>0</v>
      </c>
    </row>
    <row r="38" spans="1:6" ht="14.1" customHeight="1" x14ac:dyDescent="0.4">
      <c r="A38" s="4" t="str">
        <f>Budget!A39</f>
        <v>Post-Harvest Expenses</v>
      </c>
      <c r="B38" s="403" t="str">
        <f>Budget!B39</f>
        <v xml:space="preserve"> </v>
      </c>
      <c r="C38" s="307" t="str">
        <f>Budget!C39</f>
        <v xml:space="preserve"> </v>
      </c>
      <c r="D38" s="307" t="str">
        <f>Budget!D39</f>
        <v xml:space="preserve"> </v>
      </c>
      <c r="E38" s="307" t="str">
        <f>IF(A2_Budget_Look_Up!B13&gt;0,Budget!E39," ")</f>
        <v xml:space="preserve"> </v>
      </c>
      <c r="F38" s="307" t="str">
        <f>Budget!F39</f>
        <v xml:space="preserve"> </v>
      </c>
    </row>
    <row r="39" spans="1:6" ht="14.1" customHeight="1" x14ac:dyDescent="0.4">
      <c r="A39" s="4" t="str">
        <f>Budget!A40</f>
        <v xml:space="preserve">   Drying</v>
      </c>
      <c r="B39" s="403">
        <f>Budget!B40</f>
        <v>1</v>
      </c>
      <c r="C39" s="307" t="str">
        <f>Budget!C40</f>
        <v>Bu.</v>
      </c>
      <c r="D39" s="307">
        <f>Budget!D40</f>
        <v>105</v>
      </c>
      <c r="E39" s="307">
        <f>Budget!E40</f>
        <v>0</v>
      </c>
      <c r="F39" s="307">
        <f>Budget!F40</f>
        <v>0</v>
      </c>
    </row>
    <row r="40" spans="1:6" ht="14.1" customHeight="1" x14ac:dyDescent="0.4">
      <c r="A40" s="4" t="str">
        <f>Budget!A41</f>
        <v xml:space="preserve">   Hauling</v>
      </c>
      <c r="B40" s="403">
        <f>Budget!B41</f>
        <v>1</v>
      </c>
      <c r="C40" s="307" t="str">
        <f>Budget!C41</f>
        <v>Bu.</v>
      </c>
      <c r="D40" s="307">
        <f>Budget!D41</f>
        <v>105</v>
      </c>
      <c r="E40" s="307">
        <f>Budget!E41</f>
        <v>0.25</v>
      </c>
      <c r="F40" s="307">
        <f>Budget!F41</f>
        <v>26.25</v>
      </c>
    </row>
    <row r="41" spans="1:6" ht="14.1" customHeight="1" x14ac:dyDescent="0.4">
      <c r="A41" s="4" t="str">
        <f>Budget!A42</f>
        <v xml:space="preserve">   Check Off, Boards</v>
      </c>
      <c r="B41" s="403">
        <f>Budget!B42</f>
        <v>1</v>
      </c>
      <c r="C41" s="307" t="str">
        <f>Budget!C42</f>
        <v>Bu.</v>
      </c>
      <c r="D41" s="307">
        <f>Budget!D42</f>
        <v>105</v>
      </c>
      <c r="E41" s="307">
        <f>Budget!E42</f>
        <v>0.01</v>
      </c>
      <c r="F41" s="307">
        <f>Budget!F42</f>
        <v>1.05</v>
      </c>
    </row>
    <row r="42" spans="1:6" ht="14.1" customHeight="1" x14ac:dyDescent="0.4">
      <c r="A42" s="4" t="str">
        <f>Budget!A43</f>
        <v xml:space="preserve"> </v>
      </c>
      <c r="B42" s="403" t="str">
        <f>Budget!B43</f>
        <v xml:space="preserve"> </v>
      </c>
      <c r="C42" s="307" t="str">
        <f>Budget!C43</f>
        <v xml:space="preserve"> </v>
      </c>
      <c r="D42" s="307" t="str">
        <f>Budget!D43</f>
        <v xml:space="preserve"> </v>
      </c>
      <c r="E42" s="307" t="str">
        <f>Budget!E43</f>
        <v xml:space="preserve"> </v>
      </c>
      <c r="F42" s="307" t="str">
        <f>Budget!F43</f>
        <v xml:space="preserve"> </v>
      </c>
    </row>
    <row r="43" spans="1:6" ht="14.1" customHeight="1" x14ac:dyDescent="0.4">
      <c r="A43" s="4" t="str">
        <f>Budget!A44</f>
        <v>Cash Land Rent</v>
      </c>
      <c r="B43" s="403"/>
      <c r="C43" s="311" t="str">
        <f>Budget!C44</f>
        <v>Acre</v>
      </c>
      <c r="D43" s="408">
        <f>Budget!D44</f>
        <v>1</v>
      </c>
      <c r="E43" s="311">
        <f>Budget!E44</f>
        <v>0</v>
      </c>
      <c r="F43" s="311">
        <f>Budget!F44</f>
        <v>0</v>
      </c>
    </row>
    <row r="44" spans="1:6" ht="14.1" customHeight="1" x14ac:dyDescent="0.35">
      <c r="A44" s="308" t="str">
        <f>Budget!A45</f>
        <v>Total Operating Expenses</v>
      </c>
      <c r="B44" s="312"/>
      <c r="C44" s="312"/>
      <c r="D44" s="312"/>
      <c r="E44" s="312"/>
      <c r="F44" s="312">
        <f>SUM(F6:F43)-IF(A2_Budget_Look_Up!B7=1,F4,0)</f>
        <v>534.58681815891896</v>
      </c>
    </row>
    <row r="45" spans="1:6" ht="14.1" customHeight="1" x14ac:dyDescent="0.35">
      <c r="A45" s="308" t="str">
        <f>Budget!A46</f>
        <v>Returns to Operating Expenses</v>
      </c>
      <c r="B45" s="313"/>
      <c r="C45" s="313"/>
      <c r="D45" s="313"/>
      <c r="E45" s="313"/>
      <c r="F45" s="313">
        <f>F3-F44</f>
        <v>-35.836818158918959</v>
      </c>
    </row>
    <row r="46" spans="1:6" ht="14.1" customHeight="1" x14ac:dyDescent="0.4">
      <c r="A46" s="308" t="str">
        <f>Budget!A47</f>
        <v>CAPITAL RECOVERY &amp; FIXED COSTS</v>
      </c>
      <c r="B46" s="4"/>
      <c r="C46" s="4"/>
      <c r="D46" s="4"/>
      <c r="E46" s="4"/>
      <c r="F46" s="4"/>
    </row>
    <row r="47" spans="1:6" ht="14.1" customHeight="1" x14ac:dyDescent="0.4">
      <c r="A47" s="4" t="str">
        <f>Budget!A48</f>
        <v>Machinery and Equipment</v>
      </c>
      <c r="B47" s="311"/>
      <c r="C47" s="311" t="str">
        <f>Budget!C48</f>
        <v>Acre</v>
      </c>
      <c r="D47" s="408">
        <f>Budget!D48</f>
        <v>1</v>
      </c>
      <c r="E47" s="311">
        <f>Budget!E48</f>
        <v>102.67392093091048</v>
      </c>
      <c r="F47" s="311">
        <f>Budget!F48</f>
        <v>102.67392093091048</v>
      </c>
    </row>
    <row r="48" spans="1:6" ht="14.1" customHeight="1" x14ac:dyDescent="0.4">
      <c r="A48" s="4" t="str">
        <f>Budget!A49</f>
        <v>Irrigation Equipment</v>
      </c>
      <c r="B48" s="311"/>
      <c r="C48" s="311" t="str">
        <f>Budget!C49</f>
        <v>Acre</v>
      </c>
      <c r="D48" s="408">
        <f>Budget!D49</f>
        <v>1</v>
      </c>
      <c r="E48" s="311">
        <f>Budget!E49</f>
        <v>33.48374564999834</v>
      </c>
      <c r="F48" s="311">
        <f>Budget!F49</f>
        <v>33.48374564999834</v>
      </c>
    </row>
    <row r="49" spans="1:6" ht="14.1" customHeight="1" x14ac:dyDescent="0.4">
      <c r="A49" s="4" t="str">
        <f>Budget!A50</f>
        <v xml:space="preserve">Farm Overhead; See Note 2 </v>
      </c>
      <c r="B49" s="311"/>
      <c r="C49" s="311" t="str">
        <f>Budget!C50</f>
        <v>Acre</v>
      </c>
      <c r="D49" s="408">
        <f>Budget!D50</f>
        <v>1</v>
      </c>
      <c r="E49" s="311">
        <f>Budget!E50</f>
        <v>5.1336960465455244</v>
      </c>
      <c r="F49" s="311">
        <f>Budget!F50</f>
        <v>5.1336960465455244</v>
      </c>
    </row>
    <row r="50" spans="1:6" ht="14.1" customHeight="1" x14ac:dyDescent="0.35">
      <c r="A50" s="308" t="str">
        <f>Budget!A51</f>
        <v>Total Capital Recovery &amp; Fixed Costs</v>
      </c>
      <c r="B50" s="312"/>
      <c r="C50" s="312"/>
      <c r="D50" s="312"/>
      <c r="E50" s="312"/>
      <c r="F50" s="312">
        <f>SUM(F47:F49)</f>
        <v>141.29136262745436</v>
      </c>
    </row>
    <row r="51" spans="1:6" ht="14.1" customHeight="1" x14ac:dyDescent="0.35">
      <c r="A51" s="308" t="str">
        <f>Budget!A52</f>
        <v>TOTAL SPECIFIED EXPENSES</v>
      </c>
      <c r="B51" s="313"/>
      <c r="C51" s="313"/>
      <c r="D51" s="313"/>
      <c r="E51" s="313"/>
      <c r="F51" s="313">
        <f>F44+F50</f>
        <v>675.87818078637338</v>
      </c>
    </row>
    <row r="52" spans="1:6" ht="14.1" customHeight="1" x14ac:dyDescent="0.35">
      <c r="A52" s="314" t="str">
        <f>Budget!A53</f>
        <v>NET RETURNS</v>
      </c>
      <c r="B52" s="315"/>
      <c r="C52" s="315"/>
      <c r="D52" s="315"/>
      <c r="E52" s="315"/>
      <c r="F52" s="315">
        <f>F3-F51</f>
        <v>-177.12818078637338</v>
      </c>
    </row>
    <row r="53" spans="1:6" ht="13.5" x14ac:dyDescent="0.35">
      <c r="A53" s="308"/>
      <c r="B53" s="313"/>
      <c r="C53" s="313"/>
      <c r="D53" s="313"/>
      <c r="E53" s="313"/>
      <c r="F53" s="313"/>
    </row>
    <row r="54" spans="1:6" ht="13.9" x14ac:dyDescent="0.4">
      <c r="A54" s="4" t="str">
        <f>Budget!A55</f>
        <v>Note 1: Yield and inputs are based on Extension research data. Enter expected farm yield and inputs.</v>
      </c>
      <c r="B54" s="313"/>
      <c r="C54" s="313"/>
      <c r="D54" s="313"/>
      <c r="E54" s="313"/>
      <c r="F54" s="313"/>
    </row>
    <row r="55" spans="1:6" ht="13.9" x14ac:dyDescent="0.4">
      <c r="A55" s="4" t="str">
        <f>Budget!A56</f>
        <v>Note 2: Estimate based on machinery and equipment.</v>
      </c>
      <c r="B55" s="313"/>
      <c r="C55" s="313"/>
      <c r="D55" s="313"/>
      <c r="E55" s="313"/>
      <c r="F55" s="313"/>
    </row>
    <row r="56" spans="1:6" ht="14.1" customHeight="1" x14ac:dyDescent="0.4">
      <c r="A56" s="4" t="str">
        <f>Budget!A57</f>
        <v xml:space="preserve"> </v>
      </c>
      <c r="B56" s="313"/>
      <c r="C56" s="313"/>
      <c r="D56" s="313"/>
      <c r="E56" s="313"/>
      <c r="F56" s="313"/>
    </row>
    <row r="57" spans="1:6" ht="14.1" customHeight="1" x14ac:dyDescent="0.4">
      <c r="A57" s="4" t="str">
        <f>Budget!A58</f>
        <v xml:space="preserve"> </v>
      </c>
      <c r="B57" s="313"/>
      <c r="C57" s="313"/>
      <c r="D57" s="313"/>
      <c r="E57" s="313"/>
      <c r="F57" s="313"/>
    </row>
    <row r="58" spans="1:6" ht="14.1" customHeight="1" x14ac:dyDescent="0.4">
      <c r="A58" s="4" t="str">
        <f>Budget!A59</f>
        <v xml:space="preserve"> </v>
      </c>
      <c r="B58" s="313"/>
      <c r="C58" s="313"/>
      <c r="D58" s="313"/>
      <c r="E58" s="313"/>
      <c r="F58" s="313"/>
    </row>
    <row r="78" spans="1:2" ht="13.9" x14ac:dyDescent="0.4">
      <c r="A78" s="1985"/>
      <c r="B78" s="1985"/>
    </row>
  </sheetData>
  <sheetProtection selectLockedCells="1"/>
  <mergeCells count="3">
    <mergeCell ref="A78:B78"/>
    <mergeCell ref="I4:J4"/>
    <mergeCell ref="I2:K2"/>
  </mergeCells>
  <hyperlinks>
    <hyperlink ref="I2" location="Budget!F1" display="Goto Budget Worksheet" xr:uid="{00000000-0004-0000-1100-000000000000}"/>
    <hyperlink ref="I4" location="Print_Summary!A1" display="Goto Print_Summary" xr:uid="{00000000-0004-0000-1100-000001000000}"/>
    <hyperlink ref="I5" location="Print_Land_Capitalization!A1" display="Goto Print_Land_Capitalization" xr:uid="{00000000-0004-0000-1100-000002000000}"/>
    <hyperlink ref="I2:J2" location="Budget!F1" display="Return to Budget Worksheet" xr:uid="{00000000-0004-0000-1100-000003000000}"/>
  </hyperlinks>
  <printOptions horizontalCentered="1" verticalCentered="1"/>
  <pageMargins left="0.25" right="0.25" top="0.75" bottom="0.75" header="0.5" footer="0.5"/>
  <pageSetup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0"/>
  <sheetViews>
    <sheetView topLeftCell="B1" workbookViewId="0">
      <selection activeCell="G8" sqref="G8:I8"/>
    </sheetView>
  </sheetViews>
  <sheetFormatPr defaultRowHeight="12.75" x14ac:dyDescent="0.35"/>
  <cols>
    <col min="1" max="1" width="42.73046875" customWidth="1"/>
    <col min="2" max="2" width="8.73046875" customWidth="1"/>
    <col min="3" max="3" width="7" customWidth="1"/>
    <col min="4" max="4" width="10.1328125" customWidth="1"/>
    <col min="5" max="5" width="13" customWidth="1"/>
    <col min="6" max="6" width="10.1328125" bestFit="1" customWidth="1"/>
    <col min="7" max="7" width="15.3984375" customWidth="1"/>
    <col min="8" max="8" width="5.86328125" customWidth="1"/>
    <col min="9" max="9" width="15.3984375" customWidth="1"/>
    <col min="10" max="10" width="8.86328125" customWidth="1"/>
  </cols>
  <sheetData>
    <row r="1" spans="1:9" ht="15" customHeight="1" x14ac:dyDescent="0.4">
      <c r="A1" s="1876" t="s">
        <v>654</v>
      </c>
      <c r="B1" s="1875"/>
      <c r="C1" s="1875"/>
      <c r="D1" s="1875"/>
      <c r="E1" s="1878"/>
      <c r="F1" s="1879"/>
      <c r="G1" s="1441" t="str">
        <f>A2_Budget_Look_Up!D7</f>
        <v>Grain Sorghum, Furrow</v>
      </c>
      <c r="H1" s="1246"/>
      <c r="I1" s="1442"/>
    </row>
    <row r="2" spans="1:9" ht="15" customHeight="1" x14ac:dyDescent="0.4">
      <c r="A2" s="1806" t="str">
        <f>Print_Summary!G1</f>
        <v>Grain Sorghum, Furrow</v>
      </c>
      <c r="B2" s="1807"/>
      <c r="C2" s="1807"/>
      <c r="D2" s="1808"/>
      <c r="E2" s="1806"/>
      <c r="F2" s="1808"/>
      <c r="G2" s="1444" t="s">
        <v>642</v>
      </c>
      <c r="H2" s="1445"/>
      <c r="I2" s="1543">
        <f>IF(A2_Budget_Look_Up!B13&gt;0,300,IF(OR(A2_Budget_Look_Up!B11&gt;0,A2_Budget_Look_Up!B12&gt;0,A2_Budget_Look_Up!B14&gt;0),500,1000))</f>
        <v>500</v>
      </c>
    </row>
    <row r="3" spans="1:9" ht="15" customHeight="1" x14ac:dyDescent="0.4">
      <c r="A3" s="1809" t="s">
        <v>664</v>
      </c>
      <c r="B3" s="1243"/>
      <c r="C3" s="1243"/>
      <c r="D3" s="1810"/>
      <c r="E3" s="1811"/>
      <c r="F3" s="1812"/>
      <c r="G3" s="1446" t="s">
        <v>643</v>
      </c>
      <c r="H3" s="1447"/>
      <c r="I3" s="1448">
        <f>(SUM(Budget!F6:F18)+SUM(Budget!F20:F23)+SUM(Budget!F25:F36))*I2</f>
        <v>250485.86706310642</v>
      </c>
    </row>
    <row r="4" spans="1:9" ht="13.9" x14ac:dyDescent="0.4">
      <c r="A4" s="1813" t="s">
        <v>13</v>
      </c>
      <c r="B4" s="530" t="s">
        <v>4</v>
      </c>
      <c r="C4" s="530"/>
      <c r="D4" s="1814" t="s">
        <v>649</v>
      </c>
      <c r="E4" s="1815"/>
      <c r="F4" s="1814" t="s">
        <v>442</v>
      </c>
      <c r="G4" s="4"/>
      <c r="H4" s="4"/>
      <c r="I4" s="4"/>
    </row>
    <row r="5" spans="1:9" ht="13.9" x14ac:dyDescent="0.4">
      <c r="A5" s="1816" t="s">
        <v>47</v>
      </c>
      <c r="B5" s="1817">
        <v>1</v>
      </c>
      <c r="C5" s="1817"/>
      <c r="D5" s="1771">
        <f>Print_Summary!I2</f>
        <v>500</v>
      </c>
      <c r="E5" s="1841" t="s">
        <v>649</v>
      </c>
      <c r="F5" s="1818"/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820">
        <f>Budget!D3</f>
        <v>105</v>
      </c>
      <c r="C6" s="1820"/>
      <c r="D6" s="1821">
        <f>B6*Print_Summary!$I$2</f>
        <v>52500</v>
      </c>
      <c r="E6" s="1097" t="s">
        <v>797</v>
      </c>
      <c r="F6" s="1541">
        <f>B6*0.9</f>
        <v>94.5</v>
      </c>
      <c r="G6" s="4"/>
      <c r="H6" s="4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4.75</v>
      </c>
      <c r="C7" s="1097"/>
      <c r="D7" s="1823">
        <f>B7</f>
        <v>4.75</v>
      </c>
      <c r="E7" s="1097" t="s">
        <v>791</v>
      </c>
      <c r="F7" s="1542">
        <f>B7</f>
        <v>4.75</v>
      </c>
      <c r="G7" s="1988" t="s">
        <v>1017</v>
      </c>
      <c r="H7" s="1986"/>
      <c r="I7" s="4"/>
    </row>
    <row r="8" spans="1:9" ht="13.9" x14ac:dyDescent="0.4">
      <c r="A8" s="1819" t="s">
        <v>702</v>
      </c>
      <c r="B8" s="1098">
        <f>Budget!B3</f>
        <v>1</v>
      </c>
      <c r="C8" s="1098"/>
      <c r="D8" s="1824">
        <f>B8</f>
        <v>1</v>
      </c>
      <c r="E8" s="1097"/>
      <c r="F8" s="1824"/>
      <c r="G8" s="1868" t="s">
        <v>1018</v>
      </c>
      <c r="H8" s="1858"/>
      <c r="I8" s="1858"/>
    </row>
    <row r="9" spans="1:9" ht="13.9" x14ac:dyDescent="0.4">
      <c r="A9" s="1825" t="s">
        <v>231</v>
      </c>
      <c r="B9" s="1826">
        <f>Budget!F3</f>
        <v>498.75</v>
      </c>
      <c r="C9" s="1826"/>
      <c r="D9" s="1827">
        <f>B9*Print_Summary!$I$2</f>
        <v>249375</v>
      </c>
      <c r="E9" s="667" t="s">
        <v>13</v>
      </c>
      <c r="F9" s="1828">
        <f>F6*F7</f>
        <v>448.875</v>
      </c>
      <c r="G9" s="4"/>
      <c r="H9" s="4"/>
      <c r="I9" s="4"/>
    </row>
    <row r="10" spans="1:9" ht="13.9" x14ac:dyDescent="0.4">
      <c r="A10" s="1825" t="str">
        <f>IF(A2_Budget_Look_Up!B7=1,"Cottonseed Value"," ")</f>
        <v xml:space="preserve"> </v>
      </c>
      <c r="B10" s="173" t="str">
        <f>IF(A2_Budget_Look_Up!B7=1,Budget!F4," ")</f>
        <v xml:space="preserve"> </v>
      </c>
      <c r="C10" s="173"/>
      <c r="D10" s="1827" t="str">
        <f>IF(A2_Budget_Look_Up!B7=1,B10*Print_Summary!$I$2," ")</f>
        <v xml:space="preserve"> </v>
      </c>
      <c r="E10" s="308"/>
      <c r="F10" s="1830"/>
      <c r="G10" s="4"/>
      <c r="H10" s="4"/>
      <c r="I10" s="4"/>
    </row>
    <row r="11" spans="1:9" ht="13.9" x14ac:dyDescent="0.4">
      <c r="A11" s="1825"/>
      <c r="B11" s="173"/>
      <c r="C11" s="173"/>
      <c r="D11" s="1827"/>
      <c r="E11" s="308"/>
      <c r="F11" s="1830"/>
      <c r="G11" s="4"/>
      <c r="H11" s="4"/>
      <c r="I11" s="4"/>
    </row>
    <row r="12" spans="1:9" ht="13.9" x14ac:dyDescent="0.4">
      <c r="A12" s="1831" t="s">
        <v>516</v>
      </c>
      <c r="B12" s="1881" t="s">
        <v>119</v>
      </c>
      <c r="C12" s="1881" t="str">
        <f>IF(A2_Budget_Look_Up!B7=1,"$/lb",'C1_Messages_Indicators'!G26)</f>
        <v>$/bu.</v>
      </c>
      <c r="D12" s="1882" t="s">
        <v>1038</v>
      </c>
      <c r="E12" s="1832" t="s">
        <v>1010</v>
      </c>
      <c r="F12" s="1833"/>
      <c r="G12" s="4"/>
      <c r="H12" s="4"/>
      <c r="I12" s="4"/>
    </row>
    <row r="13" spans="1:9" ht="15" customHeight="1" x14ac:dyDescent="0.4">
      <c r="A13" s="1834" t="s">
        <v>223</v>
      </c>
      <c r="B13" s="1835">
        <f>Budget!F6</f>
        <v>27.04</v>
      </c>
      <c r="C13" s="1835">
        <f>B13/$B$6</f>
        <v>0.25752380952380949</v>
      </c>
      <c r="D13" s="1821">
        <f>B13*Print_Summary!$I$2</f>
        <v>13520</v>
      </c>
      <c r="E13" s="4"/>
      <c r="F13" s="1824">
        <f>B13/$F$9</f>
        <v>6.0239487607908655E-2</v>
      </c>
      <c r="G13" s="3"/>
      <c r="H13" s="3"/>
      <c r="I13" s="3"/>
    </row>
    <row r="14" spans="1:9" ht="13.9" x14ac:dyDescent="0.4">
      <c r="A14" s="1834" t="s">
        <v>224</v>
      </c>
      <c r="B14" s="1835">
        <f>SUM(Budget!F7:F13)</f>
        <v>199.79166666666666</v>
      </c>
      <c r="C14" s="1835">
        <f t="shared" ref="C14:C34" si="0">B14/$B$6</f>
        <v>1.9027777777777777</v>
      </c>
      <c r="D14" s="1821">
        <f>B14*Print_Summary!$I$2</f>
        <v>99895.833333333328</v>
      </c>
      <c r="E14" s="4"/>
      <c r="F14" s="1824">
        <f t="shared" ref="F14:F19" si="1">B14/$F$9</f>
        <v>0.44509421702404156</v>
      </c>
      <c r="G14" s="3"/>
      <c r="H14" s="3"/>
      <c r="I14" s="3"/>
    </row>
    <row r="15" spans="1:9" ht="13.9" x14ac:dyDescent="0.4">
      <c r="A15" s="1834" t="s">
        <v>494</v>
      </c>
      <c r="B15" s="1835">
        <f>SUM(Budget!F14:'Budget'!F18)</f>
        <v>62.027450000000009</v>
      </c>
      <c r="C15" s="1835">
        <f t="shared" si="0"/>
        <v>0.59073761904761912</v>
      </c>
      <c r="D15" s="1821">
        <f>B15*Print_Summary!$I$2</f>
        <v>31013.725000000006</v>
      </c>
      <c r="E15" s="4"/>
      <c r="F15" s="1824">
        <f t="shared" si="1"/>
        <v>0.13818423837371208</v>
      </c>
      <c r="G15" s="3"/>
      <c r="H15" s="3"/>
      <c r="I15" s="3"/>
    </row>
    <row r="16" spans="1:9" ht="13.9" x14ac:dyDescent="0.4">
      <c r="A16" s="1834" t="s">
        <v>225</v>
      </c>
      <c r="B16" s="1835">
        <f>SUM(Budget!F20:F23)</f>
        <v>76.5</v>
      </c>
      <c r="C16" s="1835">
        <f t="shared" si="0"/>
        <v>0.72857142857142854</v>
      </c>
      <c r="D16" s="1821">
        <f>B16*Print_Summary!$I$2</f>
        <v>38250</v>
      </c>
      <c r="E16" s="4"/>
      <c r="F16" s="1824">
        <f t="shared" si="1"/>
        <v>0.17042606516290726</v>
      </c>
      <c r="G16" s="3"/>
      <c r="H16" s="3"/>
      <c r="I16" s="3"/>
    </row>
    <row r="17" spans="1:6" ht="13.9" x14ac:dyDescent="0.4">
      <c r="A17" s="1834" t="s">
        <v>779</v>
      </c>
      <c r="B17" s="1835">
        <f>Budget!F25+Budget!F27</f>
        <v>13.379969447676972</v>
      </c>
      <c r="C17" s="1835">
        <f t="shared" si="0"/>
        <v>0.1274282804540664</v>
      </c>
      <c r="D17" s="1821">
        <f>B17*Print_Summary!$I$2</f>
        <v>6689.9847238384864</v>
      </c>
      <c r="E17" s="4"/>
      <c r="F17" s="1824">
        <f t="shared" si="1"/>
        <v>2.9807784901535999E-2</v>
      </c>
    </row>
    <row r="18" spans="1:6" ht="13.9" x14ac:dyDescent="0.4">
      <c r="A18" s="1834" t="s">
        <v>227</v>
      </c>
      <c r="B18" s="1835">
        <f>Budget!F29</f>
        <v>29.055824511278196</v>
      </c>
      <c r="C18" s="1835">
        <f t="shared" si="0"/>
        <v>0.27672213820264946</v>
      </c>
      <c r="D18" s="1821">
        <f>B18*Print_Summary!$I$2</f>
        <v>14527.912255639098</v>
      </c>
      <c r="E18" s="4"/>
      <c r="F18" s="1824">
        <f t="shared" si="1"/>
        <v>6.4730324725765967E-2</v>
      </c>
    </row>
    <row r="19" spans="1:6" ht="13.9" x14ac:dyDescent="0.4">
      <c r="A19" s="1834" t="s">
        <v>421</v>
      </c>
      <c r="B19" s="1835">
        <f>Budget!F31+Budget!F32</f>
        <v>16.25</v>
      </c>
      <c r="C19" s="1835">
        <f t="shared" si="0"/>
        <v>0.15476190476190477</v>
      </c>
      <c r="D19" s="1821">
        <f>B19*Print_Summary!$I$2</f>
        <v>8125</v>
      </c>
      <c r="E19" s="4"/>
      <c r="F19" s="1824">
        <f t="shared" si="1"/>
        <v>3.6201615148983568E-2</v>
      </c>
    </row>
    <row r="20" spans="1:6" ht="13.5" x14ac:dyDescent="0.35">
      <c r="A20" s="1825" t="s">
        <v>777</v>
      </c>
      <c r="B20" s="1836">
        <f>SUM(Budget!F6:F18)+SUM(Budget!F20:F23)+Budget!F25+Budget!F27+Budget!F29+Budget!F31+Budget!F32</f>
        <v>424.04491062562187</v>
      </c>
      <c r="C20" s="1836">
        <f t="shared" si="0"/>
        <v>4.0385229583392555</v>
      </c>
      <c r="D20" s="1827">
        <f>B20*Print_Summary!$I$2</f>
        <v>212022.45531281093</v>
      </c>
      <c r="E20" s="308"/>
      <c r="F20" s="1837">
        <f t="shared" ref="F20:F28" si="2">B20/$F$9</f>
        <v>0.94468373294485519</v>
      </c>
    </row>
    <row r="21" spans="1:6" ht="13.9" x14ac:dyDescent="0.4">
      <c r="A21" s="1834" t="s">
        <v>778</v>
      </c>
      <c r="B21" s="1835">
        <f>Budget!F34+Budget!F35</f>
        <v>6</v>
      </c>
      <c r="C21" s="1835">
        <f t="shared" si="0"/>
        <v>5.7142857142857141E-2</v>
      </c>
      <c r="D21" s="1821">
        <f>B21*Print_Summary!$I$2</f>
        <v>3000</v>
      </c>
      <c r="E21" s="4"/>
      <c r="F21" s="1824">
        <f t="shared" si="2"/>
        <v>1.3366750208855471E-2</v>
      </c>
    </row>
    <row r="22" spans="1:6" ht="13.9" x14ac:dyDescent="0.4">
      <c r="A22" s="1834" t="s">
        <v>1</v>
      </c>
      <c r="B22" s="1835">
        <f>Budget!F36</f>
        <v>31</v>
      </c>
      <c r="C22" s="1835">
        <f t="shared" si="0"/>
        <v>0.29523809523809524</v>
      </c>
      <c r="D22" s="1821">
        <f>B22*Print_Summary!$I$2</f>
        <v>15500</v>
      </c>
      <c r="E22" s="4"/>
      <c r="F22" s="1824">
        <f t="shared" si="2"/>
        <v>6.9061542745753268E-2</v>
      </c>
    </row>
    <row r="23" spans="1:6" ht="13.9" x14ac:dyDescent="0.4">
      <c r="A23" s="1834" t="s">
        <v>749</v>
      </c>
      <c r="B23" s="1835">
        <f>Budget!F26+Budget!F28+Budget!F30</f>
        <v>22.281558492000876</v>
      </c>
      <c r="C23" s="1835">
        <f t="shared" si="0"/>
        <v>0.21220531897143691</v>
      </c>
      <c r="D23" s="1821">
        <f>B23*Print_Summary!$I$2</f>
        <v>11140.779246000438</v>
      </c>
      <c r="E23" s="4"/>
      <c r="F23" s="1824">
        <f t="shared" si="2"/>
        <v>4.9638671104429689E-2</v>
      </c>
    </row>
    <row r="24" spans="1:6" ht="13.9" x14ac:dyDescent="0.4">
      <c r="A24" s="1834" t="s">
        <v>214</v>
      </c>
      <c r="B24" s="1835">
        <f>Budget!F33</f>
        <v>17.645265008590073</v>
      </c>
      <c r="C24" s="1835">
        <f t="shared" si="0"/>
        <v>0.16805014293895307</v>
      </c>
      <c r="D24" s="1821">
        <f>B24*Print_Summary!$I$2</f>
        <v>8822.6325042950357</v>
      </c>
      <c r="E24" s="4"/>
      <c r="F24" s="1824">
        <f t="shared" si="2"/>
        <v>3.9309974956480254E-2</v>
      </c>
    </row>
    <row r="25" spans="1:6" ht="13.5" x14ac:dyDescent="0.35">
      <c r="A25" s="1825" t="s">
        <v>640</v>
      </c>
      <c r="B25" s="1836">
        <f>SUM(Budget!F6:F18)+SUM(Budget!F20:F23)+SUM(Budget!F25:F36)</f>
        <v>500.97173412621282</v>
      </c>
      <c r="C25" s="1836">
        <f t="shared" si="0"/>
        <v>4.7711593726305983</v>
      </c>
      <c r="D25" s="1827">
        <f>B25*Print_Summary!$I$2</f>
        <v>250485.86706310642</v>
      </c>
      <c r="E25" s="308"/>
      <c r="F25" s="1837">
        <f t="shared" si="2"/>
        <v>1.1160606719603738</v>
      </c>
    </row>
    <row r="26" spans="1:6" ht="13.9" x14ac:dyDescent="0.4">
      <c r="A26" s="1834" t="s">
        <v>28</v>
      </c>
      <c r="B26" s="1835">
        <f>Budget!F37</f>
        <v>20.665084032706279</v>
      </c>
      <c r="C26" s="1835">
        <f t="shared" si="0"/>
        <v>0.19681032412101218</v>
      </c>
      <c r="D26" s="1821">
        <f>B26*Print_Summary!$I$2</f>
        <v>10332.54201635314</v>
      </c>
      <c r="E26" s="4"/>
      <c r="F26" s="1824">
        <f t="shared" si="2"/>
        <v>4.6037502718365424E-2</v>
      </c>
    </row>
    <row r="27" spans="1:6" ht="13.9" x14ac:dyDescent="0.4">
      <c r="A27" s="1834" t="s">
        <v>228</v>
      </c>
      <c r="B27" s="1835">
        <f>SUM(Budget!F39:F43)</f>
        <v>27.3</v>
      </c>
      <c r="C27" s="1835">
        <f t="shared" si="0"/>
        <v>0.26</v>
      </c>
      <c r="D27" s="1821">
        <f>B27*Print_Summary!$I$2</f>
        <v>13650</v>
      </c>
      <c r="E27" s="4"/>
      <c r="F27" s="1824">
        <f t="shared" si="2"/>
        <v>6.0818713450292397E-2</v>
      </c>
    </row>
    <row r="28" spans="1:6" ht="13.9" x14ac:dyDescent="0.4">
      <c r="A28" s="1834" t="s">
        <v>435</v>
      </c>
      <c r="B28" s="1835">
        <f>Budget!F38</f>
        <v>0</v>
      </c>
      <c r="C28" s="1835">
        <f t="shared" si="0"/>
        <v>0</v>
      </c>
      <c r="D28" s="1821">
        <f>B28*Print_Summary!$I$2</f>
        <v>0</v>
      </c>
      <c r="E28" s="4"/>
      <c r="F28" s="1824">
        <f t="shared" si="2"/>
        <v>0</v>
      </c>
    </row>
    <row r="29" spans="1:6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548.9368181589191</v>
      </c>
      <c r="C29" s="1836">
        <f t="shared" si="0"/>
        <v>5.2279696967516101</v>
      </c>
      <c r="D29" s="1827">
        <f>B29*Print_Summary!$I$2</f>
        <v>274468.40907945955</v>
      </c>
      <c r="E29" s="308"/>
      <c r="F29" s="1824"/>
    </row>
    <row r="30" spans="1:6" ht="13.5" x14ac:dyDescent="0.35">
      <c r="A30" s="1825" t="s">
        <v>233</v>
      </c>
      <c r="B30" s="1826">
        <f>B9-B29-B31</f>
        <v>-50.186818158919095</v>
      </c>
      <c r="C30" s="1826">
        <f t="shared" si="0"/>
        <v>-0.47796969675161044</v>
      </c>
      <c r="D30" s="1827">
        <f>B30*Print_Summary!$I$2</f>
        <v>-25093.409079459547</v>
      </c>
      <c r="E30" s="308"/>
      <c r="F30" s="1830"/>
    </row>
    <row r="31" spans="1:6" ht="13.9" x14ac:dyDescent="0.4">
      <c r="A31" s="1834" t="s">
        <v>759</v>
      </c>
      <c r="B31" s="1835">
        <f>Budget!F44</f>
        <v>0</v>
      </c>
      <c r="C31" s="1835">
        <f t="shared" si="0"/>
        <v>0</v>
      </c>
      <c r="D31" s="1821">
        <f>B31*Print_Summary!$I$2</f>
        <v>0</v>
      </c>
      <c r="E31" s="4"/>
      <c r="F31" s="1824">
        <f>B31/$F$9</f>
        <v>0</v>
      </c>
    </row>
    <row r="32" spans="1:6" ht="13.9" x14ac:dyDescent="0.4">
      <c r="A32" s="1834" t="s">
        <v>230</v>
      </c>
      <c r="B32" s="1835">
        <f>Budget!F51</f>
        <v>141.29136262745436</v>
      </c>
      <c r="C32" s="1835">
        <f t="shared" si="0"/>
        <v>1.3456320250233749</v>
      </c>
      <c r="D32" s="1821">
        <f>B32*Print_Summary!$I$2</f>
        <v>70645.681313727182</v>
      </c>
      <c r="E32" s="4"/>
      <c r="F32" s="1824">
        <f>B32/$F$9</f>
        <v>0.31476772515166662</v>
      </c>
    </row>
    <row r="33" spans="1:6" ht="13.5" x14ac:dyDescent="0.35">
      <c r="A33" s="1825" t="s">
        <v>650</v>
      </c>
      <c r="B33" s="1836">
        <f>B29+B32</f>
        <v>690.22818078637351</v>
      </c>
      <c r="C33" s="1836">
        <f t="shared" si="0"/>
        <v>6.5736017217749856</v>
      </c>
      <c r="D33" s="1827">
        <f>B33*Print_Summary!$I$2</f>
        <v>345114.09039318678</v>
      </c>
      <c r="E33" s="308"/>
      <c r="F33" s="1838"/>
    </row>
    <row r="34" spans="1:6" ht="13.5" x14ac:dyDescent="0.35">
      <c r="A34" s="1825" t="str">
        <f>IF(OR(Budget!B3&lt;1,Budget!E44&gt;0),"Returns to Specified Expenses","Returns to Specified Expenses")</f>
        <v>Returns to Specified Expenses</v>
      </c>
      <c r="B34" s="1826">
        <f>B9-B33-B31</f>
        <v>-191.47818078637351</v>
      </c>
      <c r="C34" s="1826">
        <f t="shared" si="0"/>
        <v>-1.8236017217749858</v>
      </c>
      <c r="D34" s="1827">
        <f>B34*Print_Summary!$I$2</f>
        <v>-95739.090393186751</v>
      </c>
      <c r="E34" s="308"/>
      <c r="F34" s="1830"/>
    </row>
    <row r="35" spans="1:6" ht="13.5" x14ac:dyDescent="0.35">
      <c r="A35" s="1825"/>
      <c r="B35" s="173"/>
      <c r="C35" s="173"/>
      <c r="D35" s="1830"/>
      <c r="E35" s="308"/>
      <c r="F35" s="1830"/>
    </row>
    <row r="36" spans="1:6" ht="13.9" x14ac:dyDescent="0.4">
      <c r="A36" s="1819" t="str">
        <f>IF(A2_Budget_Look_Up!B7=1,"Operating Expenses/lb.",'C1_Messages_Indicators'!F26)</f>
        <v>Operating Expenses/bu.</v>
      </c>
      <c r="B36" s="1097">
        <f>B29/B6</f>
        <v>5.2279696967516101</v>
      </c>
      <c r="C36" s="1097"/>
      <c r="D36" s="1823">
        <f>D29/D6</f>
        <v>5.2279696967516109</v>
      </c>
      <c r="E36" s="1097"/>
      <c r="F36" s="1823"/>
    </row>
    <row r="37" spans="1:6" ht="13.9" x14ac:dyDescent="0.4">
      <c r="A37" s="1834" t="str">
        <f>IF(A2_Budget_Look_Up!B7=1,"Total Specified Expenses/lb.",'C1_Messages_Indicators'!H26)</f>
        <v>Total Specified Expenses/bu.</v>
      </c>
      <c r="B37" s="1097">
        <f>B33/B6</f>
        <v>6.5736017217749856</v>
      </c>
      <c r="C37" s="1097"/>
      <c r="D37" s="1823">
        <f>D33/D6</f>
        <v>6.5736017217749865</v>
      </c>
      <c r="E37" s="4"/>
      <c r="F37" s="1823"/>
    </row>
    <row r="38" spans="1:6" ht="13.9" x14ac:dyDescent="0.4">
      <c r="A38" s="1834"/>
      <c r="B38" s="1097"/>
      <c r="C38" s="1097"/>
      <c r="D38" s="1823"/>
      <c r="E38" s="4"/>
      <c r="F38" s="1823"/>
    </row>
    <row r="39" spans="1:6" ht="13.9" x14ac:dyDescent="0.4">
      <c r="A39" s="1834" t="s">
        <v>794</v>
      </c>
      <c r="B39" s="1097">
        <f>MAX((1-B8)*B6*B7,B31)</f>
        <v>0</v>
      </c>
      <c r="C39" s="1097"/>
      <c r="D39" s="1821">
        <f>B39*Print_Summary!$I$2</f>
        <v>0</v>
      </c>
      <c r="E39" s="4"/>
      <c r="F39" s="1823"/>
    </row>
    <row r="40" spans="1:6" ht="13.9" x14ac:dyDescent="0.4">
      <c r="A40" s="1809" t="s">
        <v>793</v>
      </c>
      <c r="B40" s="1839">
        <f>MAX((1-B8)*B6*B7,B31)/B6</f>
        <v>0</v>
      </c>
      <c r="C40" s="1839"/>
      <c r="D40" s="1840">
        <f>MAX((1-D8)*D6*D7,D31)/D6</f>
        <v>0</v>
      </c>
      <c r="E40" s="1243"/>
      <c r="F40" s="1840"/>
    </row>
  </sheetData>
  <sheetProtection selectLockedCells="1"/>
  <mergeCells count="2">
    <mergeCell ref="G7:H7"/>
    <mergeCell ref="G5:I5"/>
  </mergeCells>
  <hyperlinks>
    <hyperlink ref="G7" location="Print_Budget!F1" display="Goto Print_Budget" xr:uid="{00000000-0004-0000-1200-000000000000}"/>
    <hyperlink ref="G8" location="Print_Land_Capitalization!A1" display="Goto Print_Land_Capitalization" xr:uid="{00000000-0004-0000-1200-000001000000}"/>
    <hyperlink ref="G5" location="Budget!F1" display="Goto Budget Worksheet" xr:uid="{00000000-0004-0000-1200-000002000000}"/>
    <hyperlink ref="G5:H5" location="Budget!F1" display="Return to Budget Worksheet" xr:uid="{00000000-0004-0000-1200-000003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C5" sqref="C5"/>
    </sheetView>
  </sheetViews>
  <sheetFormatPr defaultRowHeight="12.75" x14ac:dyDescent="0.35"/>
  <cols>
    <col min="3" max="3" width="7.3984375" customWidth="1"/>
    <col min="4" max="4" width="83.86328125" bestFit="1" customWidth="1"/>
    <col min="5" max="5" width="20.3984375" customWidth="1"/>
    <col min="6" max="6" width="7" customWidth="1"/>
    <col min="7" max="7" width="83.86328125" bestFit="1" customWidth="1"/>
    <col min="8" max="8" width="35.3984375" customWidth="1"/>
    <col min="9" max="10" width="20.3984375" bestFit="1" customWidth="1"/>
    <col min="11" max="11" width="69.3984375" bestFit="1" customWidth="1"/>
    <col min="12" max="12" width="63.3984375" bestFit="1" customWidth="1"/>
  </cols>
  <sheetData>
    <row r="1" spans="1:12" ht="13.9" x14ac:dyDescent="0.4">
      <c r="A1" s="499" t="s">
        <v>199</v>
      </c>
      <c r="B1" s="500"/>
      <c r="C1" s="1240" t="s">
        <v>673</v>
      </c>
      <c r="D1" s="530" t="s">
        <v>665</v>
      </c>
      <c r="E1" s="1243"/>
      <c r="F1" s="1240" t="s">
        <v>679</v>
      </c>
      <c r="G1" s="940" t="s">
        <v>665</v>
      </c>
      <c r="H1" s="530" t="s">
        <v>667</v>
      </c>
      <c r="I1" s="1243" t="s">
        <v>671</v>
      </c>
      <c r="J1" s="1243" t="s">
        <v>672</v>
      </c>
      <c r="K1" s="530" t="s">
        <v>681</v>
      </c>
      <c r="L1" s="530" t="s">
        <v>680</v>
      </c>
    </row>
    <row r="2" spans="1:12" ht="13.9" x14ac:dyDescent="0.4">
      <c r="A2" s="501" t="s">
        <v>307</v>
      </c>
      <c r="B2" s="502"/>
      <c r="C2" s="1240" t="s">
        <v>674</v>
      </c>
      <c r="D2" s="4"/>
      <c r="E2" s="4"/>
      <c r="F2" s="1240" t="s">
        <v>670</v>
      </c>
      <c r="G2" s="3"/>
      <c r="H2" s="4"/>
      <c r="I2" s="4"/>
      <c r="J2" s="4"/>
      <c r="K2" s="4"/>
      <c r="L2" s="4"/>
    </row>
    <row r="3" spans="1:12" ht="15" x14ac:dyDescent="0.4">
      <c r="A3" s="501" t="s">
        <v>306</v>
      </c>
      <c r="B3" s="502"/>
      <c r="C3" s="1240" t="s">
        <v>675</v>
      </c>
      <c r="D3" s="1069" t="str">
        <f>LOOKUP(C4,F3:F52,G3:G52)</f>
        <v>Table 7. 2026 Grain Sorghum Enterprise Budget, Furrow Irrigation</v>
      </c>
      <c r="E3" s="4"/>
      <c r="F3" s="436">
        <v>1</v>
      </c>
      <c r="G3" s="1343" t="s">
        <v>1181</v>
      </c>
      <c r="H3" s="668" t="s">
        <v>656</v>
      </c>
      <c r="I3" s="1244" t="s">
        <v>1174</v>
      </c>
      <c r="J3" s="1244" t="s">
        <v>1174</v>
      </c>
      <c r="K3" s="4" t="s">
        <v>731</v>
      </c>
      <c r="L3" s="4" t="s">
        <v>734</v>
      </c>
    </row>
    <row r="4" spans="1:12" ht="15" x14ac:dyDescent="0.4">
      <c r="A4" s="501" t="s">
        <v>437</v>
      </c>
      <c r="B4" s="502"/>
      <c r="C4" s="668">
        <v>11</v>
      </c>
      <c r="D4" s="4"/>
      <c r="E4" s="4"/>
      <c r="F4" s="436">
        <f>F3+1</f>
        <v>2</v>
      </c>
      <c r="G4" s="1343" t="s">
        <v>1182</v>
      </c>
      <c r="H4" s="668" t="s">
        <v>657</v>
      </c>
      <c r="I4" s="1244" t="s">
        <v>1174</v>
      </c>
      <c r="J4" s="1244" t="s">
        <v>1174</v>
      </c>
      <c r="K4" s="4" t="s">
        <v>732</v>
      </c>
      <c r="L4" s="4" t="s">
        <v>735</v>
      </c>
    </row>
    <row r="5" spans="1:12" ht="15" x14ac:dyDescent="0.4">
      <c r="A5" s="501" t="s">
        <v>200</v>
      </c>
      <c r="B5" s="503"/>
      <c r="C5" s="1902" t="s">
        <v>1015</v>
      </c>
      <c r="D5" s="1903"/>
      <c r="E5" s="4"/>
      <c r="F5" s="436">
        <f t="shared" ref="F5:F52" si="0">F4+1</f>
        <v>3</v>
      </c>
      <c r="G5" s="1343" t="s">
        <v>1183</v>
      </c>
      <c r="H5" s="668" t="s">
        <v>666</v>
      </c>
      <c r="I5" s="1244" t="s">
        <v>1174</v>
      </c>
      <c r="J5" s="1244" t="s">
        <v>1174</v>
      </c>
      <c r="K5" s="4" t="s">
        <v>733</v>
      </c>
      <c r="L5" s="4" t="s">
        <v>736</v>
      </c>
    </row>
    <row r="6" spans="1:12" ht="14.25" thickBot="1" x14ac:dyDescent="0.45">
      <c r="A6" s="504" t="s">
        <v>438</v>
      </c>
      <c r="B6" s="610"/>
      <c r="C6" s="4"/>
      <c r="D6" s="530" t="s">
        <v>667</v>
      </c>
      <c r="E6" s="1243"/>
      <c r="F6" s="436">
        <f t="shared" si="0"/>
        <v>4</v>
      </c>
      <c r="G6" s="1345" t="s">
        <v>1184</v>
      </c>
      <c r="H6" s="668" t="s">
        <v>1140</v>
      </c>
      <c r="I6" s="1244" t="s">
        <v>1174</v>
      </c>
      <c r="J6" s="1244" t="s">
        <v>1174</v>
      </c>
      <c r="K6" s="4" t="s">
        <v>1143</v>
      </c>
      <c r="L6" s="4" t="s">
        <v>1146</v>
      </c>
    </row>
    <row r="7" spans="1:12" ht="13.9" x14ac:dyDescent="0.4">
      <c r="A7" s="550" t="s">
        <v>177</v>
      </c>
      <c r="B7" s="551">
        <v>0</v>
      </c>
      <c r="C7" s="4"/>
      <c r="D7" s="183" t="str">
        <f>LOOKUP(C4,F3:F52,H3:H52)</f>
        <v>Grain Sorghum, Furrow</v>
      </c>
      <c r="E7" s="4"/>
      <c r="F7" s="436">
        <f t="shared" si="0"/>
        <v>5</v>
      </c>
      <c r="G7" s="1345" t="s">
        <v>1185</v>
      </c>
      <c r="H7" s="668" t="s">
        <v>1141</v>
      </c>
      <c r="I7" s="1244" t="s">
        <v>1174</v>
      </c>
      <c r="J7" s="1244" t="s">
        <v>1174</v>
      </c>
      <c r="K7" s="4" t="s">
        <v>1144</v>
      </c>
      <c r="L7" s="4" t="s">
        <v>1147</v>
      </c>
    </row>
    <row r="8" spans="1:12" ht="13.9" x14ac:dyDescent="0.4">
      <c r="A8" s="505" t="s">
        <v>178</v>
      </c>
      <c r="B8" s="401">
        <v>0</v>
      </c>
      <c r="C8" s="4"/>
      <c r="D8" s="91"/>
      <c r="E8" s="4"/>
      <c r="F8" s="436">
        <f t="shared" si="0"/>
        <v>6</v>
      </c>
      <c r="G8" s="1345" t="s">
        <v>1186</v>
      </c>
      <c r="H8" s="668" t="s">
        <v>1142</v>
      </c>
      <c r="I8" s="1244" t="s">
        <v>1174</v>
      </c>
      <c r="J8" s="1244" t="s">
        <v>1174</v>
      </c>
      <c r="K8" s="4" t="s">
        <v>1145</v>
      </c>
      <c r="L8" s="4" t="s">
        <v>1148</v>
      </c>
    </row>
    <row r="9" spans="1:12" ht="13.9" x14ac:dyDescent="0.4">
      <c r="A9" s="505" t="s">
        <v>179</v>
      </c>
      <c r="B9" s="401">
        <v>0</v>
      </c>
      <c r="C9" s="4"/>
      <c r="D9" s="481" t="s">
        <v>676</v>
      </c>
      <c r="E9" s="183" t="s">
        <v>677</v>
      </c>
      <c r="F9" s="436">
        <f t="shared" si="0"/>
        <v>7</v>
      </c>
      <c r="G9" s="1345" t="s">
        <v>1223</v>
      </c>
      <c r="H9" s="668" t="s">
        <v>1227</v>
      </c>
      <c r="I9" s="1244" t="s">
        <v>1174</v>
      </c>
      <c r="J9" s="1244" t="s">
        <v>1174</v>
      </c>
      <c r="K9" s="4" t="s">
        <v>1230</v>
      </c>
      <c r="L9" s="4" t="s">
        <v>1149</v>
      </c>
    </row>
    <row r="10" spans="1:12" ht="13.9" x14ac:dyDescent="0.4">
      <c r="A10" s="505" t="s">
        <v>180</v>
      </c>
      <c r="B10" s="401">
        <v>0</v>
      </c>
      <c r="C10" s="4"/>
      <c r="D10" s="1242" t="s">
        <v>671</v>
      </c>
      <c r="E10" s="1243" t="s">
        <v>672</v>
      </c>
      <c r="F10" s="436">
        <f t="shared" si="0"/>
        <v>8</v>
      </c>
      <c r="G10" s="1345" t="s">
        <v>1235</v>
      </c>
      <c r="H10" s="668" t="s">
        <v>1228</v>
      </c>
      <c r="I10" s="1244" t="s">
        <v>1174</v>
      </c>
      <c r="J10" s="1244" t="s">
        <v>1174</v>
      </c>
      <c r="K10" s="4" t="s">
        <v>1231</v>
      </c>
      <c r="L10" s="4" t="s">
        <v>1150</v>
      </c>
    </row>
    <row r="11" spans="1:12" ht="13.9" x14ac:dyDescent="0.4">
      <c r="A11" s="505" t="s">
        <v>181</v>
      </c>
      <c r="B11" s="401">
        <v>0</v>
      </c>
      <c r="C11" s="4"/>
      <c r="D11" s="481" t="str">
        <f>LOOKUP(C4,F3:F52,I3:I52)</f>
        <v>Lbs</v>
      </c>
      <c r="E11" s="183" t="str">
        <f>LOOKUP(C4,F3:F52,J3:J52)</f>
        <v>Lbs</v>
      </c>
      <c r="F11" s="436">
        <f t="shared" si="0"/>
        <v>9</v>
      </c>
      <c r="G11" s="1345" t="s">
        <v>1224</v>
      </c>
      <c r="H11" s="668" t="s">
        <v>1229</v>
      </c>
      <c r="I11" s="1244" t="s">
        <v>1174</v>
      </c>
      <c r="J11" s="1244" t="s">
        <v>1174</v>
      </c>
      <c r="K11" s="4" t="s">
        <v>1232</v>
      </c>
      <c r="L11" s="4" t="s">
        <v>1151</v>
      </c>
    </row>
    <row r="12" spans="1:12" ht="13.9" x14ac:dyDescent="0.4">
      <c r="A12" s="506" t="s">
        <v>182</v>
      </c>
      <c r="B12" s="402">
        <v>1</v>
      </c>
      <c r="C12" s="4"/>
      <c r="D12" s="4"/>
      <c r="E12" s="4"/>
      <c r="F12" s="436">
        <f t="shared" si="0"/>
        <v>10</v>
      </c>
      <c r="G12" s="1345" t="s">
        <v>1226</v>
      </c>
      <c r="H12" s="668" t="s">
        <v>1225</v>
      </c>
      <c r="I12" s="1244" t="s">
        <v>1174</v>
      </c>
      <c r="J12" s="1244" t="s">
        <v>1174</v>
      </c>
      <c r="K12" s="4" t="s">
        <v>1233</v>
      </c>
      <c r="L12" s="4" t="s">
        <v>1137</v>
      </c>
    </row>
    <row r="13" spans="1:12" ht="13.9" x14ac:dyDescent="0.4">
      <c r="A13" s="505" t="s">
        <v>308</v>
      </c>
      <c r="B13" s="401">
        <v>0</v>
      </c>
      <c r="C13" s="4"/>
      <c r="D13" s="1241" t="str">
        <f>LOOKUP(C4,F3:F52,K3:K52)</f>
        <v>Table 7. Details of Chemicals Applied, Grain Sorghum, Furrow</v>
      </c>
      <c r="E13" s="1243"/>
      <c r="F13" s="436">
        <f t="shared" si="0"/>
        <v>11</v>
      </c>
      <c r="G13" s="1347" t="s">
        <v>1187</v>
      </c>
      <c r="H13" s="668" t="s">
        <v>715</v>
      </c>
      <c r="I13" s="1244" t="s">
        <v>5</v>
      </c>
      <c r="J13" s="1244" t="s">
        <v>5</v>
      </c>
      <c r="K13" s="4" t="s">
        <v>925</v>
      </c>
      <c r="L13" s="4" t="s">
        <v>941</v>
      </c>
    </row>
    <row r="14" spans="1:12" ht="14.25" thickBot="1" x14ac:dyDescent="0.45">
      <c r="A14" s="548" t="s">
        <v>19</v>
      </c>
      <c r="B14" s="549">
        <v>0</v>
      </c>
      <c r="C14" s="4"/>
      <c r="D14" s="4"/>
      <c r="E14" s="4"/>
      <c r="F14" s="436">
        <f t="shared" si="0"/>
        <v>12</v>
      </c>
      <c r="G14" s="1347" t="s">
        <v>1188</v>
      </c>
      <c r="H14" s="668" t="s">
        <v>716</v>
      </c>
      <c r="I14" s="1244" t="s">
        <v>5</v>
      </c>
      <c r="J14" s="1244" t="s">
        <v>5</v>
      </c>
      <c r="K14" s="4" t="s">
        <v>926</v>
      </c>
      <c r="L14" s="4" t="s">
        <v>942</v>
      </c>
    </row>
    <row r="15" spans="1:12" ht="13.9" x14ac:dyDescent="0.4">
      <c r="A15" s="3"/>
      <c r="B15" s="1906" t="str">
        <f>'C1_Messages_Indicators'!B6</f>
        <v xml:space="preserve"> </v>
      </c>
      <c r="C15" s="4"/>
      <c r="D15" s="1241" t="str">
        <f>LOOKUP(C4,F3:F52,L3:L52)</f>
        <v>Table 7. Machinery Capital Recovery and Operating Costs, Grain Sorghum, Furrow</v>
      </c>
      <c r="E15" s="1243"/>
      <c r="F15" s="436">
        <f t="shared" si="0"/>
        <v>13</v>
      </c>
      <c r="G15" s="1347" t="s">
        <v>1189</v>
      </c>
      <c r="H15" s="668" t="s">
        <v>717</v>
      </c>
      <c r="I15" s="1244" t="s">
        <v>5</v>
      </c>
      <c r="J15" s="1244" t="s">
        <v>5</v>
      </c>
      <c r="K15" s="4" t="s">
        <v>927</v>
      </c>
      <c r="L15" s="4" t="s">
        <v>943</v>
      </c>
    </row>
    <row r="16" spans="1:12" ht="13.9" x14ac:dyDescent="0.4">
      <c r="A16" s="3"/>
      <c r="B16" s="1906" t="str">
        <f>'C1_Messages_Indicators'!B7</f>
        <v xml:space="preserve"> </v>
      </c>
      <c r="C16" s="4"/>
      <c r="D16" s="4"/>
      <c r="E16" s="4"/>
      <c r="F16" s="436">
        <f t="shared" si="0"/>
        <v>14</v>
      </c>
      <c r="G16" s="1344" t="s">
        <v>1190</v>
      </c>
      <c r="H16" s="668" t="s">
        <v>718</v>
      </c>
      <c r="I16" s="1244" t="s">
        <v>5</v>
      </c>
      <c r="J16" s="1244" t="s">
        <v>5</v>
      </c>
      <c r="K16" s="4" t="s">
        <v>928</v>
      </c>
      <c r="L16" s="4" t="s">
        <v>944</v>
      </c>
    </row>
    <row r="17" spans="1:12" ht="13.9" x14ac:dyDescent="0.4">
      <c r="A17" s="3"/>
      <c r="B17" s="1906" t="str">
        <f>'C1_Messages_Indicators'!B8</f>
        <v xml:space="preserve"> </v>
      </c>
      <c r="C17" s="4"/>
      <c r="E17" s="4"/>
      <c r="F17" s="436">
        <f t="shared" si="0"/>
        <v>15</v>
      </c>
      <c r="G17" s="1344" t="s">
        <v>1191</v>
      </c>
      <c r="H17" s="668" t="s">
        <v>719</v>
      </c>
      <c r="I17" s="1244" t="s">
        <v>5</v>
      </c>
      <c r="J17" s="1244" t="s">
        <v>5</v>
      </c>
      <c r="K17" s="4" t="s">
        <v>929</v>
      </c>
      <c r="L17" s="4" t="s">
        <v>945</v>
      </c>
    </row>
    <row r="18" spans="1:12" ht="13.9" x14ac:dyDescent="0.4">
      <c r="A18" s="3"/>
      <c r="B18" s="1239" t="str">
        <f>D3</f>
        <v>Table 7. 2026 Grain Sorghum Enterprise Budget, Furrow Irrigation</v>
      </c>
      <c r="C18" s="417"/>
      <c r="D18" s="417"/>
      <c r="E18" s="4"/>
      <c r="F18" s="436">
        <f t="shared" si="0"/>
        <v>16</v>
      </c>
      <c r="G18" s="1344" t="s">
        <v>1192</v>
      </c>
      <c r="H18" s="668" t="s">
        <v>720</v>
      </c>
      <c r="I18" s="1244" t="s">
        <v>1174</v>
      </c>
      <c r="J18" s="1244" t="s">
        <v>1174</v>
      </c>
      <c r="K18" s="4" t="s">
        <v>930</v>
      </c>
      <c r="L18" s="4" t="s">
        <v>946</v>
      </c>
    </row>
    <row r="19" spans="1:12" ht="13.9" x14ac:dyDescent="0.4">
      <c r="A19" s="3"/>
      <c r="B19" s="978">
        <f>Budget!F7</f>
        <v>98.291666666666657</v>
      </c>
      <c r="C19" s="4" t="s">
        <v>304</v>
      </c>
      <c r="D19" s="4"/>
      <c r="E19" s="4"/>
      <c r="F19" s="436">
        <f t="shared" si="0"/>
        <v>17</v>
      </c>
      <c r="G19" s="1344" t="s">
        <v>1193</v>
      </c>
      <c r="H19" s="668" t="s">
        <v>1060</v>
      </c>
      <c r="I19" s="1244" t="s">
        <v>1174</v>
      </c>
      <c r="J19" s="1244" t="s">
        <v>1174</v>
      </c>
      <c r="K19" s="4" t="s">
        <v>1132</v>
      </c>
      <c r="L19" s="4" t="s">
        <v>1131</v>
      </c>
    </row>
    <row r="20" spans="1:12" ht="13.9" x14ac:dyDescent="0.4">
      <c r="A20" s="3"/>
      <c r="B20" s="978">
        <f>Budget!F45</f>
        <v>548.93681815891898</v>
      </c>
      <c r="C20" s="4" t="s">
        <v>229</v>
      </c>
      <c r="D20" s="4"/>
      <c r="E20" s="4"/>
      <c r="F20" s="436">
        <f t="shared" si="0"/>
        <v>18</v>
      </c>
      <c r="G20" s="1344" t="s">
        <v>1194</v>
      </c>
      <c r="H20" s="668" t="s">
        <v>721</v>
      </c>
      <c r="I20" s="1244" t="s">
        <v>5</v>
      </c>
      <c r="J20" s="1244" t="s">
        <v>5</v>
      </c>
      <c r="K20" s="4" t="s">
        <v>931</v>
      </c>
      <c r="L20" s="4" t="s">
        <v>947</v>
      </c>
    </row>
    <row r="21" spans="1:12" ht="13.9" x14ac:dyDescent="0.4">
      <c r="A21" s="3"/>
      <c r="B21" s="978">
        <f>Budget!F48</f>
        <v>102.67392093091048</v>
      </c>
      <c r="C21" s="4" t="s">
        <v>744</v>
      </c>
      <c r="D21" s="4"/>
      <c r="E21" s="4"/>
      <c r="F21" s="436">
        <f t="shared" si="0"/>
        <v>19</v>
      </c>
      <c r="G21" s="1346" t="s">
        <v>1195</v>
      </c>
      <c r="H21" s="668" t="s">
        <v>1111</v>
      </c>
      <c r="I21" s="1244" t="s">
        <v>5</v>
      </c>
      <c r="J21" s="1244" t="s">
        <v>5</v>
      </c>
      <c r="K21" s="4" t="s">
        <v>1112</v>
      </c>
      <c r="L21" s="4" t="s">
        <v>1113</v>
      </c>
    </row>
    <row r="22" spans="1:12" ht="13.9" x14ac:dyDescent="0.4">
      <c r="A22" s="3"/>
      <c r="B22" s="978">
        <f>Budget!F51</f>
        <v>141.29136262745436</v>
      </c>
      <c r="C22" s="4" t="s">
        <v>745</v>
      </c>
      <c r="D22" s="4"/>
      <c r="E22" s="4"/>
      <c r="F22" s="436">
        <f t="shared" si="0"/>
        <v>20</v>
      </c>
      <c r="G22" s="1346" t="s">
        <v>1196</v>
      </c>
      <c r="H22" s="668" t="s">
        <v>1114</v>
      </c>
      <c r="I22" s="1244" t="s">
        <v>5</v>
      </c>
      <c r="J22" s="1244" t="s">
        <v>5</v>
      </c>
      <c r="K22" s="4" t="s">
        <v>1117</v>
      </c>
      <c r="L22" s="4" t="s">
        <v>1118</v>
      </c>
    </row>
    <row r="23" spans="1:12" ht="13.9" x14ac:dyDescent="0.4">
      <c r="A23" s="3"/>
      <c r="B23" s="978">
        <f>Budget!F53</f>
        <v>-191.47818078637329</v>
      </c>
      <c r="C23" s="4" t="s">
        <v>746</v>
      </c>
      <c r="D23" s="4"/>
      <c r="E23" s="4"/>
      <c r="F23" s="436">
        <f t="shared" si="0"/>
        <v>21</v>
      </c>
      <c r="G23" s="1346" t="s">
        <v>1197</v>
      </c>
      <c r="H23" s="668" t="s">
        <v>1115</v>
      </c>
      <c r="I23" s="1244" t="s">
        <v>5</v>
      </c>
      <c r="J23" s="1244" t="s">
        <v>5</v>
      </c>
      <c r="K23" s="4" t="s">
        <v>1119</v>
      </c>
      <c r="L23" s="4" t="s">
        <v>1120</v>
      </c>
    </row>
    <row r="24" spans="1:12" ht="13.9" x14ac:dyDescent="0.4">
      <c r="A24" s="3"/>
      <c r="B24" s="3"/>
      <c r="C24" s="3"/>
      <c r="D24" s="3"/>
      <c r="E24" s="4"/>
      <c r="F24" s="436">
        <f t="shared" si="0"/>
        <v>22</v>
      </c>
      <c r="G24" s="1346" t="s">
        <v>1198</v>
      </c>
      <c r="H24" s="668" t="s">
        <v>1116</v>
      </c>
      <c r="I24" s="1244" t="s">
        <v>5</v>
      </c>
      <c r="J24" s="1244" t="s">
        <v>5</v>
      </c>
      <c r="K24" s="4" t="s">
        <v>1121</v>
      </c>
      <c r="L24" s="4" t="s">
        <v>1122</v>
      </c>
    </row>
    <row r="25" spans="1:12" ht="13.9" x14ac:dyDescent="0.4">
      <c r="A25" s="3"/>
      <c r="B25" s="182"/>
      <c r="C25" s="4"/>
      <c r="D25" s="4"/>
      <c r="E25" s="4"/>
      <c r="F25" s="436">
        <f t="shared" si="0"/>
        <v>23</v>
      </c>
      <c r="G25" s="1346" t="s">
        <v>1199</v>
      </c>
      <c r="H25" s="668" t="s">
        <v>1133</v>
      </c>
      <c r="I25" s="1244" t="s">
        <v>5</v>
      </c>
      <c r="J25" s="1244" t="s">
        <v>5</v>
      </c>
      <c r="K25" s="4" t="s">
        <v>1123</v>
      </c>
      <c r="L25" s="4" t="s">
        <v>1127</v>
      </c>
    </row>
    <row r="26" spans="1:12" ht="13.9" x14ac:dyDescent="0.4">
      <c r="A26" s="3"/>
      <c r="B26" s="182"/>
      <c r="C26" s="4"/>
      <c r="D26" s="4"/>
      <c r="E26" s="4"/>
      <c r="F26" s="436">
        <f t="shared" si="0"/>
        <v>24</v>
      </c>
      <c r="G26" s="1346" t="s">
        <v>1200</v>
      </c>
      <c r="H26" s="668" t="s">
        <v>1134</v>
      </c>
      <c r="I26" s="1244" t="s">
        <v>5</v>
      </c>
      <c r="J26" s="1244" t="s">
        <v>5</v>
      </c>
      <c r="K26" s="4" t="s">
        <v>1124</v>
      </c>
      <c r="L26" s="4" t="s">
        <v>1128</v>
      </c>
    </row>
    <row r="27" spans="1:12" ht="13.9" x14ac:dyDescent="0.4">
      <c r="A27" s="3"/>
      <c r="B27" s="182"/>
      <c r="C27" s="4"/>
      <c r="D27" s="4"/>
      <c r="E27" s="4"/>
      <c r="F27" s="436">
        <f t="shared" si="0"/>
        <v>25</v>
      </c>
      <c r="G27" s="1346" t="s">
        <v>1201</v>
      </c>
      <c r="H27" s="668" t="s">
        <v>1135</v>
      </c>
      <c r="I27" s="1244" t="s">
        <v>5</v>
      </c>
      <c r="J27" s="1244" t="s">
        <v>5</v>
      </c>
      <c r="K27" s="4" t="s">
        <v>1125</v>
      </c>
      <c r="L27" s="4" t="s">
        <v>1129</v>
      </c>
    </row>
    <row r="28" spans="1:12" ht="13.9" x14ac:dyDescent="0.4">
      <c r="A28" s="3"/>
      <c r="B28" s="182"/>
      <c r="C28" s="4"/>
      <c r="D28" s="4"/>
      <c r="E28" s="4"/>
      <c r="F28" s="436">
        <f t="shared" si="0"/>
        <v>26</v>
      </c>
      <c r="G28" s="1346" t="s">
        <v>1202</v>
      </c>
      <c r="H28" s="668" t="s">
        <v>1136</v>
      </c>
      <c r="I28" s="1244" t="s">
        <v>5</v>
      </c>
      <c r="J28" s="1244" t="s">
        <v>5</v>
      </c>
      <c r="K28" s="4" t="s">
        <v>1126</v>
      </c>
      <c r="L28" s="4" t="s">
        <v>1130</v>
      </c>
    </row>
    <row r="29" spans="1:12" ht="13.9" x14ac:dyDescent="0.4">
      <c r="A29" s="3"/>
      <c r="B29" s="182"/>
      <c r="C29" s="4"/>
      <c r="D29" s="4"/>
      <c r="E29" s="4"/>
      <c r="F29" s="436">
        <f t="shared" si="0"/>
        <v>27</v>
      </c>
      <c r="G29" s="1346" t="s">
        <v>1203</v>
      </c>
      <c r="H29" s="668" t="s">
        <v>722</v>
      </c>
      <c r="I29" s="1244" t="s">
        <v>5</v>
      </c>
      <c r="J29" s="1244" t="s">
        <v>5</v>
      </c>
      <c r="K29" s="4" t="s">
        <v>932</v>
      </c>
      <c r="L29" s="4" t="s">
        <v>948</v>
      </c>
    </row>
    <row r="30" spans="1:12" ht="13.9" x14ac:dyDescent="0.4">
      <c r="A30" s="3"/>
      <c r="B30" s="3"/>
      <c r="C30" s="4"/>
      <c r="D30" s="4"/>
      <c r="E30" s="4"/>
      <c r="F30" s="436">
        <f t="shared" si="0"/>
        <v>28</v>
      </c>
      <c r="G30" s="1070" t="s">
        <v>1204</v>
      </c>
      <c r="H30" s="668" t="s">
        <v>181</v>
      </c>
      <c r="I30" s="1244" t="s">
        <v>5</v>
      </c>
      <c r="J30" s="1244" t="s">
        <v>5</v>
      </c>
      <c r="K30" s="4" t="s">
        <v>933</v>
      </c>
      <c r="L30" s="4" t="s">
        <v>949</v>
      </c>
    </row>
    <row r="31" spans="1:12" ht="13.9" x14ac:dyDescent="0.4">
      <c r="A31" s="3"/>
      <c r="B31" s="1239"/>
      <c r="C31" s="417"/>
      <c r="D31" s="417"/>
      <c r="E31" s="4"/>
      <c r="F31" s="436">
        <f t="shared" si="0"/>
        <v>29</v>
      </c>
      <c r="G31" s="1349" t="s">
        <v>1205</v>
      </c>
      <c r="H31" s="668" t="s">
        <v>773</v>
      </c>
      <c r="I31" s="1244" t="s">
        <v>5</v>
      </c>
      <c r="J31" s="1244" t="s">
        <v>5</v>
      </c>
      <c r="K31" s="4" t="s">
        <v>937</v>
      </c>
      <c r="L31" s="4" t="s">
        <v>950</v>
      </c>
    </row>
    <row r="32" spans="1:12" ht="13.9" x14ac:dyDescent="0.4">
      <c r="A32" s="3"/>
      <c r="B32" s="182"/>
      <c r="C32" s="4"/>
      <c r="D32" s="4"/>
      <c r="E32" s="4"/>
      <c r="F32" s="436">
        <f t="shared" si="0"/>
        <v>30</v>
      </c>
      <c r="G32" s="1349" t="s">
        <v>1206</v>
      </c>
      <c r="H32" s="668" t="s">
        <v>774</v>
      </c>
      <c r="I32" s="1244" t="s">
        <v>5</v>
      </c>
      <c r="J32" s="1244" t="s">
        <v>5</v>
      </c>
      <c r="K32" s="4" t="s">
        <v>938</v>
      </c>
      <c r="L32" s="4" t="s">
        <v>951</v>
      </c>
    </row>
    <row r="33" spans="1:12" ht="13.9" x14ac:dyDescent="0.4">
      <c r="A33" s="3"/>
      <c r="B33" s="182"/>
      <c r="C33" s="4"/>
      <c r="D33" s="4"/>
      <c r="E33" s="4"/>
      <c r="F33" s="436">
        <f t="shared" si="0"/>
        <v>31</v>
      </c>
      <c r="G33" s="1349" t="s">
        <v>1207</v>
      </c>
      <c r="H33" s="668" t="s">
        <v>775</v>
      </c>
      <c r="I33" s="1244" t="s">
        <v>5</v>
      </c>
      <c r="J33" s="1244" t="s">
        <v>5</v>
      </c>
      <c r="K33" s="4" t="s">
        <v>939</v>
      </c>
      <c r="L33" s="4" t="s">
        <v>952</v>
      </c>
    </row>
    <row r="34" spans="1:12" ht="13.9" x14ac:dyDescent="0.4">
      <c r="A34" s="3"/>
      <c r="B34" s="182"/>
      <c r="C34" s="4"/>
      <c r="D34" s="4"/>
      <c r="E34" s="4"/>
      <c r="F34" s="436">
        <f t="shared" si="0"/>
        <v>32</v>
      </c>
      <c r="G34" s="1348" t="s">
        <v>1208</v>
      </c>
      <c r="H34" s="668" t="s">
        <v>846</v>
      </c>
      <c r="I34" s="1244" t="s">
        <v>1174</v>
      </c>
      <c r="J34" s="1244" t="s">
        <v>1174</v>
      </c>
      <c r="K34" s="4" t="s">
        <v>863</v>
      </c>
      <c r="L34" s="4" t="s">
        <v>868</v>
      </c>
    </row>
    <row r="35" spans="1:12" ht="13.9" x14ac:dyDescent="0.4">
      <c r="A35" s="3"/>
      <c r="B35" s="182"/>
      <c r="C35" s="4"/>
      <c r="D35" s="4"/>
      <c r="E35" s="4"/>
      <c r="F35" s="436">
        <f t="shared" si="0"/>
        <v>33</v>
      </c>
      <c r="G35" s="1348" t="s">
        <v>1209</v>
      </c>
      <c r="H35" s="668" t="s">
        <v>845</v>
      </c>
      <c r="I35" s="1244" t="s">
        <v>1174</v>
      </c>
      <c r="J35" s="1244" t="s">
        <v>1174</v>
      </c>
      <c r="K35" s="4" t="s">
        <v>861</v>
      </c>
      <c r="L35" s="4" t="s">
        <v>869</v>
      </c>
    </row>
    <row r="36" spans="1:12" ht="13.9" x14ac:dyDescent="0.4">
      <c r="A36" s="3"/>
      <c r="B36" s="182"/>
      <c r="C36" s="4"/>
      <c r="D36" s="4"/>
      <c r="E36" s="4"/>
      <c r="F36" s="436">
        <f t="shared" si="0"/>
        <v>34</v>
      </c>
      <c r="G36" s="1348" t="s">
        <v>1210</v>
      </c>
      <c r="H36" s="668" t="s">
        <v>847</v>
      </c>
      <c r="I36" s="1244" t="s">
        <v>1174</v>
      </c>
      <c r="J36" s="1244" t="s">
        <v>1174</v>
      </c>
      <c r="K36" s="4" t="s">
        <v>862</v>
      </c>
      <c r="L36" s="4" t="s">
        <v>870</v>
      </c>
    </row>
    <row r="37" spans="1:12" ht="13.9" x14ac:dyDescent="0.4">
      <c r="A37" s="3"/>
      <c r="B37" s="182"/>
      <c r="C37" s="4"/>
      <c r="D37" s="4"/>
      <c r="E37" s="4"/>
      <c r="F37" s="436">
        <f t="shared" si="0"/>
        <v>35</v>
      </c>
      <c r="G37" s="1346" t="s">
        <v>1211</v>
      </c>
      <c r="H37" s="668" t="s">
        <v>848</v>
      </c>
      <c r="I37" s="1244" t="s">
        <v>5</v>
      </c>
      <c r="J37" s="1244" t="s">
        <v>5</v>
      </c>
      <c r="K37" s="4" t="s">
        <v>934</v>
      </c>
      <c r="L37" s="4" t="s">
        <v>953</v>
      </c>
    </row>
    <row r="38" spans="1:12" ht="13.9" x14ac:dyDescent="0.4">
      <c r="A38" s="3"/>
      <c r="B38" s="182"/>
      <c r="C38" s="4"/>
      <c r="D38" s="4"/>
      <c r="E38" s="4"/>
      <c r="F38" s="436">
        <f t="shared" si="0"/>
        <v>36</v>
      </c>
      <c r="G38" s="1346" t="s">
        <v>1212</v>
      </c>
      <c r="H38" s="668" t="s">
        <v>849</v>
      </c>
      <c r="I38" s="1244" t="s">
        <v>5</v>
      </c>
      <c r="J38" s="1244" t="s">
        <v>5</v>
      </c>
      <c r="K38" s="4" t="s">
        <v>935</v>
      </c>
      <c r="L38" s="4" t="s">
        <v>954</v>
      </c>
    </row>
    <row r="39" spans="1:12" ht="13.9" x14ac:dyDescent="0.4">
      <c r="A39" s="3"/>
      <c r="B39" s="182"/>
      <c r="C39" s="4"/>
      <c r="D39" s="4"/>
      <c r="E39" s="3"/>
      <c r="F39" s="436">
        <f t="shared" si="0"/>
        <v>37</v>
      </c>
      <c r="G39" s="1346" t="s">
        <v>1213</v>
      </c>
      <c r="H39" s="668" t="s">
        <v>850</v>
      </c>
      <c r="I39" s="1244" t="s">
        <v>5</v>
      </c>
      <c r="J39" s="1244" t="s">
        <v>5</v>
      </c>
      <c r="K39" s="4" t="s">
        <v>936</v>
      </c>
      <c r="L39" s="4" t="s">
        <v>955</v>
      </c>
    </row>
    <row r="40" spans="1:12" ht="13.9" x14ac:dyDescent="0.4">
      <c r="A40" s="3"/>
      <c r="B40" s="182"/>
      <c r="C40" s="4"/>
      <c r="D40" s="4"/>
      <c r="E40" s="3"/>
      <c r="F40" s="436">
        <f t="shared" si="0"/>
        <v>38</v>
      </c>
      <c r="G40" s="1345" t="s">
        <v>1214</v>
      </c>
      <c r="H40" s="668" t="s">
        <v>851</v>
      </c>
      <c r="I40" s="1244" t="s">
        <v>1174</v>
      </c>
      <c r="J40" s="1244" t="s">
        <v>1174</v>
      </c>
      <c r="K40" s="4" t="s">
        <v>1234</v>
      </c>
      <c r="L40" s="4" t="s">
        <v>1138</v>
      </c>
    </row>
    <row r="41" spans="1:12" ht="13.9" x14ac:dyDescent="0.4">
      <c r="A41" s="3"/>
      <c r="B41" s="182"/>
      <c r="C41" s="4"/>
      <c r="D41" s="4"/>
      <c r="E41" s="3"/>
      <c r="F41" s="436">
        <f t="shared" si="0"/>
        <v>39</v>
      </c>
      <c r="G41" s="1345" t="s">
        <v>1215</v>
      </c>
      <c r="H41" s="668" t="s">
        <v>852</v>
      </c>
      <c r="I41" s="1244" t="s">
        <v>1174</v>
      </c>
      <c r="J41" s="1244" t="s">
        <v>1174</v>
      </c>
      <c r="K41" s="4" t="s">
        <v>940</v>
      </c>
      <c r="L41" s="4" t="s">
        <v>1139</v>
      </c>
    </row>
    <row r="42" spans="1:12" ht="13.9" x14ac:dyDescent="0.4">
      <c r="A42" s="3"/>
      <c r="B42" s="182"/>
      <c r="C42" s="4"/>
      <c r="D42" s="4"/>
      <c r="E42" s="3"/>
      <c r="F42" s="436">
        <f t="shared" si="0"/>
        <v>40</v>
      </c>
      <c r="G42" s="1344" t="s">
        <v>1216</v>
      </c>
      <c r="H42" s="668" t="s">
        <v>853</v>
      </c>
      <c r="I42" s="1244" t="s">
        <v>5</v>
      </c>
      <c r="J42" s="1244" t="s">
        <v>5</v>
      </c>
      <c r="K42" s="4" t="s">
        <v>864</v>
      </c>
      <c r="L42" s="4" t="s">
        <v>871</v>
      </c>
    </row>
    <row r="43" spans="1:12" ht="13.9" x14ac:dyDescent="0.4">
      <c r="A43" s="3"/>
      <c r="B43" s="182"/>
      <c r="C43" s="4"/>
      <c r="D43" s="4"/>
      <c r="E43" s="3"/>
      <c r="F43" s="436">
        <f t="shared" si="0"/>
        <v>41</v>
      </c>
      <c r="G43" s="1344" t="s">
        <v>1217</v>
      </c>
      <c r="H43" s="668" t="s">
        <v>854</v>
      </c>
      <c r="I43" s="1244" t="s">
        <v>5</v>
      </c>
      <c r="J43" s="1244" t="s">
        <v>5</v>
      </c>
      <c r="K43" s="4" t="s">
        <v>865</v>
      </c>
      <c r="L43" s="4" t="s">
        <v>872</v>
      </c>
    </row>
    <row r="44" spans="1:12" ht="13.9" x14ac:dyDescent="0.4">
      <c r="A44" s="3"/>
      <c r="B44" s="3"/>
      <c r="C44" s="3"/>
      <c r="D44" s="3"/>
      <c r="E44" s="3"/>
      <c r="F44" s="436">
        <f t="shared" si="0"/>
        <v>42</v>
      </c>
      <c r="G44" s="1344" t="s">
        <v>1218</v>
      </c>
      <c r="H44" s="668" t="s">
        <v>855</v>
      </c>
      <c r="I44" s="1244" t="s">
        <v>1174</v>
      </c>
      <c r="J44" s="1244" t="s">
        <v>1174</v>
      </c>
      <c r="K44" s="4" t="s">
        <v>866</v>
      </c>
      <c r="L44" s="4" t="s">
        <v>873</v>
      </c>
    </row>
    <row r="45" spans="1:12" ht="13.9" x14ac:dyDescent="0.4">
      <c r="A45" s="3"/>
      <c r="B45" s="1239"/>
      <c r="C45" s="1187"/>
      <c r="D45" s="1187"/>
      <c r="E45" s="3"/>
      <c r="F45" s="436">
        <f t="shared" si="0"/>
        <v>43</v>
      </c>
      <c r="G45" s="1344" t="s">
        <v>1219</v>
      </c>
      <c r="H45" s="668" t="s">
        <v>1061</v>
      </c>
      <c r="I45" s="1244" t="s">
        <v>1174</v>
      </c>
      <c r="J45" s="1244" t="s">
        <v>1174</v>
      </c>
      <c r="K45" s="4" t="s">
        <v>867</v>
      </c>
      <c r="L45" s="4" t="s">
        <v>874</v>
      </c>
    </row>
    <row r="46" spans="1:12" ht="13.9" x14ac:dyDescent="0.4">
      <c r="A46" s="3"/>
      <c r="B46" s="182"/>
      <c r="C46" s="4"/>
      <c r="D46" s="4"/>
      <c r="E46" s="1070"/>
      <c r="F46" s="436">
        <f t="shared" si="0"/>
        <v>44</v>
      </c>
      <c r="G46" s="1069" t="s">
        <v>1220</v>
      </c>
      <c r="H46" s="668" t="s">
        <v>1049</v>
      </c>
      <c r="I46" s="1244" t="s">
        <v>5</v>
      </c>
      <c r="J46" s="1244" t="s">
        <v>5</v>
      </c>
      <c r="K46" s="4" t="s">
        <v>1051</v>
      </c>
      <c r="L46" s="4" t="s">
        <v>1054</v>
      </c>
    </row>
    <row r="47" spans="1:12" ht="13.9" x14ac:dyDescent="0.4">
      <c r="A47" s="3"/>
      <c r="B47" s="182"/>
      <c r="C47" s="4"/>
      <c r="D47" s="4"/>
      <c r="E47" s="1070"/>
      <c r="F47" s="436">
        <f t="shared" si="0"/>
        <v>45</v>
      </c>
      <c r="G47" s="1069" t="s">
        <v>1221</v>
      </c>
      <c r="H47" s="668" t="s">
        <v>1050</v>
      </c>
      <c r="I47" s="1244" t="s">
        <v>5</v>
      </c>
      <c r="J47" s="1244" t="s">
        <v>5</v>
      </c>
      <c r="K47" s="4" t="s">
        <v>1052</v>
      </c>
      <c r="L47" s="4" t="s">
        <v>1053</v>
      </c>
    </row>
    <row r="48" spans="1:12" ht="13.9" x14ac:dyDescent="0.4">
      <c r="A48" s="3"/>
      <c r="B48" s="182"/>
      <c r="C48" s="4"/>
      <c r="D48" s="4"/>
      <c r="E48" s="1070"/>
      <c r="F48" s="436">
        <f t="shared" si="0"/>
        <v>46</v>
      </c>
      <c r="G48" s="1069" t="s">
        <v>856</v>
      </c>
      <c r="H48" s="668" t="s">
        <v>781</v>
      </c>
      <c r="I48" s="4"/>
      <c r="J48" s="4"/>
      <c r="K48" s="4"/>
      <c r="L48" s="4"/>
    </row>
    <row r="49" spans="1:12" ht="13.9" x14ac:dyDescent="0.4">
      <c r="A49" s="3"/>
      <c r="B49" s="182"/>
      <c r="C49" s="4"/>
      <c r="D49" s="4"/>
      <c r="E49" s="1070"/>
      <c r="F49" s="436">
        <f t="shared" si="0"/>
        <v>47</v>
      </c>
      <c r="G49" s="1069" t="s">
        <v>857</v>
      </c>
      <c r="H49" s="668" t="s">
        <v>725</v>
      </c>
      <c r="I49" s="4"/>
      <c r="J49" s="4"/>
      <c r="K49" s="4"/>
      <c r="L49" s="4"/>
    </row>
    <row r="50" spans="1:12" ht="13.9" x14ac:dyDescent="0.4">
      <c r="A50" s="3"/>
      <c r="B50" s="182"/>
      <c r="C50" s="4"/>
      <c r="D50" s="4"/>
      <c r="E50" s="1070"/>
      <c r="F50" s="436">
        <f t="shared" si="0"/>
        <v>48</v>
      </c>
      <c r="G50" s="1069" t="s">
        <v>858</v>
      </c>
      <c r="H50" s="668" t="s">
        <v>842</v>
      </c>
      <c r="I50" s="4"/>
      <c r="J50" s="4"/>
      <c r="K50" s="4"/>
      <c r="L50" s="4"/>
    </row>
    <row r="51" spans="1:12" ht="13.9" x14ac:dyDescent="0.4">
      <c r="A51" s="3"/>
      <c r="B51" s="3"/>
      <c r="C51" s="3"/>
      <c r="D51" s="3"/>
      <c r="E51" s="1070"/>
      <c r="F51" s="436">
        <f t="shared" si="0"/>
        <v>49</v>
      </c>
      <c r="G51" s="1069" t="s">
        <v>859</v>
      </c>
      <c r="H51" s="668" t="s">
        <v>843</v>
      </c>
      <c r="I51" s="4"/>
      <c r="J51" s="4"/>
      <c r="K51" s="4"/>
      <c r="L51" s="4"/>
    </row>
    <row r="52" spans="1:12" ht="13.9" x14ac:dyDescent="0.4">
      <c r="A52" s="3"/>
      <c r="B52" s="1239"/>
      <c r="C52" s="1187"/>
      <c r="D52" s="1187"/>
      <c r="E52" s="1070"/>
      <c r="F52" s="436">
        <f t="shared" si="0"/>
        <v>50</v>
      </c>
      <c r="G52" s="1069" t="s">
        <v>860</v>
      </c>
      <c r="H52" s="668" t="s">
        <v>844</v>
      </c>
      <c r="I52" s="4"/>
      <c r="J52" s="4"/>
      <c r="K52" s="4"/>
      <c r="L52" s="4"/>
    </row>
  </sheetData>
  <hyperlinks>
    <hyperlink ref="C5" location="Budget!A1" display="Goto Budget Worksheet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J62"/>
  <sheetViews>
    <sheetView workbookViewId="0">
      <selection activeCell="B27" sqref="B27"/>
    </sheetView>
  </sheetViews>
  <sheetFormatPr defaultRowHeight="12.75" x14ac:dyDescent="0.35"/>
  <cols>
    <col min="1" max="1" width="2.73046875" customWidth="1"/>
    <col min="8" max="8" width="17.265625" bestFit="1" customWidth="1"/>
    <col min="9" max="9" width="9.3984375" customWidth="1"/>
  </cols>
  <sheetData>
    <row r="2" spans="2:6" ht="12.75" customHeight="1" x14ac:dyDescent="0.4">
      <c r="B2" s="507" t="s">
        <v>428</v>
      </c>
      <c r="C2" s="507"/>
      <c r="D2" s="3"/>
      <c r="E2" s="507"/>
      <c r="F2" s="3"/>
    </row>
    <row r="3" spans="2:6" ht="12.75" customHeight="1" x14ac:dyDescent="0.4">
      <c r="B3" s="684">
        <f>SUM(A2_Budget_Look_Up!B6:B14)</f>
        <v>1</v>
      </c>
      <c r="C3" s="507"/>
      <c r="D3" s="893" t="s">
        <v>594</v>
      </c>
      <c r="E3" s="507"/>
      <c r="F3" s="537"/>
    </row>
    <row r="4" spans="2:6" ht="12.75" customHeight="1" x14ac:dyDescent="0.4">
      <c r="B4" s="507"/>
      <c r="C4" s="507"/>
      <c r="D4" s="507"/>
      <c r="E4" s="507"/>
      <c r="F4" s="3"/>
    </row>
    <row r="5" spans="2:6" ht="12.75" customHeight="1" x14ac:dyDescent="0.4">
      <c r="B5" s="881" t="s">
        <v>593</v>
      </c>
      <c r="C5" s="881"/>
      <c r="D5" s="881"/>
      <c r="E5" s="881"/>
      <c r="F5" s="881"/>
    </row>
    <row r="6" spans="2:6" ht="12.75" customHeight="1" x14ac:dyDescent="0.4">
      <c r="B6" s="882" t="str">
        <f>IF('C1_Messages_Indicators'!B3&lt;&gt;1,"Error, Select"," ")</f>
        <v xml:space="preserve"> </v>
      </c>
      <c r="C6" s="881" t="s">
        <v>429</v>
      </c>
      <c r="D6" s="881"/>
      <c r="E6" s="881"/>
      <c r="F6" s="881"/>
    </row>
    <row r="7" spans="2:6" ht="12.75" customHeight="1" x14ac:dyDescent="0.4">
      <c r="B7" s="883" t="str">
        <f>IF('C1_Messages_Indicators'!B3&lt;&gt;1,"One and Only "," ")</f>
        <v xml:space="preserve"> </v>
      </c>
      <c r="C7" s="881" t="s">
        <v>430</v>
      </c>
      <c r="D7" s="881"/>
      <c r="E7" s="881"/>
      <c r="F7" s="881"/>
    </row>
    <row r="8" spans="2:6" ht="12.75" customHeight="1" x14ac:dyDescent="0.4">
      <c r="B8" s="884" t="str">
        <f>IF('C1_Messages_Indicators'!B3&lt;&gt;1,"One Crop"," ")</f>
        <v xml:space="preserve"> </v>
      </c>
      <c r="C8" s="881" t="s">
        <v>431</v>
      </c>
      <c r="D8" s="881"/>
      <c r="E8" s="881"/>
      <c r="F8" s="881"/>
    </row>
    <row r="9" spans="2:6" ht="12.75" customHeight="1" x14ac:dyDescent="0.4">
      <c r="B9" s="800"/>
      <c r="C9" s="507"/>
      <c r="D9" s="507"/>
      <c r="E9" s="507"/>
      <c r="F9" s="3"/>
    </row>
    <row r="10" spans="2:6" ht="12.75" customHeight="1" x14ac:dyDescent="0.4">
      <c r="B10" s="885" t="s">
        <v>426</v>
      </c>
      <c r="C10" s="885"/>
      <c r="D10" s="885"/>
      <c r="E10" s="885"/>
      <c r="F10" s="886"/>
    </row>
    <row r="11" spans="2:6" ht="12.75" customHeight="1" x14ac:dyDescent="0.4">
      <c r="B11" s="887" t="str">
        <f>IF(AND(Seed_Chemical!I7&gt;0,Seed_Chemical!I8&gt;0),"Error Do Not Select Both"," ")</f>
        <v xml:space="preserve"> </v>
      </c>
      <c r="C11" s="885" t="s">
        <v>429</v>
      </c>
      <c r="D11" s="885"/>
      <c r="E11" s="885"/>
      <c r="F11" s="885" t="s">
        <v>458</v>
      </c>
    </row>
    <row r="12" spans="2:6" ht="12.75" customHeight="1" x14ac:dyDescent="0.4">
      <c r="B12" s="888" t="str">
        <f>IF(AND(Seed_Chemical!I7&gt;0,Seed_Chemical!I8&gt;0),"Select Only One or Set Both"," ")</f>
        <v xml:space="preserve"> </v>
      </c>
      <c r="C12" s="885" t="s">
        <v>430</v>
      </c>
      <c r="D12" s="885"/>
      <c r="E12" s="885"/>
      <c r="F12" s="885" t="s">
        <v>459</v>
      </c>
    </row>
    <row r="13" spans="2:6" ht="12.75" customHeight="1" x14ac:dyDescent="0.4">
      <c r="B13" s="889" t="str">
        <f>IF(AND(Seed_Chemical!I7&gt;0,Seed_Chemical!I8&gt;0),"to 0 For Default Value"," ")</f>
        <v xml:space="preserve"> </v>
      </c>
      <c r="C13" s="917" t="s">
        <v>432</v>
      </c>
      <c r="D13" s="917"/>
      <c r="E13" s="942" t="s">
        <v>641</v>
      </c>
      <c r="F13" s="917" t="s">
        <v>626</v>
      </c>
    </row>
    <row r="14" spans="2:6" ht="12.75" customHeight="1" x14ac:dyDescent="0.4">
      <c r="B14" s="890" t="str">
        <f>IF(Seed_Chemical!I8&gt;0,"Bale","Ton")</f>
        <v>Ton</v>
      </c>
      <c r="C14" s="885" t="s">
        <v>598</v>
      </c>
      <c r="D14" s="885"/>
      <c r="E14" s="886"/>
      <c r="F14" s="886"/>
    </row>
    <row r="15" spans="2:6" ht="12.75" customHeight="1" x14ac:dyDescent="0.4">
      <c r="B15" s="891">
        <f>IF(Seed_Chemical!I8&gt;0,Budget!D3/Program_Variables!C36,(Budget!D3*(1-Seed_Chemical!I3)/Seed_Chemical!I3)/2000)</f>
        <v>7.8750000000000001E-2</v>
      </c>
      <c r="C15" s="885" t="s">
        <v>599</v>
      </c>
      <c r="D15" s="885"/>
      <c r="E15" s="885"/>
      <c r="F15" s="885"/>
    </row>
    <row r="16" spans="2:6" ht="12.75" customHeight="1" x14ac:dyDescent="0.4">
      <c r="B16" s="890">
        <f>IF(Seed_Chemical!I7&gt;0,Seed_Chemical!I7*B17,Seed_Chemical!I8*B17)</f>
        <v>0</v>
      </c>
      <c r="C16" s="885" t="s">
        <v>600</v>
      </c>
      <c r="D16" s="885"/>
      <c r="E16" s="885"/>
      <c r="F16" s="885"/>
    </row>
    <row r="17" spans="2:10" ht="12.75" customHeight="1" x14ac:dyDescent="0.4">
      <c r="B17" s="890">
        <f>IF(AND(Seed_Chemical!I7&gt;0,Seed_Chemical!I8&gt;0),1/0,1)</f>
        <v>1</v>
      </c>
      <c r="C17" s="885" t="s">
        <v>602</v>
      </c>
      <c r="D17" s="885"/>
      <c r="E17" s="885"/>
      <c r="F17" s="885"/>
      <c r="G17" s="885"/>
      <c r="H17" s="885"/>
      <c r="I17" s="507"/>
      <c r="J17" s="507"/>
    </row>
    <row r="18" spans="2:10" ht="12.75" customHeight="1" x14ac:dyDescent="0.4">
      <c r="B18" s="892" t="str">
        <f>IF(A2_Budget_Look_Up!B7=1,B16," ")</f>
        <v xml:space="preserve"> </v>
      </c>
      <c r="C18" s="885" t="s">
        <v>601</v>
      </c>
      <c r="D18" s="885"/>
      <c r="E18" s="885"/>
      <c r="F18" s="885"/>
      <c r="G18" s="885"/>
      <c r="H18" s="885"/>
      <c r="I18" s="507"/>
      <c r="J18" s="507"/>
    </row>
    <row r="19" spans="2:10" ht="12.75" customHeight="1" x14ac:dyDescent="0.4">
      <c r="B19" s="3"/>
      <c r="C19" s="3"/>
      <c r="D19" s="507"/>
      <c r="E19" s="507"/>
      <c r="F19" s="507"/>
      <c r="G19" s="507"/>
      <c r="H19" s="507"/>
      <c r="I19" s="507"/>
      <c r="J19" s="507"/>
    </row>
    <row r="20" spans="2:10" ht="12.75" customHeight="1" x14ac:dyDescent="0.4">
      <c r="B20" s="507" t="s">
        <v>443</v>
      </c>
      <c r="C20" s="507"/>
      <c r="D20" s="507"/>
      <c r="E20" s="507"/>
      <c r="F20" s="507"/>
      <c r="G20" s="507"/>
      <c r="H20" s="507"/>
      <c r="I20" s="507"/>
      <c r="J20" s="507"/>
    </row>
    <row r="21" spans="2:10" ht="12.75" customHeight="1" x14ac:dyDescent="0.4">
      <c r="B21" s="685" t="str">
        <f>IF(A2_Budget_Look_Up!B14&gt;0,Program_Variables!C3,"Seed, Includes Applicable Fees")</f>
        <v>Seed, Includes Applicable Fees</v>
      </c>
      <c r="C21" s="510"/>
      <c r="D21" s="686"/>
      <c r="E21" s="507"/>
      <c r="F21" s="507" t="s">
        <v>595</v>
      </c>
      <c r="G21" s="507"/>
      <c r="H21" s="507"/>
      <c r="I21" s="507"/>
      <c r="J21" s="507"/>
    </row>
    <row r="22" spans="2:10" ht="12.75" customHeight="1" x14ac:dyDescent="0.4">
      <c r="B22" s="801"/>
      <c r="C22" s="507"/>
      <c r="D22" s="507"/>
      <c r="E22" s="507"/>
      <c r="F22" s="507"/>
      <c r="G22" s="507"/>
      <c r="H22" s="507"/>
      <c r="I22" s="507"/>
      <c r="J22" s="507"/>
    </row>
    <row r="23" spans="2:10" ht="12.75" customHeight="1" x14ac:dyDescent="0.4">
      <c r="B23" s="894" t="s">
        <v>427</v>
      </c>
      <c r="C23" s="894"/>
      <c r="D23" s="894"/>
      <c r="E23" s="894"/>
      <c r="F23" s="894"/>
      <c r="G23" s="894"/>
      <c r="H23" s="894"/>
      <c r="I23" s="894"/>
      <c r="J23" s="894"/>
    </row>
    <row r="24" spans="2:10" ht="12.75" customHeight="1" x14ac:dyDescent="0.4">
      <c r="B24" s="895">
        <f>IF(A2_Budget_Look_Up!B7=1,Budget!D3/Program_Variables!C36,Budget!D3)</f>
        <v>105</v>
      </c>
      <c r="C24" s="896" t="s">
        <v>309</v>
      </c>
      <c r="D24" s="897" t="str">
        <f>IF(A2_Budget_Look_Up!B13&gt;0,"   Hauling",E24)</f>
        <v>Post-Harvest Expenses</v>
      </c>
      <c r="E24" s="897" t="str">
        <f>IF(A2_Budget_Look_Up!B14&gt;0,"Other Harvest &amp; Posts-Harvest Expenses","Post-Harvest Expenses")</f>
        <v>Post-Harvest Expenses</v>
      </c>
      <c r="F24" s="897"/>
      <c r="G24" s="897"/>
      <c r="H24" s="1324"/>
      <c r="I24" s="895" t="str">
        <f>IF(A2_Budget_Look_Up!B14=1,Program_Variables!D40,"Bu.")</f>
        <v>Bu.</v>
      </c>
      <c r="J24" s="898">
        <f>Budget!D3</f>
        <v>105</v>
      </c>
    </row>
    <row r="25" spans="2:10" ht="12.75" customHeight="1" x14ac:dyDescent="0.4">
      <c r="B25" s="899" t="str">
        <f>IF(A2_Budget_Look_Up!B13=1,"Tons",I24)</f>
        <v>Bu.</v>
      </c>
      <c r="C25" s="894"/>
      <c r="D25" s="894"/>
      <c r="E25" s="894"/>
      <c r="F25" s="894"/>
      <c r="G25" s="894"/>
      <c r="H25" s="900"/>
      <c r="I25" s="899" t="str">
        <f>IF(A2_Budget_Look_Up!B14=1,Program_Variables!D41,B25)</f>
        <v>Bu.</v>
      </c>
      <c r="J25" s="900"/>
    </row>
    <row r="26" spans="2:10" ht="12.75" customHeight="1" x14ac:dyDescent="0.4">
      <c r="B26" s="899" t="str">
        <f>IF(A2_Budget_Look_Up!B13=1,"Tons",I25)</f>
        <v>Bu.</v>
      </c>
      <c r="C26" s="894" t="str">
        <f>IF(A2_Budget_Look_Up!B13=1,"per Ton","per Bushel")</f>
        <v>per Bushel</v>
      </c>
      <c r="D26" s="894" t="str">
        <f>IF(A2_Budget_Look_Up!B13=1,"Yield (ton)","Yield (bu.)")</f>
        <v>Yield (bu.)</v>
      </c>
      <c r="E26" s="894" t="str">
        <f>IF(A2_Budget_Look_Up!B13=1,"Price ($/ton)","Price ($/bu.)")</f>
        <v>Price ($/bu.)</v>
      </c>
      <c r="F26" s="894" t="str">
        <f>IF(A2_Budget_Look_Up!B13=1,"Operating Expenses/ton","Operating Expenses/bu.")</f>
        <v>Operating Expenses/bu.</v>
      </c>
      <c r="G26" s="894" t="str">
        <f>IF(A2_Budget_Look_Up!B13=1,"$/ton","$/bu.")</f>
        <v>$/bu.</v>
      </c>
      <c r="H26" s="900" t="str">
        <f>IF(A2_Budget_Look_Up!B13=1,"Total Specified Expenses/ton","Total Specified Expenses/bu.")</f>
        <v>Total Specified Expenses/bu.</v>
      </c>
      <c r="I26" s="899" t="str">
        <f>IF(A2_Budget_Look_Up!B14=1,Program_Variables!D42,B26)</f>
        <v>Bu.</v>
      </c>
      <c r="J26" s="900"/>
    </row>
    <row r="27" spans="2:10" ht="12.75" customHeight="1" x14ac:dyDescent="0.4">
      <c r="B27" s="899" t="str">
        <f>IF(A2_Budget_Look_Up!B13=1,"   Cleaning - Applied to Percent Cleaned",I27)</f>
        <v xml:space="preserve">   Drying</v>
      </c>
      <c r="C27" s="894"/>
      <c r="D27" s="894"/>
      <c r="E27" s="894"/>
      <c r="F27" s="894"/>
      <c r="G27" s="894"/>
      <c r="H27" s="900"/>
      <c r="I27" s="899" t="str">
        <f>IF(A2_Budget_Look_Up!B14&gt;0,Program_Variables!C40,"   Drying")</f>
        <v xml:space="preserve">   Drying</v>
      </c>
      <c r="J27" s="900"/>
    </row>
    <row r="28" spans="2:10" ht="12.75" customHeight="1" x14ac:dyDescent="0.4">
      <c r="B28" s="899" t="str">
        <f>IF(A2_Budget_Look_Up!B13=1,"   Drying - Applied to Percent Dried",I28)</f>
        <v xml:space="preserve">   Hauling</v>
      </c>
      <c r="C28" s="894"/>
      <c r="D28" s="973"/>
      <c r="E28" s="973"/>
      <c r="F28" s="973"/>
      <c r="G28" s="973"/>
      <c r="H28" s="1325"/>
      <c r="I28" s="899" t="str">
        <f>IF(A2_Budget_Look_Up!B14&gt;0,Program_Variables!C41,"   Hauling")</f>
        <v xml:space="preserve">   Hauling</v>
      </c>
      <c r="J28" s="900"/>
    </row>
    <row r="29" spans="2:10" ht="12.75" customHeight="1" x14ac:dyDescent="0.4">
      <c r="B29" s="899" t="str">
        <f>IF(A2_Budget_Look_Up!B13=1,"   Check Off, Boards - State",I29)</f>
        <v xml:space="preserve">   Check Off, Boards</v>
      </c>
      <c r="C29" s="894"/>
      <c r="D29" s="973"/>
      <c r="E29" s="973"/>
      <c r="F29" s="973"/>
      <c r="G29" s="973"/>
      <c r="H29" s="1325"/>
      <c r="I29" s="899" t="str">
        <f>IF(A2_Budget_Look_Up!B14&gt;0,Program_Variables!C42,"   Check Off, Boards")</f>
        <v xml:space="preserve">   Check Off, Boards</v>
      </c>
      <c r="J29" s="900"/>
    </row>
    <row r="30" spans="2:10" ht="12.75" customHeight="1" x14ac:dyDescent="0.4">
      <c r="B30" s="899">
        <f>IF(A2_Budget_Look_Up!B13&gt;0,Budget!D3*Budget!B41,I30)</f>
        <v>105</v>
      </c>
      <c r="C30" s="894"/>
      <c r="D30" s="973"/>
      <c r="E30" s="973"/>
      <c r="F30" s="973"/>
      <c r="G30" s="973"/>
      <c r="H30" s="1325"/>
      <c r="I30" s="899">
        <f>IF(A2_Budget_Look_Up!B14&gt;0,Program_Variables!E41,Budget!D3)</f>
        <v>105</v>
      </c>
      <c r="J30" s="900"/>
    </row>
    <row r="31" spans="2:10" ht="12.75" customHeight="1" x14ac:dyDescent="0.4">
      <c r="B31" s="901">
        <f>IF(A2_Budget_Look_Up!B13&gt;0,Budget!D3*Budget!B41,I31)</f>
        <v>105</v>
      </c>
      <c r="C31" s="1558"/>
      <c r="D31" s="1326"/>
      <c r="E31" s="1326"/>
      <c r="F31" s="1326"/>
      <c r="G31" s="1326"/>
      <c r="H31" s="1327"/>
      <c r="I31" s="901">
        <f>IF(A2_Budget_Look_Up!B14&gt;0,Program_Variables!E42,Budget!D3)</f>
        <v>105</v>
      </c>
      <c r="J31" s="902"/>
    </row>
    <row r="33" spans="2:4" ht="12.75" customHeight="1" x14ac:dyDescent="0.4">
      <c r="B33" s="903" t="s">
        <v>198</v>
      </c>
      <c r="C33" s="903"/>
      <c r="D33" s="903" t="s">
        <v>565</v>
      </c>
    </row>
    <row r="34" spans="2:4" ht="12.75" customHeight="1" x14ac:dyDescent="0.4">
      <c r="B34" s="904">
        <f>IF(Irrigation!B2=3,0,1)</f>
        <v>1</v>
      </c>
      <c r="C34" s="905"/>
      <c r="D34" s="904">
        <f>IF(OR(Irrigation!B7=2,Irrigation!B7=3),2,0)</f>
        <v>0</v>
      </c>
    </row>
    <row r="35" spans="2:4" ht="12.75" customHeight="1" x14ac:dyDescent="0.4">
      <c r="B35" s="800"/>
      <c r="C35" s="801"/>
      <c r="D35" s="507"/>
    </row>
    <row r="36" spans="2:4" ht="12.75" customHeight="1" x14ac:dyDescent="0.4">
      <c r="B36" s="906" t="s">
        <v>603</v>
      </c>
      <c r="C36" s="906"/>
      <c r="D36" s="906"/>
    </row>
    <row r="37" spans="2:4" ht="12.75" customHeight="1" x14ac:dyDescent="0.4">
      <c r="B37" s="907" t="str">
        <f>IF(Machine!J67+Machine!J68 &lt;&gt; 1,"ERROR"," ")</f>
        <v xml:space="preserve"> </v>
      </c>
      <c r="C37" s="906" t="s">
        <v>604</v>
      </c>
      <c r="D37" s="906"/>
    </row>
    <row r="38" spans="2:4" ht="12.75" customHeight="1" x14ac:dyDescent="0.4">
      <c r="B38" s="908" t="str">
        <f>IF(Machine!J67+Machine!J68&lt;&gt;1,"Select One Type"," ")</f>
        <v xml:space="preserve"> </v>
      </c>
      <c r="C38" s="906" t="s">
        <v>605</v>
      </c>
      <c r="D38" s="906"/>
    </row>
    <row r="39" spans="2:4" ht="12.75" customHeight="1" x14ac:dyDescent="0.4">
      <c r="B39" s="909" t="str">
        <f>IF(AND(Machine!B67&gt;0,SUM(Machine!B64:B66)&gt;0, Machine!B64+Machine!B67&gt;1),"ERROR"," ")</f>
        <v xml:space="preserve"> </v>
      </c>
      <c r="C39" s="906" t="s">
        <v>606</v>
      </c>
      <c r="D39" s="906"/>
    </row>
    <row r="40" spans="2:4" ht="12.75" customHeight="1" x14ac:dyDescent="0.4">
      <c r="B40" s="910" t="str">
        <f>IF(AND(Machine!B67&gt;0,SUM(Machine!B64:B66)&gt;0,Machine!B64+Machine!B67&gt;1),"Cotton Machinery Not Consistent"," ")</f>
        <v xml:space="preserve"> </v>
      </c>
      <c r="C40" s="906" t="s">
        <v>607</v>
      </c>
      <c r="D40" s="906"/>
    </row>
    <row r="41" spans="2:4" ht="12.75" customHeight="1" x14ac:dyDescent="0.4">
      <c r="B41" s="800"/>
      <c r="C41" s="507"/>
      <c r="D41" s="507"/>
    </row>
    <row r="42" spans="2:4" ht="12.75" customHeight="1" x14ac:dyDescent="0.4">
      <c r="B42" s="911" t="s">
        <v>596</v>
      </c>
      <c r="C42" s="911"/>
      <c r="D42" s="911"/>
    </row>
    <row r="43" spans="2:4" ht="12.75" customHeight="1" x14ac:dyDescent="0.4">
      <c r="B43" s="912" t="str">
        <f>Program_Variables!B61</f>
        <v>Note 2: Estimate based on machinery and equipment.</v>
      </c>
      <c r="C43" s="913"/>
      <c r="D43" s="913"/>
    </row>
    <row r="44" spans="2:4" ht="12.75" customHeight="1" x14ac:dyDescent="0.4">
      <c r="B44" s="914" t="str">
        <f>Program_Variables!B63</f>
        <v>Note 2: Estimate based on machinery and equipment plus annualized value of established crop.</v>
      </c>
      <c r="C44" s="911"/>
      <c r="D44" s="911"/>
    </row>
    <row r="45" spans="2:4" ht="12.75" customHeight="1" x14ac:dyDescent="0.4">
      <c r="B45" s="915" t="str">
        <f>IF(AND(A2_Budget_Look_Up!B14&gt;0,Program_Variables!C50&gt;0),'C1_Messages_Indicators'!B44,'C1_Messages_Indicators'!B43)</f>
        <v>Note 2: Estimate based on machinery and equipment.</v>
      </c>
      <c r="C45" s="916"/>
      <c r="D45" s="916"/>
    </row>
    <row r="46" spans="2:4" ht="12.75" customHeight="1" x14ac:dyDescent="0.4">
      <c r="B46" s="507"/>
      <c r="C46" s="507"/>
      <c r="D46" s="507"/>
    </row>
    <row r="47" spans="2:4" ht="12.75" customHeight="1" x14ac:dyDescent="0.4">
      <c r="B47" s="687"/>
      <c r="C47" s="688"/>
      <c r="D47" s="688"/>
    </row>
    <row r="48" spans="2:4" ht="12.75" customHeight="1" x14ac:dyDescent="0.4">
      <c r="B48" s="689" t="s">
        <v>468</v>
      </c>
      <c r="C48" s="507"/>
      <c r="D48" s="507"/>
    </row>
    <row r="49" spans="2:4" ht="12.75" customHeight="1" x14ac:dyDescent="0.4">
      <c r="B49" s="687" t="str">
        <f>IF(SUM(EquipmentSpecs!M14:M81)&gt;0,"ERROR, Years Must be between 1 and 20"," ")</f>
        <v xml:space="preserve"> </v>
      </c>
      <c r="C49" s="688"/>
      <c r="D49" s="688"/>
    </row>
    <row r="50" spans="2:4" ht="12.75" customHeight="1" x14ac:dyDescent="0.4">
      <c r="B50" s="690" t="str">
        <f>IF(SUM(EquipmentSpecs!BD14:BD81)&gt;0,"ERROR, Years Must be between 1 and 20"," ")</f>
        <v xml:space="preserve"> </v>
      </c>
      <c r="C50" s="691"/>
      <c r="D50" s="691"/>
    </row>
    <row r="51" spans="2:4" ht="12.75" customHeight="1" x14ac:dyDescent="0.4">
      <c r="B51" s="689" t="s">
        <v>458</v>
      </c>
      <c r="C51" s="507"/>
      <c r="D51" s="507" t="s">
        <v>458</v>
      </c>
    </row>
    <row r="52" spans="2:4" ht="12.75" customHeight="1" x14ac:dyDescent="0.4">
      <c r="B52" s="689" t="s">
        <v>459</v>
      </c>
      <c r="C52" s="507"/>
      <c r="D52" s="507" t="s">
        <v>459</v>
      </c>
    </row>
    <row r="53" spans="2:4" ht="12.75" customHeight="1" x14ac:dyDescent="0.4">
      <c r="B53" s="689" t="s">
        <v>460</v>
      </c>
      <c r="C53" s="507"/>
      <c r="D53" s="507" t="s">
        <v>461</v>
      </c>
    </row>
    <row r="54" spans="2:4" ht="12.75" customHeight="1" x14ac:dyDescent="0.4">
      <c r="B54" s="684"/>
      <c r="C54" s="507"/>
      <c r="D54" s="684"/>
    </row>
    <row r="55" spans="2:4" ht="12.75" customHeight="1" x14ac:dyDescent="0.4">
      <c r="B55" s="690"/>
      <c r="C55" s="691"/>
      <c r="D55" s="691"/>
    </row>
    <row r="56" spans="2:4" ht="12.75" customHeight="1" x14ac:dyDescent="0.4">
      <c r="B56" s="507"/>
      <c r="C56" s="507"/>
      <c r="D56" s="507"/>
    </row>
    <row r="57" spans="2:4" ht="12.75" customHeight="1" x14ac:dyDescent="0.4">
      <c r="B57" s="507"/>
      <c r="C57" s="507"/>
      <c r="D57" s="507"/>
    </row>
    <row r="58" spans="2:4" ht="12.75" customHeight="1" x14ac:dyDescent="0.4">
      <c r="B58" s="685" t="s">
        <v>678</v>
      </c>
      <c r="C58" s="510"/>
      <c r="D58" s="510"/>
    </row>
    <row r="59" spans="2:4" ht="12.75" customHeight="1" x14ac:dyDescent="0.4">
      <c r="B59" s="1077" t="str">
        <f>IF(SUM(A5_Chem_Look_Up!H6:H61)=SUM(A5_Chem_Look_Up!Q6:Q3099),"Lookup OK ","Lookup Error")</f>
        <v xml:space="preserve">Lookup OK </v>
      </c>
      <c r="C59" s="691"/>
      <c r="D59" s="691"/>
    </row>
    <row r="60" spans="2:4" ht="12.75" customHeight="1" x14ac:dyDescent="0.4">
      <c r="B60" s="507"/>
      <c r="C60" s="507"/>
      <c r="D60" s="507"/>
    </row>
    <row r="61" spans="2:4" ht="12.75" customHeight="1" x14ac:dyDescent="0.4">
      <c r="B61" s="685" t="s">
        <v>710</v>
      </c>
      <c r="C61" s="510"/>
      <c r="D61" s="510"/>
    </row>
    <row r="62" spans="2:4" ht="12.75" customHeight="1" x14ac:dyDescent="0.4">
      <c r="B62" s="1077" t="str">
        <f>IF(SUM(A6_Machine_Look_Up!M14:M81)=SUM(A6_Machine_Look_Up!AA14:AA303),"Lookup OK ","Lookup Error")</f>
        <v xml:space="preserve">Lookup OK </v>
      </c>
      <c r="C62" s="691"/>
      <c r="D62" s="69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84"/>
  <sheetViews>
    <sheetView topLeftCell="A36" workbookViewId="0">
      <selection activeCell="K69" sqref="K69"/>
    </sheetView>
  </sheetViews>
  <sheetFormatPr defaultRowHeight="12.75" x14ac:dyDescent="0.35"/>
  <cols>
    <col min="1" max="1" width="19.73046875" customWidth="1"/>
    <col min="2" max="5" width="10.73046875" customWidth="1"/>
    <col min="6" max="6" width="12.3984375" customWidth="1"/>
    <col min="7" max="7" width="10.73046875" customWidth="1"/>
    <col min="8" max="8" width="9.73046875" customWidth="1"/>
    <col min="9" max="9" width="9.1328125" customWidth="1"/>
    <col min="10" max="10" width="3.73046875" customWidth="1"/>
    <col min="12" max="13" width="7.3984375" customWidth="1"/>
    <col min="14" max="14" width="0.86328125" customWidth="1"/>
    <col min="15" max="15" width="6.73046875" customWidth="1"/>
    <col min="16" max="16" width="9.1328125" customWidth="1"/>
    <col min="18" max="18" width="11.73046875" bestFit="1" customWidth="1"/>
    <col min="19" max="21" width="10.73046875" customWidth="1"/>
  </cols>
  <sheetData>
    <row r="1" spans="1:13" ht="13.15" x14ac:dyDescent="0.4">
      <c r="A1" s="323" t="s">
        <v>7</v>
      </c>
      <c r="B1" s="280"/>
      <c r="C1" s="280"/>
      <c r="D1" s="280"/>
      <c r="E1" s="280"/>
      <c r="F1" s="280"/>
      <c r="G1" s="280"/>
      <c r="H1" s="280"/>
      <c r="I1" s="281"/>
      <c r="J1" s="301"/>
      <c r="K1" s="388"/>
      <c r="L1" s="301"/>
      <c r="M1" s="301"/>
    </row>
    <row r="2" spans="1:13" x14ac:dyDescent="0.35">
      <c r="A2" s="324"/>
      <c r="B2" s="282"/>
      <c r="C2" s="282"/>
      <c r="D2" s="282"/>
      <c r="E2" s="283" t="s">
        <v>244</v>
      </c>
      <c r="F2" s="283" t="s">
        <v>244</v>
      </c>
      <c r="G2" s="283" t="s">
        <v>32</v>
      </c>
      <c r="H2" s="282"/>
      <c r="I2" s="284"/>
      <c r="J2" s="301"/>
      <c r="K2" s="825" t="s">
        <v>574</v>
      </c>
      <c r="L2" s="826" t="s">
        <v>243</v>
      </c>
      <c r="M2" s="827" t="s">
        <v>314</v>
      </c>
    </row>
    <row r="3" spans="1:13" x14ac:dyDescent="0.35">
      <c r="A3" s="325" t="s">
        <v>93</v>
      </c>
      <c r="B3" s="285" t="s">
        <v>116</v>
      </c>
      <c r="C3" s="285" t="s">
        <v>117</v>
      </c>
      <c r="D3" s="285" t="s">
        <v>118</v>
      </c>
      <c r="E3" s="285" t="s">
        <v>245</v>
      </c>
      <c r="F3" s="285" t="s">
        <v>31</v>
      </c>
      <c r="G3" s="285" t="s">
        <v>302</v>
      </c>
      <c r="H3" s="285" t="s">
        <v>119</v>
      </c>
      <c r="I3" s="284"/>
      <c r="J3" s="301"/>
      <c r="K3" s="327" t="s">
        <v>575</v>
      </c>
      <c r="L3" s="283" t="s">
        <v>314</v>
      </c>
      <c r="M3" s="828" t="s">
        <v>573</v>
      </c>
    </row>
    <row r="4" spans="1:13" x14ac:dyDescent="0.35">
      <c r="A4" s="297" t="s">
        <v>277</v>
      </c>
      <c r="B4" s="287">
        <f>IF(Irrigation!B2&lt;3,H12*Irrigation!I4,0)</f>
        <v>0</v>
      </c>
      <c r="C4" s="962">
        <f>Irrigation!J4</f>
        <v>40</v>
      </c>
      <c r="D4" s="965">
        <v>0</v>
      </c>
      <c r="E4" s="808">
        <f>Z1_Equipment_Calculations!$I$8</f>
        <v>0.09</v>
      </c>
      <c r="F4" s="809">
        <f t="shared" ref="F4:F9" si="0">(E4*(1+E4)^C4)/((1+E4)^C4-1)</f>
        <v>9.2959609221097042E-2</v>
      </c>
      <c r="G4" s="797">
        <f>160*12</f>
        <v>1920</v>
      </c>
      <c r="H4" s="288">
        <f>((B4*F4)/G4)*12</f>
        <v>0</v>
      </c>
      <c r="I4" s="284"/>
      <c r="J4" s="301"/>
      <c r="K4" s="819">
        <f>((B4*M4)/G4)*Irrigation!L4</f>
        <v>0</v>
      </c>
      <c r="L4" s="814">
        <v>0</v>
      </c>
      <c r="M4" s="822">
        <f>L4*IF(Irrigation!M4&gt;0,1,0)</f>
        <v>0</v>
      </c>
    </row>
    <row r="5" spans="1:13" x14ac:dyDescent="0.35">
      <c r="A5" s="297" t="s">
        <v>273</v>
      </c>
      <c r="B5" s="287">
        <f>IF(Irrigation!B2&lt;3,A12*Irrigation!I5,0)</f>
        <v>16500</v>
      </c>
      <c r="C5" s="962">
        <f>Irrigation!J5</f>
        <v>40</v>
      </c>
      <c r="D5" s="965">
        <v>0</v>
      </c>
      <c r="E5" s="808">
        <f>Z1_Equipment_Calculations!$I$8</f>
        <v>0.09</v>
      </c>
      <c r="F5" s="809">
        <f t="shared" si="0"/>
        <v>9.2959609221097042E-2</v>
      </c>
      <c r="G5" s="797">
        <f>160*12</f>
        <v>1920</v>
      </c>
      <c r="H5" s="288">
        <f>((B5*F5)/G5)*12</f>
        <v>9.5864597009256336</v>
      </c>
      <c r="I5" s="284"/>
      <c r="J5" s="301"/>
      <c r="K5" s="820">
        <f>((B5*M5)/G5)*Irrigation!L5</f>
        <v>0</v>
      </c>
      <c r="L5" s="815">
        <v>5.0000000000000001E-3</v>
      </c>
      <c r="M5" s="823">
        <f>L5*IF(Irrigation!M5&gt;0,1,0)</f>
        <v>0</v>
      </c>
    </row>
    <row r="6" spans="1:13" x14ac:dyDescent="0.35">
      <c r="A6" s="297" t="s">
        <v>272</v>
      </c>
      <c r="B6" s="287">
        <f>IF(Irrigation!B2&lt;3,B12*Irrigation!I6,0)</f>
        <v>19000</v>
      </c>
      <c r="C6" s="962">
        <f>Irrigation!J6</f>
        <v>15</v>
      </c>
      <c r="D6" s="965">
        <v>0</v>
      </c>
      <c r="E6" s="808">
        <f>Z1_Equipment_Calculations!$I$8</f>
        <v>0.09</v>
      </c>
      <c r="F6" s="809">
        <f t="shared" si="0"/>
        <v>0.12405888265031004</v>
      </c>
      <c r="G6" s="797">
        <f>IF(Irrigation!$B$2=2,Irrigation!$J$15,Irrigation!$J$14)*IF(Irrigation!$B$2=2,Irrigation!$I$15,Irrigation!$I$14)</f>
        <v>1920</v>
      </c>
      <c r="H6" s="288">
        <f>((B6*F6)/G6)*Budget!$D$29</f>
        <v>12.276660262270266</v>
      </c>
      <c r="I6" s="284"/>
      <c r="J6" s="301"/>
      <c r="K6" s="820">
        <f>((B6*M6)/G6)*Irrigation!L6</f>
        <v>0.19791666666666666</v>
      </c>
      <c r="L6" s="815">
        <v>0.02</v>
      </c>
      <c r="M6" s="823">
        <f>L6*IF(Irrigation!M6&gt;0,1,0)</f>
        <v>0.02</v>
      </c>
    </row>
    <row r="7" spans="1:13" x14ac:dyDescent="0.35">
      <c r="A7" s="297" t="s">
        <v>142</v>
      </c>
      <c r="B7" s="289">
        <f>IF(Irrigation!B2=1,C12*Irrigation!I7,0)</f>
        <v>17155</v>
      </c>
      <c r="C7" s="962">
        <f>Irrigation!J7</f>
        <v>15</v>
      </c>
      <c r="D7" s="965">
        <v>0</v>
      </c>
      <c r="E7" s="808">
        <f>Z1_Equipment_Calculations!$I$8</f>
        <v>0.09</v>
      </c>
      <c r="F7" s="809">
        <f t="shared" si="0"/>
        <v>0.12405888265031004</v>
      </c>
      <c r="G7" s="797">
        <f>IF(Irrigation!$B$2=2,Irrigation!$J$15,Irrigation!$J$14)*IF(Irrigation!$B$2=2,Irrigation!$I$15,Irrigation!$I$14)</f>
        <v>1920</v>
      </c>
      <c r="H7" s="288">
        <f>((B7*F7)/G7)*Budget!$D$29</f>
        <v>11.084531936802442</v>
      </c>
      <c r="I7" s="284"/>
      <c r="J7" s="301"/>
      <c r="K7" s="820">
        <f>((B7*M7)/G7)*Irrigation!L7</f>
        <v>0.17869791666666668</v>
      </c>
      <c r="L7" s="815">
        <v>0.02</v>
      </c>
      <c r="M7" s="823">
        <f>L7*IF(Irrigation!M7&gt;0,1,0)</f>
        <v>0.02</v>
      </c>
    </row>
    <row r="8" spans="1:13" ht="13.9" x14ac:dyDescent="0.4">
      <c r="A8" s="297" t="s">
        <v>141</v>
      </c>
      <c r="B8" s="287">
        <f>IF(Irrigation!B2=2,(D12+F12)*Irrigation!I8,0)</f>
        <v>0</v>
      </c>
      <c r="C8" s="962">
        <f>Irrigation!J8</f>
        <v>15</v>
      </c>
      <c r="D8" s="965">
        <v>0</v>
      </c>
      <c r="E8" s="808">
        <f>Z1_Equipment_Calculations!$I$8</f>
        <v>0.09</v>
      </c>
      <c r="F8" s="809">
        <f t="shared" si="0"/>
        <v>0.12405888265031004</v>
      </c>
      <c r="G8" s="797">
        <f>IF(Irrigation!$B$2=2,Irrigation!$J$15,Irrigation!$J$14)*IF(Irrigation!$B$2=2,Irrigation!$I$15,Irrigation!$I$14)</f>
        <v>1920</v>
      </c>
      <c r="H8" s="288">
        <f>((B8*F8)/G8)*Budget!$D$29</f>
        <v>0</v>
      </c>
      <c r="I8" s="284"/>
      <c r="J8" s="842"/>
      <c r="K8" s="820">
        <f>((B8*M8)/G8)*Irrigation!L8</f>
        <v>0</v>
      </c>
      <c r="L8" s="815">
        <v>0.02</v>
      </c>
      <c r="M8" s="823">
        <f>L8*IF(Irrigation!M8&gt;0,1,0)</f>
        <v>0.02</v>
      </c>
    </row>
    <row r="9" spans="1:13" ht="13.9" x14ac:dyDescent="0.4">
      <c r="A9" s="297" t="s">
        <v>143</v>
      </c>
      <c r="B9" s="287">
        <f>IF(Irrigation!B2=2,D14*Irrigation!I9,0)</f>
        <v>0</v>
      </c>
      <c r="C9" s="962">
        <f>Irrigation!J9</f>
        <v>20</v>
      </c>
      <c r="D9" s="965">
        <v>0</v>
      </c>
      <c r="E9" s="808">
        <f>Z1_Equipment_Calculations!$I$8</f>
        <v>0.09</v>
      </c>
      <c r="F9" s="809">
        <f t="shared" si="0"/>
        <v>0.10954647500822921</v>
      </c>
      <c r="G9" s="797">
        <f>IF(Irrigation!$B$2=2,Irrigation!$J$15,Irrigation!$J$14)*IF(Irrigation!$B$2=2,Irrigation!$I$15,Irrigation!$I$14)</f>
        <v>1920</v>
      </c>
      <c r="H9" s="288">
        <f>((B9*F9)/G9)*Budget!$D$29</f>
        <v>0</v>
      </c>
      <c r="I9" s="284"/>
      <c r="J9" s="842"/>
      <c r="K9" s="821">
        <f>((B9*M9)/G9)*Irrigation!L9</f>
        <v>0</v>
      </c>
      <c r="L9" s="816">
        <v>0.01</v>
      </c>
      <c r="M9" s="824">
        <f>L9*IF(Irrigation!M9&gt;0,1,0)</f>
        <v>0.01</v>
      </c>
    </row>
    <row r="10" spans="1:13" ht="13.9" x14ac:dyDescent="0.4">
      <c r="A10" s="326" t="s">
        <v>22</v>
      </c>
      <c r="B10" s="290"/>
      <c r="C10" s="290"/>
      <c r="D10" s="290"/>
      <c r="E10" s="290"/>
      <c r="F10" s="290"/>
      <c r="G10" s="290"/>
      <c r="H10" s="291">
        <f>SUM(H5:H9)</f>
        <v>32.947651899998341</v>
      </c>
      <c r="I10" s="292"/>
      <c r="J10" s="842"/>
      <c r="K10" s="829">
        <f>SUM(K4:K9)</f>
        <v>0.37661458333333331</v>
      </c>
      <c r="L10" s="830"/>
      <c r="M10" s="831"/>
    </row>
    <row r="11" spans="1:13" ht="13.9" x14ac:dyDescent="0.4">
      <c r="A11" s="296" t="s">
        <v>273</v>
      </c>
      <c r="B11" s="293" t="s">
        <v>272</v>
      </c>
      <c r="C11" s="283" t="s">
        <v>144</v>
      </c>
      <c r="D11" s="283" t="s">
        <v>211</v>
      </c>
      <c r="E11" s="294"/>
      <c r="F11" s="283" t="s">
        <v>284</v>
      </c>
      <c r="G11" s="282"/>
      <c r="H11" s="286" t="s">
        <v>277</v>
      </c>
      <c r="I11" s="284"/>
      <c r="J11" s="842"/>
      <c r="K11" s="843"/>
      <c r="L11" s="842"/>
      <c r="M11" s="842"/>
    </row>
    <row r="12" spans="1:13" ht="13.9" x14ac:dyDescent="0.4">
      <c r="A12" s="968">
        <f>IF(Irrigation!B20=1,Irrigation!E9,0)</f>
        <v>16500</v>
      </c>
      <c r="B12" s="969">
        <f>IF(Irrigation!B20=1,Irrigation!E10,Irrigation!E11)</f>
        <v>19000</v>
      </c>
      <c r="C12" s="970">
        <f>IF(Irrigation!B2=1,IF(OR(Irrigation!B7=1,Irrigation!B7&gt;3),Irrigation!E12,0),0)</f>
        <v>17155</v>
      </c>
      <c r="D12" s="970">
        <f>IF(Irrigation!B2=2,IF(OR(Irrigation!B7=1,Irrigation!B7&gt;3),Irrigation!E13,0),0)</f>
        <v>0</v>
      </c>
      <c r="E12" s="282"/>
      <c r="F12" s="970">
        <f>IF(Irrigation!B2=2,IF(OR(Irrigation!B7=1,Irrigation!B7&gt;3),Irrigation!E16,0),0)</f>
        <v>0</v>
      </c>
      <c r="G12" s="282"/>
      <c r="H12" s="970">
        <f>IF(AND(Irrigation!B2&lt;3,'C1_Messages_Indicators'!D34=2),Irrigation!E14,0)</f>
        <v>0</v>
      </c>
      <c r="I12" s="284"/>
      <c r="J12" s="842"/>
      <c r="K12" s="843"/>
      <c r="L12" s="842"/>
      <c r="M12" s="842"/>
    </row>
    <row r="13" spans="1:13" ht="13.9" x14ac:dyDescent="0.4">
      <c r="A13" s="327" t="s">
        <v>120</v>
      </c>
      <c r="B13" s="282"/>
      <c r="C13" s="295" t="s">
        <v>121</v>
      </c>
      <c r="D13" s="283" t="s">
        <v>122</v>
      </c>
      <c r="E13" s="286"/>
      <c r="F13" s="282"/>
      <c r="G13" s="282"/>
      <c r="H13" s="282"/>
      <c r="I13" s="284"/>
      <c r="J13" s="842"/>
      <c r="K13" s="843"/>
      <c r="L13" s="842"/>
      <c r="M13" s="842"/>
    </row>
    <row r="14" spans="1:13" ht="13.9" x14ac:dyDescent="0.4">
      <c r="A14" s="968">
        <f>Irrigation!D6</f>
        <v>1320</v>
      </c>
      <c r="B14" s="282"/>
      <c r="C14" s="971">
        <f>Irrigation!E15</f>
        <v>50.45</v>
      </c>
      <c r="D14" s="970">
        <f>A14*C14</f>
        <v>66594</v>
      </c>
      <c r="E14" s="286"/>
      <c r="F14" s="282"/>
      <c r="G14" s="282"/>
      <c r="H14" s="282"/>
      <c r="I14" s="284"/>
      <c r="J14" s="842"/>
      <c r="K14" s="844"/>
      <c r="L14" s="842"/>
      <c r="M14" s="842"/>
    </row>
    <row r="15" spans="1:13" x14ac:dyDescent="0.35">
      <c r="A15" s="297"/>
      <c r="B15" s="282"/>
      <c r="C15" s="282"/>
      <c r="D15" s="282"/>
      <c r="E15" s="282"/>
      <c r="F15" s="282"/>
      <c r="G15" s="282"/>
      <c r="H15" s="282"/>
      <c r="I15" s="284"/>
      <c r="J15" s="301"/>
      <c r="K15" s="825" t="s">
        <v>574</v>
      </c>
      <c r="L15" s="826" t="s">
        <v>243</v>
      </c>
      <c r="M15" s="827" t="s">
        <v>314</v>
      </c>
    </row>
    <row r="16" spans="1:13" x14ac:dyDescent="0.35">
      <c r="A16" s="328"/>
      <c r="B16" s="298"/>
      <c r="C16" s="290"/>
      <c r="D16" s="290"/>
      <c r="E16" s="290"/>
      <c r="F16" s="290"/>
      <c r="G16" s="290"/>
      <c r="H16" s="290"/>
      <c r="I16" s="292"/>
      <c r="J16" s="301"/>
      <c r="K16" s="327" t="s">
        <v>575</v>
      </c>
      <c r="L16" s="283" t="s">
        <v>314</v>
      </c>
      <c r="M16" s="828" t="s">
        <v>573</v>
      </c>
    </row>
    <row r="17" spans="1:13" x14ac:dyDescent="0.35">
      <c r="A17" s="562" t="s">
        <v>453</v>
      </c>
      <c r="B17" s="563">
        <f>Irrigation!E31</f>
        <v>0</v>
      </c>
      <c r="C17" s="963">
        <f>Irrigation!F31</f>
        <v>0</v>
      </c>
      <c r="D17" s="817">
        <v>0</v>
      </c>
      <c r="E17" s="810">
        <f>Z1_Equipment_Calculations!$I$8</f>
        <v>0.09</v>
      </c>
      <c r="F17" s="811">
        <f>IF(C17&gt;0,(E17*(1+E17)^C17)/((1+E17)^C17-1),0)</f>
        <v>0</v>
      </c>
      <c r="G17" s="798">
        <f>IF(Irrigation!$B$2=2,Irrigation!$J$15,Irrigation!$J$14)*IF(Irrigation!$B$2=2,Irrigation!$I$15,Irrigation!$I$14)</f>
        <v>1920</v>
      </c>
      <c r="H17" s="564">
        <f>((B17*F17)/G17)*Budget!$D$29</f>
        <v>0</v>
      </c>
      <c r="I17" s="281"/>
      <c r="J17" s="301"/>
      <c r="K17" s="819">
        <f>(B17*M17)/G17</f>
        <v>0</v>
      </c>
      <c r="L17" s="817">
        <v>0.01</v>
      </c>
      <c r="M17" s="822">
        <f>L17*IF(Irrigation!G31&gt;0,1,0)</f>
        <v>0</v>
      </c>
    </row>
    <row r="18" spans="1:13" x14ac:dyDescent="0.35">
      <c r="A18" s="565" t="s">
        <v>453</v>
      </c>
      <c r="B18" s="566">
        <f>Irrigation!E32</f>
        <v>0</v>
      </c>
      <c r="C18" s="964">
        <f>Irrigation!F32</f>
        <v>0</v>
      </c>
      <c r="D18" s="818">
        <v>0</v>
      </c>
      <c r="E18" s="812">
        <f>Z1_Equipment_Calculations!$I$8</f>
        <v>0.09</v>
      </c>
      <c r="F18" s="813">
        <f>IF(C18&gt;0,(E18*(1+E18)^C18)/((1+E18)^C18-1),0)</f>
        <v>0</v>
      </c>
      <c r="G18" s="799">
        <f>IF(Irrigation!$B$2=2,Irrigation!$J$15,Irrigation!$J$14)*IF(Irrigation!$B$2=2,Irrigation!$I$15,Irrigation!$I$14)</f>
        <v>1920</v>
      </c>
      <c r="H18" s="567">
        <f>((B18*F18)/G18)*Budget!$D$29</f>
        <v>0</v>
      </c>
      <c r="I18" s="292"/>
      <c r="J18" s="301"/>
      <c r="K18" s="821">
        <f>(B18*M18)/G18</f>
        <v>0</v>
      </c>
      <c r="L18" s="818">
        <v>0.01</v>
      </c>
      <c r="M18" s="824">
        <f>L18*IF(Irrigation!G32&gt;0,1,0)</f>
        <v>0</v>
      </c>
    </row>
    <row r="19" spans="1:13" ht="13.15" x14ac:dyDescent="0.4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829">
        <f>SUM(K17:K18)</f>
        <v>0</v>
      </c>
      <c r="L19" s="832"/>
      <c r="M19" s="833"/>
    </row>
    <row r="20" spans="1:13" ht="13.15" x14ac:dyDescent="0.4">
      <c r="A20" s="705"/>
      <c r="B20" s="385" t="s">
        <v>95</v>
      </c>
      <c r="C20" s="386" t="s">
        <v>96</v>
      </c>
      <c r="D20" s="386" t="s">
        <v>97</v>
      </c>
      <c r="E20" s="386" t="s">
        <v>98</v>
      </c>
      <c r="F20" s="386" t="s">
        <v>99</v>
      </c>
      <c r="G20" s="386" t="s">
        <v>100</v>
      </c>
      <c r="H20" s="301"/>
      <c r="I20" s="301"/>
      <c r="J20" s="300"/>
      <c r="K20" s="301"/>
      <c r="L20" s="301"/>
      <c r="M20" s="301"/>
    </row>
    <row r="21" spans="1:13" x14ac:dyDescent="0.35">
      <c r="A21" s="384" t="s">
        <v>101</v>
      </c>
      <c r="B21" s="694">
        <f t="shared" ref="B21:G21" si="1">$D$38</f>
        <v>124.62</v>
      </c>
      <c r="C21" s="694">
        <f t="shared" si="1"/>
        <v>124.62</v>
      </c>
      <c r="D21" s="694">
        <f t="shared" si="1"/>
        <v>124.62</v>
      </c>
      <c r="E21" s="694">
        <f t="shared" si="1"/>
        <v>124.62</v>
      </c>
      <c r="F21" s="694">
        <f t="shared" si="1"/>
        <v>124.62</v>
      </c>
      <c r="G21" s="694">
        <f t="shared" si="1"/>
        <v>124.62</v>
      </c>
      <c r="H21" s="300" t="s">
        <v>102</v>
      </c>
      <c r="I21" s="301"/>
      <c r="J21" s="301"/>
      <c r="K21" s="301"/>
      <c r="L21" s="301"/>
      <c r="M21" s="301"/>
    </row>
    <row r="22" spans="1:13" x14ac:dyDescent="0.35">
      <c r="A22" s="384" t="s">
        <v>103</v>
      </c>
      <c r="B22" s="796">
        <f>Irrigation!B14</f>
        <v>2.46</v>
      </c>
      <c r="C22" s="796">
        <f>Irrigation!B15</f>
        <v>1.3299999999999999E-2</v>
      </c>
      <c r="D22" s="796">
        <f>Irrigation!B15</f>
        <v>1.3299999999999999E-2</v>
      </c>
      <c r="E22" s="796">
        <f>Irrigation!B16</f>
        <v>0.74</v>
      </c>
      <c r="F22" s="796">
        <f>Irrigation!B17</f>
        <v>1.6</v>
      </c>
      <c r="G22" s="796">
        <f>Irrigation!B18</f>
        <v>2.6</v>
      </c>
      <c r="H22" s="300" t="s">
        <v>104</v>
      </c>
      <c r="I22" s="301"/>
      <c r="J22" s="301"/>
      <c r="K22" s="301"/>
      <c r="L22" s="301"/>
      <c r="M22" s="301"/>
    </row>
    <row r="23" spans="1:13" x14ac:dyDescent="0.35">
      <c r="A23" s="384" t="s">
        <v>105</v>
      </c>
      <c r="B23" s="966">
        <v>18</v>
      </c>
      <c r="C23" s="966">
        <v>1.1499999999999999</v>
      </c>
      <c r="D23" s="966">
        <v>1.05</v>
      </c>
      <c r="E23" s="966">
        <v>10</v>
      </c>
      <c r="F23" s="966">
        <v>11</v>
      </c>
      <c r="G23" s="966">
        <v>12</v>
      </c>
      <c r="H23" s="300" t="s">
        <v>106</v>
      </c>
      <c r="I23" s="301"/>
      <c r="J23" s="301"/>
      <c r="K23" s="300"/>
      <c r="L23" s="841"/>
      <c r="M23" s="301"/>
    </row>
    <row r="24" spans="1:13" x14ac:dyDescent="0.35">
      <c r="A24" s="384" t="s">
        <v>107</v>
      </c>
      <c r="B24" s="967">
        <v>0.7</v>
      </c>
      <c r="C24" s="967">
        <v>0.7</v>
      </c>
      <c r="D24" s="967">
        <v>0.7</v>
      </c>
      <c r="E24" s="967">
        <v>0.7</v>
      </c>
      <c r="F24" s="967">
        <v>0.7</v>
      </c>
      <c r="G24" s="967">
        <v>0.7</v>
      </c>
      <c r="H24" s="300"/>
      <c r="I24" s="301"/>
      <c r="J24" s="301"/>
      <c r="K24" s="958" t="s">
        <v>620</v>
      </c>
      <c r="L24" s="959"/>
      <c r="M24" s="301"/>
    </row>
    <row r="25" spans="1:13" ht="13.15" x14ac:dyDescent="0.4">
      <c r="A25" s="384" t="s">
        <v>108</v>
      </c>
      <c r="B25" s="967">
        <v>0.95</v>
      </c>
      <c r="C25" s="967">
        <v>1</v>
      </c>
      <c r="D25" s="966"/>
      <c r="E25" s="967">
        <v>0.95</v>
      </c>
      <c r="F25" s="967">
        <v>0.95</v>
      </c>
      <c r="G25" s="967">
        <v>0.95</v>
      </c>
      <c r="H25" s="300"/>
      <c r="I25" s="388" t="s">
        <v>283</v>
      </c>
      <c r="J25" s="301"/>
      <c r="K25" s="960" t="s">
        <v>45</v>
      </c>
      <c r="L25" s="961" t="s">
        <v>49</v>
      </c>
      <c r="M25" s="301"/>
    </row>
    <row r="26" spans="1:13" x14ac:dyDescent="0.35">
      <c r="A26" s="706" t="s">
        <v>109</v>
      </c>
      <c r="B26" s="695">
        <f>B22*((0.11345/(B23*B24*B25))*B21)</f>
        <v>2.9055824511278194</v>
      </c>
      <c r="C26" s="696">
        <f>C22*((0.11345/(C23*C24*C25))*C21)</f>
        <v>0.23358664434782608</v>
      </c>
      <c r="D26" s="696">
        <f>D22*((0.11345/(D23*D24))*D21)</f>
        <v>0.25583299142857141</v>
      </c>
      <c r="E26" s="696">
        <f>E22*((0.11345/(E23*E24*E25))*E21)</f>
        <v>1.5732665954887219</v>
      </c>
      <c r="F26" s="696">
        <f>F22*((0.11345/(F23*F24*F25))*F21)</f>
        <v>3.0924159125085446</v>
      </c>
      <c r="G26" s="696">
        <f>G22*((0.11345/(G23*G24*G25))*G21)</f>
        <v>4.6064112030075197</v>
      </c>
      <c r="H26" s="697" t="s">
        <v>110</v>
      </c>
      <c r="I26" s="387">
        <f>SUM(B34:G34)</f>
        <v>2.9055824511278194</v>
      </c>
      <c r="J26" s="301"/>
      <c r="K26" s="956">
        <f>((B5/Program_Variables!E53)*Program_Variables!C53)+((B6/Program_Variables!E54)*Program_Variables!C54)+((B7/Program_Variables!E55)*Program_Variables!C55)+((B8/Program_Variables!E55)*Program_Variables!C55)+((B9/Program_Variables!E56)*Program_Variables!C56*Irrigation!I22)</f>
        <v>85.775000000000006</v>
      </c>
      <c r="L26" s="957">
        <f>K26/IF(Irrigation!B2=2,Irrigation!I15,Irrigation!I14)</f>
        <v>0.53609375000000004</v>
      </c>
      <c r="M26" s="301"/>
    </row>
    <row r="27" spans="1:13" x14ac:dyDescent="0.35">
      <c r="A27" s="706" t="s">
        <v>109</v>
      </c>
      <c r="B27" s="695">
        <f>B26*Budget!D29</f>
        <v>29.055824511278196</v>
      </c>
      <c r="C27" s="696">
        <f>C26*Budget!D29</f>
        <v>2.335866443478261</v>
      </c>
      <c r="D27" s="696">
        <f>D26*Budget!D29</f>
        <v>2.5583299142857143</v>
      </c>
      <c r="E27" s="696">
        <f>E26*Budget!D29</f>
        <v>15.732665954887219</v>
      </c>
      <c r="F27" s="696">
        <f>F26*Budget!D29</f>
        <v>30.924159125085446</v>
      </c>
      <c r="G27" s="696">
        <f>G26*Budget!D29</f>
        <v>46.064112030075194</v>
      </c>
      <c r="H27" s="697" t="s">
        <v>290</v>
      </c>
      <c r="I27" s="306"/>
      <c r="J27" s="301"/>
      <c r="K27" s="301"/>
      <c r="L27" s="301"/>
      <c r="M27" s="301"/>
    </row>
    <row r="28" spans="1:13" x14ac:dyDescent="0.35">
      <c r="A28" s="707" t="s">
        <v>111</v>
      </c>
      <c r="B28" s="731">
        <v>0.1</v>
      </c>
      <c r="C28" s="732">
        <v>0.03</v>
      </c>
      <c r="D28" s="732">
        <v>7.0000000000000007E-2</v>
      </c>
      <c r="E28" s="732">
        <v>0.12</v>
      </c>
      <c r="F28" s="732">
        <v>0.12</v>
      </c>
      <c r="G28" s="807">
        <v>0.15</v>
      </c>
      <c r="H28" s="300"/>
      <c r="I28" s="302"/>
      <c r="J28" s="301"/>
      <c r="K28" s="301"/>
      <c r="L28" s="301"/>
      <c r="M28" s="301"/>
    </row>
    <row r="29" spans="1:13" x14ac:dyDescent="0.35">
      <c r="A29" s="708" t="s">
        <v>288</v>
      </c>
      <c r="B29" s="288">
        <f t="shared" ref="B29:G29" si="2">$K10+$K19</f>
        <v>0.37661458333333331</v>
      </c>
      <c r="C29" s="288">
        <f t="shared" si="2"/>
        <v>0.37661458333333331</v>
      </c>
      <c r="D29" s="288">
        <f t="shared" si="2"/>
        <v>0.37661458333333331</v>
      </c>
      <c r="E29" s="288">
        <f t="shared" si="2"/>
        <v>0.37661458333333331</v>
      </c>
      <c r="F29" s="288">
        <f t="shared" si="2"/>
        <v>0.37661458333333331</v>
      </c>
      <c r="G29" s="709">
        <f t="shared" si="2"/>
        <v>0.37661458333333331</v>
      </c>
      <c r="H29" s="301"/>
      <c r="I29" s="302"/>
      <c r="J29" s="301"/>
      <c r="K29" s="301"/>
      <c r="L29" s="301"/>
      <c r="M29" s="301"/>
    </row>
    <row r="30" spans="1:13" ht="13.15" x14ac:dyDescent="0.4">
      <c r="A30" s="710" t="s">
        <v>112</v>
      </c>
      <c r="B30" s="698">
        <f>(1+(B28*1))*B26</f>
        <v>3.1961406962406018</v>
      </c>
      <c r="C30" s="698">
        <f>(1+C28)*C26</f>
        <v>0.24059424367826088</v>
      </c>
      <c r="D30" s="698">
        <f>(1+D28)*D26</f>
        <v>0.2737413008285714</v>
      </c>
      <c r="E30" s="698">
        <f>(1+E28)*E26</f>
        <v>1.7620585869473688</v>
      </c>
      <c r="F30" s="698">
        <f>(1+F28)*F26</f>
        <v>3.4635058220095702</v>
      </c>
      <c r="G30" s="698">
        <f>(1+G28)*G26</f>
        <v>5.2973728834586469</v>
      </c>
      <c r="H30" s="702"/>
      <c r="I30" s="306"/>
      <c r="J30" s="301"/>
      <c r="K30" s="301"/>
      <c r="L30" s="301"/>
      <c r="M30" s="301"/>
    </row>
    <row r="31" spans="1:13" ht="13.15" x14ac:dyDescent="0.4">
      <c r="A31" s="711"/>
      <c r="B31" s="699">
        <f t="shared" ref="B31:G31" si="3">B30*12</f>
        <v>38.353688354887225</v>
      </c>
      <c r="C31" s="699">
        <f t="shared" si="3"/>
        <v>2.8871309241391305</v>
      </c>
      <c r="D31" s="699">
        <f t="shared" si="3"/>
        <v>3.2848956099428568</v>
      </c>
      <c r="E31" s="699">
        <f t="shared" si="3"/>
        <v>21.144703043368427</v>
      </c>
      <c r="F31" s="699">
        <f t="shared" si="3"/>
        <v>41.562069864114846</v>
      </c>
      <c r="G31" s="712">
        <f t="shared" si="3"/>
        <v>63.568474601503766</v>
      </c>
      <c r="H31" s="703"/>
      <c r="I31" s="306"/>
      <c r="J31" s="301"/>
      <c r="K31" s="301"/>
      <c r="L31" s="301"/>
      <c r="M31" s="301"/>
    </row>
    <row r="32" spans="1:13" ht="13.15" x14ac:dyDescent="0.4">
      <c r="A32" s="700" t="s">
        <v>113</v>
      </c>
      <c r="B32" s="730">
        <v>3.5</v>
      </c>
      <c r="C32" s="701">
        <f>B32</f>
        <v>3.5</v>
      </c>
      <c r="D32" s="701">
        <f>B32</f>
        <v>3.5</v>
      </c>
      <c r="E32" s="701">
        <f>B32</f>
        <v>3.5</v>
      </c>
      <c r="F32" s="701">
        <f>B32</f>
        <v>3.5</v>
      </c>
      <c r="G32" s="701">
        <f>B32</f>
        <v>3.5</v>
      </c>
      <c r="H32" s="704"/>
      <c r="I32" s="388" t="s">
        <v>243</v>
      </c>
      <c r="J32" s="301"/>
      <c r="K32" s="301"/>
      <c r="L32" s="301"/>
      <c r="M32" s="301"/>
    </row>
    <row r="33" spans="1:13" x14ac:dyDescent="0.35">
      <c r="A33" s="713" t="s">
        <v>279</v>
      </c>
      <c r="B33" s="714">
        <f>IF(Irrigation!$B$7=1,B29*Budget!$D$29,0)</f>
        <v>3.7661458333333329</v>
      </c>
      <c r="C33" s="714">
        <f>IF(Irrigation!$B$7=2,C29*Budget!$D$29,0)</f>
        <v>0</v>
      </c>
      <c r="D33" s="714">
        <f>IF(Irrigation!$B$7=3,D29*Budget!$D$29,0)</f>
        <v>0</v>
      </c>
      <c r="E33" s="714">
        <f>IF(Irrigation!$B$7=4,E29*Budget!$D$29,0)</f>
        <v>0</v>
      </c>
      <c r="F33" s="714">
        <f>IF(Irrigation!$B$7=5,F29*Budget!$D$29,0)</f>
        <v>0</v>
      </c>
      <c r="G33" s="715">
        <f>IF(Irrigation!$B$7=6,G29*Budget!$D$29,0)</f>
        <v>0</v>
      </c>
      <c r="H33" s="390" t="s">
        <v>290</v>
      </c>
      <c r="I33" s="387">
        <f>SUM(B33:G33)*'C1_Messages_Indicators'!B34</f>
        <v>3.7661458333333329</v>
      </c>
      <c r="J33" s="301"/>
      <c r="K33" s="301"/>
      <c r="L33" s="301"/>
      <c r="M33" s="301"/>
    </row>
    <row r="34" spans="1:13" x14ac:dyDescent="0.35">
      <c r="A34" s="716" t="s">
        <v>109</v>
      </c>
      <c r="B34" s="717">
        <f>IF(Irrigation!$B$7=1,B26,0)</f>
        <v>2.9055824511278194</v>
      </c>
      <c r="C34" s="717">
        <f>IF(Irrigation!$B$7=2,C26,0)</f>
        <v>0</v>
      </c>
      <c r="D34" s="717">
        <f>IF(Irrigation!$B$7=3,D26,0)</f>
        <v>0</v>
      </c>
      <c r="E34" s="717">
        <f>IF(Irrigation!$B$7=4,E26,0)</f>
        <v>0</v>
      </c>
      <c r="F34" s="717">
        <f>IF(Irrigation!$B$7=5,F26,0)</f>
        <v>0</v>
      </c>
      <c r="G34" s="718">
        <f>IF(Irrigation!$B$7=6,G26,0)</f>
        <v>0</v>
      </c>
      <c r="H34" s="390" t="s">
        <v>110</v>
      </c>
      <c r="I34" s="301"/>
      <c r="J34" s="301"/>
      <c r="K34" s="301"/>
      <c r="L34" s="301"/>
      <c r="M34" s="301"/>
    </row>
    <row r="35" spans="1:13" x14ac:dyDescent="0.35">
      <c r="A35" s="20"/>
      <c r="B35" s="20"/>
      <c r="C35" s="20"/>
      <c r="D35" s="20"/>
      <c r="E35" s="20"/>
      <c r="F35" s="20"/>
      <c r="G35" s="299"/>
      <c r="H35" s="299"/>
      <c r="I35" s="299"/>
      <c r="J35" s="20"/>
      <c r="K35" s="20"/>
      <c r="L35" s="20"/>
      <c r="M35" s="20"/>
    </row>
    <row r="36" spans="1:13" x14ac:dyDescent="0.35">
      <c r="A36" s="300" t="s">
        <v>125</v>
      </c>
      <c r="B36" s="300"/>
      <c r="C36" s="300" t="s">
        <v>126</v>
      </c>
      <c r="D36" s="300"/>
      <c r="E36" s="301"/>
      <c r="F36" s="301"/>
      <c r="G36" s="301"/>
      <c r="H36" s="300"/>
      <c r="I36" s="301"/>
      <c r="J36" s="301"/>
      <c r="K36" s="834" t="s">
        <v>578</v>
      </c>
      <c r="L36" s="835"/>
      <c r="M36" s="836"/>
    </row>
    <row r="37" spans="1:13" x14ac:dyDescent="0.35">
      <c r="A37" s="302" t="s">
        <v>145</v>
      </c>
      <c r="B37" s="302" t="s">
        <v>124</v>
      </c>
      <c r="C37" s="302" t="s">
        <v>156</v>
      </c>
      <c r="D37" s="302" t="s">
        <v>101</v>
      </c>
      <c r="E37" s="301"/>
      <c r="F37" s="301"/>
      <c r="G37" s="301"/>
      <c r="H37" s="300"/>
      <c r="I37" s="301"/>
      <c r="J37" s="301"/>
      <c r="K37" s="837" t="s">
        <v>145</v>
      </c>
      <c r="L37" s="301"/>
      <c r="M37" s="918">
        <f>IF(AND(Irrigation!B2=1,A2_Budget_Look_Up!B10=0),0.0033,0)</f>
        <v>3.3E-3</v>
      </c>
    </row>
    <row r="38" spans="1:13" x14ac:dyDescent="0.35">
      <c r="A38" s="722">
        <f>Irrigation!B29</f>
        <v>2</v>
      </c>
      <c r="B38" s="722">
        <f>Irrigation!B30</f>
        <v>30</v>
      </c>
      <c r="C38" s="720">
        <f>IF(Irrigation!B20=1,Irrigation!D4,Irrigation!F5)</f>
        <v>120</v>
      </c>
      <c r="D38" s="303">
        <f>IF(B41&gt;0,C38+(B41*2.31),0)</f>
        <v>124.62</v>
      </c>
      <c r="E38" s="301"/>
      <c r="F38" s="300"/>
      <c r="G38" s="301"/>
      <c r="H38" s="301"/>
      <c r="I38" s="301"/>
      <c r="J38" s="301"/>
      <c r="K38" s="837" t="s">
        <v>608</v>
      </c>
      <c r="L38" s="301"/>
      <c r="M38" s="918">
        <f>IF(AND(Irrigation!B2=1,A2_Budget_Look_Up!B10&gt;0),0.0021,0)</f>
        <v>0</v>
      </c>
    </row>
    <row r="39" spans="1:13" x14ac:dyDescent="0.35">
      <c r="A39" s="304"/>
      <c r="B39" s="719">
        <f>IF(Irrigation!B2=1,2,0)</f>
        <v>2</v>
      </c>
      <c r="C39" s="302"/>
      <c r="D39" s="306"/>
      <c r="E39" s="301"/>
      <c r="F39" s="300"/>
      <c r="G39" s="301"/>
      <c r="H39" s="301"/>
      <c r="I39" s="301"/>
      <c r="J39" s="301"/>
      <c r="K39" s="837" t="s">
        <v>576</v>
      </c>
      <c r="L39" s="301"/>
      <c r="M39" s="919">
        <f>IF(Irrigation!B2=2,0.008,0)</f>
        <v>0</v>
      </c>
    </row>
    <row r="40" spans="1:13" ht="13.15" x14ac:dyDescent="0.4">
      <c r="A40" s="304"/>
      <c r="B40" s="305">
        <f>IF(Irrigation!B2=2,30,0)</f>
        <v>0</v>
      </c>
      <c r="C40" s="301"/>
      <c r="D40" s="301"/>
      <c r="E40" s="301"/>
      <c r="F40" s="300"/>
      <c r="G40" s="301"/>
      <c r="H40" s="389"/>
      <c r="I40" s="389"/>
      <c r="J40" s="389"/>
      <c r="K40" s="838" t="s">
        <v>577</v>
      </c>
      <c r="L40" s="839"/>
      <c r="M40" s="920">
        <f>SUM(M37:M39)</f>
        <v>3.3E-3</v>
      </c>
    </row>
    <row r="41" spans="1:13" ht="13.5" thickBot="1" x14ac:dyDescent="0.45">
      <c r="A41" s="304"/>
      <c r="B41" s="305">
        <f>SUM(B39:B40)</f>
        <v>2</v>
      </c>
      <c r="C41" s="301"/>
      <c r="D41" s="301"/>
      <c r="E41" s="301"/>
      <c r="F41" s="301"/>
      <c r="G41" s="301"/>
      <c r="H41" s="301"/>
      <c r="I41" s="703" t="s">
        <v>579</v>
      </c>
      <c r="J41" s="389"/>
      <c r="K41" s="300"/>
      <c r="L41" s="300"/>
      <c r="M41" s="979">
        <f>'C2_Irrigation_Calculations'!M40*Budget!D29</f>
        <v>3.3000000000000002E-2</v>
      </c>
    </row>
    <row r="42" spans="1:13" x14ac:dyDescent="0.35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654"/>
      <c r="M42" s="654"/>
    </row>
    <row r="43" spans="1:13" x14ac:dyDescent="0.35">
      <c r="A43" s="1175" t="s">
        <v>748</v>
      </c>
      <c r="B43" s="1175"/>
      <c r="C43" s="1175"/>
      <c r="D43" s="1175"/>
      <c r="E43" s="1175"/>
      <c r="F43" s="1175"/>
      <c r="G43" s="1175"/>
      <c r="H43" s="1175"/>
      <c r="I43" s="1175"/>
      <c r="J43" s="1175"/>
      <c r="K43" s="1175"/>
      <c r="L43" s="1176"/>
      <c r="M43" s="1176"/>
    </row>
    <row r="44" spans="1:13" ht="13.15" x14ac:dyDescent="0.4">
      <c r="A44" s="323" t="s">
        <v>7</v>
      </c>
      <c r="B44" s="280"/>
      <c r="C44" s="280"/>
      <c r="D44" s="280"/>
      <c r="E44" s="280"/>
      <c r="F44" s="280"/>
      <c r="G44" s="280"/>
      <c r="H44" s="280"/>
      <c r="I44" s="281"/>
      <c r="J44" s="301"/>
      <c r="K44" s="388"/>
      <c r="L44" s="301"/>
      <c r="M44" s="301"/>
    </row>
    <row r="45" spans="1:13" x14ac:dyDescent="0.35">
      <c r="A45" s="324"/>
      <c r="B45" s="282"/>
      <c r="C45" s="282"/>
      <c r="D45" s="282"/>
      <c r="E45" s="283" t="s">
        <v>244</v>
      </c>
      <c r="F45" s="283" t="s">
        <v>244</v>
      </c>
      <c r="G45" s="283" t="s">
        <v>32</v>
      </c>
      <c r="H45" s="282"/>
      <c r="I45" s="284"/>
      <c r="J45" s="301"/>
      <c r="K45" s="825" t="s">
        <v>574</v>
      </c>
      <c r="L45" s="826" t="s">
        <v>243</v>
      </c>
      <c r="M45" s="827" t="s">
        <v>314</v>
      </c>
    </row>
    <row r="46" spans="1:13" x14ac:dyDescent="0.35">
      <c r="A46" s="325" t="s">
        <v>93</v>
      </c>
      <c r="B46" s="285" t="s">
        <v>116</v>
      </c>
      <c r="C46" s="285" t="s">
        <v>117</v>
      </c>
      <c r="D46" s="285" t="s">
        <v>118</v>
      </c>
      <c r="E46" s="285" t="s">
        <v>245</v>
      </c>
      <c r="F46" s="285" t="s">
        <v>31</v>
      </c>
      <c r="G46" s="285" t="s">
        <v>302</v>
      </c>
      <c r="H46" s="285" t="s">
        <v>119</v>
      </c>
      <c r="I46" s="284"/>
      <c r="J46" s="301"/>
      <c r="K46" s="327" t="s">
        <v>575</v>
      </c>
      <c r="L46" s="283" t="s">
        <v>314</v>
      </c>
      <c r="M46" s="828" t="s">
        <v>573</v>
      </c>
    </row>
    <row r="47" spans="1:13" x14ac:dyDescent="0.35">
      <c r="A47" s="297" t="s">
        <v>277</v>
      </c>
      <c r="B47" s="287">
        <f>IF(Irrigation!B2&lt;3,H55*(1-Irrigation!I4),0)</f>
        <v>0</v>
      </c>
      <c r="C47" s="962">
        <f>Irrigation!J4</f>
        <v>40</v>
      </c>
      <c r="D47" s="965">
        <v>0</v>
      </c>
      <c r="E47" s="808">
        <f>Z1_Equipment_Calculations!$I$8</f>
        <v>0.09</v>
      </c>
      <c r="F47" s="809">
        <f t="shared" ref="F47:F52" si="4">(E47*(1+E47)^C47)/((1+E47)^C47-1)</f>
        <v>9.2959609221097042E-2</v>
      </c>
      <c r="G47" s="797">
        <f>160*12</f>
        <v>1920</v>
      </c>
      <c r="H47" s="288">
        <f>((B47*F47)/G47)*12</f>
        <v>0</v>
      </c>
      <c r="I47" s="284"/>
      <c r="J47" s="301"/>
      <c r="K47" s="819">
        <f>((B47*M47)/G47)*(1-Irrigation!L4)</f>
        <v>0</v>
      </c>
      <c r="L47" s="814">
        <v>0</v>
      </c>
      <c r="M47" s="822">
        <f>L47*IF(Irrigation!M4&gt;0,1,0)</f>
        <v>0</v>
      </c>
    </row>
    <row r="48" spans="1:13" x14ac:dyDescent="0.35">
      <c r="A48" s="297" t="s">
        <v>273</v>
      </c>
      <c r="B48" s="287">
        <f>IF(Irrigation!B2&lt;3,A55*(1-Irrigation!I5),0)</f>
        <v>0</v>
      </c>
      <c r="C48" s="962">
        <f>Irrigation!J5</f>
        <v>40</v>
      </c>
      <c r="D48" s="965">
        <v>0</v>
      </c>
      <c r="E48" s="808">
        <f>Z1_Equipment_Calculations!$I$8</f>
        <v>0.09</v>
      </c>
      <c r="F48" s="809">
        <f t="shared" si="4"/>
        <v>9.2959609221097042E-2</v>
      </c>
      <c r="G48" s="797">
        <f>160*12</f>
        <v>1920</v>
      </c>
      <c r="H48" s="288">
        <f>((B48*F48)/G48)*12</f>
        <v>0</v>
      </c>
      <c r="I48" s="284"/>
      <c r="J48" s="301"/>
      <c r="K48" s="820">
        <f>((B48*M48)/G48)*(1-Irrigation!L5)</f>
        <v>0</v>
      </c>
      <c r="L48" s="815">
        <v>5.0000000000000001E-3</v>
      </c>
      <c r="M48" s="823">
        <f>L48*IF(Irrigation!M5&gt;0,1,0)</f>
        <v>0</v>
      </c>
    </row>
    <row r="49" spans="1:13" x14ac:dyDescent="0.35">
      <c r="A49" s="297" t="s">
        <v>272</v>
      </c>
      <c r="B49" s="287">
        <f>IF(Irrigation!B2&lt;3,B55*(1-Irrigation!I6),0)</f>
        <v>0</v>
      </c>
      <c r="C49" s="962">
        <f>Irrigation!J6</f>
        <v>15</v>
      </c>
      <c r="D49" s="965">
        <v>0</v>
      </c>
      <c r="E49" s="808">
        <f>Z1_Equipment_Calculations!$I$8</f>
        <v>0.09</v>
      </c>
      <c r="F49" s="809">
        <f t="shared" si="4"/>
        <v>0.12405888265031004</v>
      </c>
      <c r="G49" s="797">
        <f>IF(Irrigation!$B$2=2,Irrigation!$J$15,Irrigation!$J$14)*IF(Irrigation!$B$2=2,Irrigation!$I$15,Irrigation!$I$14)</f>
        <v>1920</v>
      </c>
      <c r="H49" s="288">
        <f>IF(Irrigation!B20=1,((B49*F49)/G49)*Budget!$D$29,0)</f>
        <v>0</v>
      </c>
      <c r="I49" s="284"/>
      <c r="J49" s="301"/>
      <c r="K49" s="820">
        <f>((B49*M49)/G49)*(1-Irrigation!L6)</f>
        <v>0</v>
      </c>
      <c r="L49" s="815">
        <v>0.02</v>
      </c>
      <c r="M49" s="823">
        <f>L49*IF(Irrigation!M6&gt;0,1,0)</f>
        <v>0.02</v>
      </c>
    </row>
    <row r="50" spans="1:13" x14ac:dyDescent="0.35">
      <c r="A50" s="297" t="s">
        <v>142</v>
      </c>
      <c r="B50" s="289">
        <f>IF(Irrigation!B2&lt;3,'C2_Irrigation_Calculations'!C55*(1-Irrigation!I7),0)</f>
        <v>0</v>
      </c>
      <c r="C50" s="962">
        <f>Irrigation!J7</f>
        <v>15</v>
      </c>
      <c r="D50" s="965">
        <v>0</v>
      </c>
      <c r="E50" s="808">
        <f>Z1_Equipment_Calculations!$I$8</f>
        <v>0.09</v>
      </c>
      <c r="F50" s="809">
        <f t="shared" si="4"/>
        <v>0.12405888265031004</v>
      </c>
      <c r="G50" s="797">
        <f>IF(Irrigation!$B$2=2,Irrigation!$J$15,Irrigation!$J$14)*IF(Irrigation!$B$2=2,Irrigation!$I$15,Irrigation!$I$14)</f>
        <v>1920</v>
      </c>
      <c r="H50" s="288">
        <f>((B50*F50)/G50)*Budget!$D$29</f>
        <v>0</v>
      </c>
      <c r="I50" s="284"/>
      <c r="J50" s="301"/>
      <c r="K50" s="820">
        <f>((B50*M50)/G50)*(1-Irrigation!L7)</f>
        <v>0</v>
      </c>
      <c r="L50" s="815">
        <v>0.02</v>
      </c>
      <c r="M50" s="823">
        <f>L50*IF(Irrigation!M7&gt;0,1,0)</f>
        <v>0.02</v>
      </c>
    </row>
    <row r="51" spans="1:13" ht="13.9" x14ac:dyDescent="0.4">
      <c r="A51" s="297" t="s">
        <v>141</v>
      </c>
      <c r="B51" s="287">
        <f>IF(Irrigation!B2&lt;3,'C2_Irrigation_Calculations'!D55*(1-Irrigation!I8),0)</f>
        <v>0</v>
      </c>
      <c r="C51" s="962">
        <f>Irrigation!J8</f>
        <v>15</v>
      </c>
      <c r="D51" s="965">
        <v>0</v>
      </c>
      <c r="E51" s="808">
        <f>Z1_Equipment_Calculations!$I$8</f>
        <v>0.09</v>
      </c>
      <c r="F51" s="809">
        <f t="shared" si="4"/>
        <v>0.12405888265031004</v>
      </c>
      <c r="G51" s="797">
        <f>IF(Irrigation!$B$2=2,Irrigation!$J$15,Irrigation!$J$14)*IF(Irrigation!$B$2=2,Irrigation!$I$15,Irrigation!$I$14)</f>
        <v>1920</v>
      </c>
      <c r="H51" s="288">
        <f>((B51*F51)/G51)*Budget!$D$29</f>
        <v>0</v>
      </c>
      <c r="I51" s="284"/>
      <c r="J51" s="842"/>
      <c r="K51" s="820">
        <f>((B51*M51)/G51)*(1-Irrigation!L8)</f>
        <v>0</v>
      </c>
      <c r="L51" s="815">
        <v>0.02</v>
      </c>
      <c r="M51" s="823">
        <f>L51*IF(Irrigation!M8&gt;0,1,0)</f>
        <v>0.02</v>
      </c>
    </row>
    <row r="52" spans="1:13" ht="13.9" x14ac:dyDescent="0.4">
      <c r="A52" s="297" t="s">
        <v>143</v>
      </c>
      <c r="B52" s="287">
        <f>IF(Irrigation!B2=2,D57*(1-Irrigation!I9),0)</f>
        <v>0</v>
      </c>
      <c r="C52" s="962">
        <f>Irrigation!J9</f>
        <v>20</v>
      </c>
      <c r="D52" s="965">
        <v>0</v>
      </c>
      <c r="E52" s="808">
        <f>Z1_Equipment_Calculations!$I$8</f>
        <v>0.09</v>
      </c>
      <c r="F52" s="809">
        <f t="shared" si="4"/>
        <v>0.10954647500822921</v>
      </c>
      <c r="G52" s="797">
        <f>IF(Irrigation!$B$2=2,Irrigation!$J$15,Irrigation!$J$14)*IF(Irrigation!$B$2=2,Irrigation!$I$15,Irrigation!$I$14)</f>
        <v>1920</v>
      </c>
      <c r="H52" s="288">
        <f>((B52*F52)/G52)*Budget!$D$29</f>
        <v>0</v>
      </c>
      <c r="I52" s="284"/>
      <c r="J52" s="842"/>
      <c r="K52" s="821">
        <f>((B52*M52)/G52)*(1-Irrigation!L9)</f>
        <v>0</v>
      </c>
      <c r="L52" s="816">
        <v>0.01</v>
      </c>
      <c r="M52" s="824">
        <f>L52*IF(Irrigation!M9&gt;0,1,0)</f>
        <v>0.01</v>
      </c>
    </row>
    <row r="53" spans="1:13" ht="13.9" x14ac:dyDescent="0.4">
      <c r="A53" s="326" t="s">
        <v>22</v>
      </c>
      <c r="B53" s="290"/>
      <c r="C53" s="290"/>
      <c r="D53" s="290"/>
      <c r="E53" s="290"/>
      <c r="F53" s="290"/>
      <c r="G53" s="290"/>
      <c r="H53" s="291">
        <f>SUM(H48:H52)</f>
        <v>0</v>
      </c>
      <c r="I53" s="292"/>
      <c r="J53" s="842"/>
      <c r="K53" s="829">
        <f>SUM(K47:K52)</f>
        <v>0</v>
      </c>
      <c r="L53" s="830"/>
      <c r="M53" s="831"/>
    </row>
    <row r="54" spans="1:13" ht="13.9" x14ac:dyDescent="0.4">
      <c r="A54" s="296" t="s">
        <v>273</v>
      </c>
      <c r="B54" s="293" t="s">
        <v>272</v>
      </c>
      <c r="C54" s="283" t="s">
        <v>144</v>
      </c>
      <c r="D54" s="283" t="s">
        <v>211</v>
      </c>
      <c r="E54" s="294"/>
      <c r="F54" s="283" t="s">
        <v>284</v>
      </c>
      <c r="G54" s="282"/>
      <c r="H54" s="286" t="s">
        <v>277</v>
      </c>
      <c r="I54" s="284"/>
      <c r="J54" s="842"/>
      <c r="K54" s="843"/>
      <c r="L54" s="842"/>
      <c r="M54" s="842"/>
    </row>
    <row r="55" spans="1:13" ht="13.9" x14ac:dyDescent="0.4">
      <c r="A55" s="968">
        <f>IF(Irrigation!B20=1,Irrigation!E9,0)</f>
        <v>16500</v>
      </c>
      <c r="B55" s="969">
        <f>IF(Irrigation!B20=1,Irrigation!E10,Irrigation!E11)</f>
        <v>19000</v>
      </c>
      <c r="C55" s="970">
        <f>IF(Irrigation!B2=1,IF(OR(Irrigation!B7=1,Irrigation!B7&gt;3),Irrigation!E12,0),0)</f>
        <v>17155</v>
      </c>
      <c r="D55" s="970">
        <f>IF(Irrigation!B2=2,IF(OR(Irrigation!B7=1,Irrigation!B7&gt;3),Irrigation!E13,0),0)</f>
        <v>0</v>
      </c>
      <c r="E55" s="282"/>
      <c r="F55" s="970">
        <f>IF(Irrigation!B2=2,IF(OR(Irrigation!B7=1,Irrigation!B7&gt;3),Irrigation!E16,0),0)</f>
        <v>0</v>
      </c>
      <c r="G55" s="282"/>
      <c r="H55" s="970">
        <f>IF(AND(Irrigation!B2&lt;3,'C1_Messages_Indicators'!D34=2),Irrigation!E14,0)</f>
        <v>0</v>
      </c>
      <c r="I55" s="284"/>
      <c r="J55" s="842"/>
      <c r="K55" s="843"/>
      <c r="L55" s="842"/>
      <c r="M55" s="842"/>
    </row>
    <row r="56" spans="1:13" ht="13.9" x14ac:dyDescent="0.4">
      <c r="A56" s="327" t="s">
        <v>120</v>
      </c>
      <c r="B56" s="282"/>
      <c r="C56" s="295" t="s">
        <v>121</v>
      </c>
      <c r="D56" s="283" t="s">
        <v>122</v>
      </c>
      <c r="E56" s="286"/>
      <c r="F56" s="282"/>
      <c r="G56" s="282"/>
      <c r="H56" s="282"/>
      <c r="I56" s="284"/>
      <c r="J56" s="842"/>
      <c r="K56" s="843"/>
      <c r="L56" s="842"/>
      <c r="M56" s="842"/>
    </row>
    <row r="57" spans="1:13" ht="13.9" x14ac:dyDescent="0.4">
      <c r="A57" s="968">
        <f>Irrigation!D6</f>
        <v>1320</v>
      </c>
      <c r="B57" s="282"/>
      <c r="C57" s="971">
        <f>Irrigation!E15</f>
        <v>50.45</v>
      </c>
      <c r="D57" s="970">
        <f>A57*C57</f>
        <v>66594</v>
      </c>
      <c r="E57" s="286"/>
      <c r="F57" s="282"/>
      <c r="G57" s="282"/>
      <c r="H57" s="282"/>
      <c r="I57" s="284"/>
      <c r="J57" s="842"/>
      <c r="K57" s="844"/>
      <c r="L57" s="842"/>
      <c r="M57" s="842"/>
    </row>
    <row r="58" spans="1:13" x14ac:dyDescent="0.35">
      <c r="A58" s="297"/>
      <c r="B58" s="282"/>
      <c r="C58" s="282"/>
      <c r="D58" s="282"/>
      <c r="E58" s="282"/>
      <c r="F58" s="282"/>
      <c r="G58" s="282"/>
      <c r="H58" s="282"/>
      <c r="I58" s="284"/>
      <c r="J58" s="301"/>
      <c r="K58" s="825" t="s">
        <v>574</v>
      </c>
      <c r="L58" s="826" t="s">
        <v>243</v>
      </c>
      <c r="M58" s="827" t="s">
        <v>314</v>
      </c>
    </row>
    <row r="59" spans="1:13" x14ac:dyDescent="0.35">
      <c r="A59" s="328"/>
      <c r="B59" s="298"/>
      <c r="C59" s="290"/>
      <c r="D59" s="290"/>
      <c r="E59" s="290"/>
      <c r="F59" s="290"/>
      <c r="G59" s="290"/>
      <c r="H59" s="290"/>
      <c r="I59" s="292"/>
      <c r="J59" s="301"/>
      <c r="K59" s="327" t="s">
        <v>575</v>
      </c>
      <c r="L59" s="283" t="s">
        <v>314</v>
      </c>
      <c r="M59" s="828" t="s">
        <v>573</v>
      </c>
    </row>
    <row r="60" spans="1:13" x14ac:dyDescent="0.35">
      <c r="A60" s="562" t="s">
        <v>453</v>
      </c>
      <c r="B60" s="563">
        <f>Irrigation!E31</f>
        <v>0</v>
      </c>
      <c r="C60" s="963">
        <f>Irrigation!F31</f>
        <v>0</v>
      </c>
      <c r="D60" s="817">
        <v>0</v>
      </c>
      <c r="E60" s="810">
        <f>Z1_Equipment_Calculations!$I$8</f>
        <v>0.09</v>
      </c>
      <c r="F60" s="811">
        <f>IF(C60&gt;0,(E60*(1+E60)^C60)/((1+E60)^C60-1),0)</f>
        <v>0</v>
      </c>
      <c r="G60" s="798">
        <f>IF(Irrigation!$B$2=2,Irrigation!$J$15,Irrigation!$J$14)*IF(Irrigation!$B$2=2,Irrigation!$I$15,Irrigation!$I$14)</f>
        <v>1920</v>
      </c>
      <c r="H60" s="564">
        <f>((B60*F60)/G60)*Budget!$D$29</f>
        <v>0</v>
      </c>
      <c r="I60" s="281"/>
      <c r="J60" s="301"/>
      <c r="K60" s="819">
        <f>(B60*M60)/G60</f>
        <v>0</v>
      </c>
      <c r="L60" s="817">
        <v>0.01</v>
      </c>
      <c r="M60" s="822">
        <f>L60*IF(Irrigation!G31&gt;0,1,0)</f>
        <v>0</v>
      </c>
    </row>
    <row r="61" spans="1:13" x14ac:dyDescent="0.35">
      <c r="A61" s="565" t="s">
        <v>453</v>
      </c>
      <c r="B61" s="566">
        <f>Irrigation!E32</f>
        <v>0</v>
      </c>
      <c r="C61" s="964">
        <f>Irrigation!F32</f>
        <v>0</v>
      </c>
      <c r="D61" s="818">
        <v>0</v>
      </c>
      <c r="E61" s="812">
        <f>Z1_Equipment_Calculations!$I$8</f>
        <v>0.09</v>
      </c>
      <c r="F61" s="813">
        <f>IF(C61&gt;0,(E61*(1+E61)^C61)/((1+E61)^C61-1),0)</f>
        <v>0</v>
      </c>
      <c r="G61" s="799">
        <f>IF(Irrigation!$B$2=2,Irrigation!$J$15,Irrigation!$J$14)*IF(Irrigation!$B$2=2,Irrigation!$I$15,Irrigation!$I$14)</f>
        <v>1920</v>
      </c>
      <c r="H61" s="567">
        <f>((B61*F61)/G61)*Budget!$D$29</f>
        <v>0</v>
      </c>
      <c r="I61" s="292"/>
      <c r="J61" s="301"/>
      <c r="K61" s="821">
        <f>(B61*M61)/G61</f>
        <v>0</v>
      </c>
      <c r="L61" s="818">
        <v>0.01</v>
      </c>
      <c r="M61" s="824">
        <f>L61*IF(Irrigation!G32&gt;0,1,0)</f>
        <v>0</v>
      </c>
    </row>
    <row r="62" spans="1:13" ht="13.15" x14ac:dyDescent="0.4">
      <c r="A62" s="301"/>
      <c r="B62" s="301"/>
      <c r="C62" s="301"/>
      <c r="D62" s="301"/>
      <c r="E62" s="301"/>
      <c r="F62" s="301"/>
      <c r="G62" s="301"/>
      <c r="H62" s="301"/>
      <c r="I62" s="301"/>
      <c r="J62" s="301"/>
      <c r="K62" s="829">
        <f>SUM(K60:K61)</f>
        <v>0</v>
      </c>
      <c r="L62" s="832"/>
      <c r="M62" s="833"/>
    </row>
    <row r="63" spans="1:13" ht="13.15" x14ac:dyDescent="0.4">
      <c r="A63" s="705"/>
      <c r="B63" s="385" t="s">
        <v>95</v>
      </c>
      <c r="C63" s="386" t="s">
        <v>96</v>
      </c>
      <c r="D63" s="386" t="s">
        <v>97</v>
      </c>
      <c r="E63" s="386" t="s">
        <v>98</v>
      </c>
      <c r="F63" s="386" t="s">
        <v>99</v>
      </c>
      <c r="G63" s="386" t="s">
        <v>100</v>
      </c>
      <c r="H63" s="301"/>
      <c r="I63" s="301"/>
      <c r="J63" s="300"/>
      <c r="K63" s="301"/>
      <c r="L63" s="301"/>
      <c r="M63" s="301"/>
    </row>
    <row r="64" spans="1:13" x14ac:dyDescent="0.35">
      <c r="A64" s="384" t="s">
        <v>101</v>
      </c>
      <c r="B64" s="694">
        <f t="shared" ref="B64:G64" si="5">$D$81</f>
        <v>124.62</v>
      </c>
      <c r="C64" s="694">
        <f t="shared" si="5"/>
        <v>124.62</v>
      </c>
      <c r="D64" s="694">
        <f t="shared" si="5"/>
        <v>124.62</v>
      </c>
      <c r="E64" s="694">
        <f t="shared" si="5"/>
        <v>124.62</v>
      </c>
      <c r="F64" s="694">
        <f t="shared" si="5"/>
        <v>124.62</v>
      </c>
      <c r="G64" s="694">
        <f t="shared" si="5"/>
        <v>124.62</v>
      </c>
      <c r="H64" s="300" t="s">
        <v>102</v>
      </c>
      <c r="I64" s="301"/>
      <c r="J64" s="301"/>
      <c r="K64" s="301"/>
      <c r="L64" s="301"/>
      <c r="M64" s="301"/>
    </row>
    <row r="65" spans="1:13" x14ac:dyDescent="0.35">
      <c r="A65" s="384" t="s">
        <v>103</v>
      </c>
      <c r="B65" s="796">
        <f>Irrigation!B14</f>
        <v>2.46</v>
      </c>
      <c r="C65" s="796">
        <f>Irrigation!B15</f>
        <v>1.3299999999999999E-2</v>
      </c>
      <c r="D65" s="796">
        <f>Irrigation!B15</f>
        <v>1.3299999999999999E-2</v>
      </c>
      <c r="E65" s="796">
        <f>Irrigation!B16</f>
        <v>0.74</v>
      </c>
      <c r="F65" s="796">
        <f>Irrigation!B17</f>
        <v>1.6</v>
      </c>
      <c r="G65" s="796">
        <f>Irrigation!B18</f>
        <v>2.6</v>
      </c>
      <c r="H65" s="300" t="s">
        <v>104</v>
      </c>
      <c r="I65" s="301"/>
      <c r="J65" s="301"/>
      <c r="K65" s="301"/>
      <c r="L65" s="301"/>
      <c r="M65" s="301"/>
    </row>
    <row r="66" spans="1:13" x14ac:dyDescent="0.35">
      <c r="A66" s="384" t="s">
        <v>105</v>
      </c>
      <c r="B66" s="966">
        <v>18</v>
      </c>
      <c r="C66" s="966">
        <v>1.1499999999999999</v>
      </c>
      <c r="D66" s="966">
        <v>1.05</v>
      </c>
      <c r="E66" s="966">
        <v>10</v>
      </c>
      <c r="F66" s="966">
        <v>11</v>
      </c>
      <c r="G66" s="966">
        <v>12</v>
      </c>
      <c r="H66" s="300" t="s">
        <v>106</v>
      </c>
      <c r="I66" s="301"/>
      <c r="J66" s="301"/>
      <c r="K66" s="300"/>
      <c r="L66" s="841"/>
      <c r="M66" s="301"/>
    </row>
    <row r="67" spans="1:13" x14ac:dyDescent="0.35">
      <c r="A67" s="384" t="s">
        <v>107</v>
      </c>
      <c r="B67" s="967">
        <v>0.7</v>
      </c>
      <c r="C67" s="967">
        <v>0.7</v>
      </c>
      <c r="D67" s="967">
        <v>0.7</v>
      </c>
      <c r="E67" s="967">
        <v>0.7</v>
      </c>
      <c r="F67" s="967">
        <v>0.7</v>
      </c>
      <c r="G67" s="967">
        <v>0.7</v>
      </c>
      <c r="H67" s="300"/>
      <c r="I67" s="301"/>
      <c r="J67" s="301"/>
      <c r="K67" s="958" t="s">
        <v>620</v>
      </c>
      <c r="L67" s="959"/>
      <c r="M67" s="301"/>
    </row>
    <row r="68" spans="1:13" ht="13.15" x14ac:dyDescent="0.4">
      <c r="A68" s="384" t="s">
        <v>108</v>
      </c>
      <c r="B68" s="967">
        <v>0.95</v>
      </c>
      <c r="C68" s="967">
        <v>1</v>
      </c>
      <c r="D68" s="966"/>
      <c r="E68" s="967">
        <v>0.95</v>
      </c>
      <c r="F68" s="967">
        <v>0.95</v>
      </c>
      <c r="G68" s="967">
        <v>0.95</v>
      </c>
      <c r="H68" s="300"/>
      <c r="I68" s="388" t="s">
        <v>283</v>
      </c>
      <c r="J68" s="301"/>
      <c r="K68" s="960" t="s">
        <v>45</v>
      </c>
      <c r="L68" s="961" t="s">
        <v>49</v>
      </c>
      <c r="M68" s="301"/>
    </row>
    <row r="69" spans="1:13" x14ac:dyDescent="0.35">
      <c r="A69" s="706" t="s">
        <v>109</v>
      </c>
      <c r="B69" s="695">
        <f>B65*((0.11345/(B66*B67*B68))*B64)</f>
        <v>2.9055824511278194</v>
      </c>
      <c r="C69" s="696">
        <f>C65*((0.11345/(C66*C67*C68))*C64)</f>
        <v>0.23358664434782608</v>
      </c>
      <c r="D69" s="696">
        <f>D65*((0.11345/(D66*D67))*D64)</f>
        <v>0.25583299142857141</v>
      </c>
      <c r="E69" s="696">
        <f>E65*((0.11345/(E66*E67*E68))*E64)</f>
        <v>1.5732665954887219</v>
      </c>
      <c r="F69" s="696">
        <f>F65*((0.11345/(F66*F67*F68))*F64)</f>
        <v>3.0924159125085446</v>
      </c>
      <c r="G69" s="696">
        <f>G65*((0.11345/(G66*G67*G68))*G64)</f>
        <v>4.6064112030075197</v>
      </c>
      <c r="H69" s="697" t="s">
        <v>110</v>
      </c>
      <c r="I69" s="387">
        <f>SUM(B77:G77)</f>
        <v>2.9055824511278194</v>
      </c>
      <c r="J69" s="301"/>
      <c r="K69" s="956">
        <f>((B48/Program_Variables!E53)*Program_Variables!C53)+((B49/Program_Variables!E54)*Program_Variables!C54)+((B50/Program_Variables!E55)*Program_Variables!C55)+((B51/Program_Variables!E55)*Program_Variables!C55)+((B52/Program_Variables!E56)*Program_Variables!C56*(1-Irrigation!I22))</f>
        <v>0</v>
      </c>
      <c r="L69" s="957">
        <f>K69/IF(Irrigation!B2=2,Irrigation!I15,Irrigation!I14)</f>
        <v>0</v>
      </c>
      <c r="M69" s="301"/>
    </row>
    <row r="70" spans="1:13" x14ac:dyDescent="0.35">
      <c r="A70" s="706" t="s">
        <v>109</v>
      </c>
      <c r="B70" s="695">
        <f>B69*Budget!D29</f>
        <v>29.055824511278196</v>
      </c>
      <c r="C70" s="696">
        <f>C69*Budget!D29</f>
        <v>2.335866443478261</v>
      </c>
      <c r="D70" s="696">
        <f>D69*Budget!D29</f>
        <v>2.5583299142857143</v>
      </c>
      <c r="E70" s="696">
        <f>E69*Budget!D29</f>
        <v>15.732665954887219</v>
      </c>
      <c r="F70" s="696">
        <f>F69*Budget!D29</f>
        <v>30.924159125085446</v>
      </c>
      <c r="G70" s="696">
        <f>G69*Budget!D29</f>
        <v>46.064112030075194</v>
      </c>
      <c r="H70" s="697" t="s">
        <v>290</v>
      </c>
      <c r="I70" s="306"/>
      <c r="J70" s="301"/>
      <c r="K70" s="301"/>
      <c r="L70" s="301"/>
      <c r="M70" s="301"/>
    </row>
    <row r="71" spans="1:13" x14ac:dyDescent="0.35">
      <c r="A71" s="707" t="s">
        <v>111</v>
      </c>
      <c r="B71" s="731">
        <v>0.1</v>
      </c>
      <c r="C71" s="732">
        <v>0.03</v>
      </c>
      <c r="D71" s="732">
        <v>7.0000000000000007E-2</v>
      </c>
      <c r="E71" s="732">
        <v>0.12</v>
      </c>
      <c r="F71" s="732">
        <v>0.12</v>
      </c>
      <c r="G71" s="807">
        <v>0.15</v>
      </c>
      <c r="H71" s="300"/>
      <c r="I71" s="302"/>
      <c r="J71" s="301"/>
      <c r="K71" s="301"/>
      <c r="L71" s="301"/>
      <c r="M71" s="301"/>
    </row>
    <row r="72" spans="1:13" x14ac:dyDescent="0.35">
      <c r="A72" s="708" t="s">
        <v>288</v>
      </c>
      <c r="B72" s="288">
        <f t="shared" ref="B72:G72" si="6">$K53+$K62</f>
        <v>0</v>
      </c>
      <c r="C72" s="288">
        <f t="shared" si="6"/>
        <v>0</v>
      </c>
      <c r="D72" s="288">
        <f t="shared" si="6"/>
        <v>0</v>
      </c>
      <c r="E72" s="288">
        <f t="shared" si="6"/>
        <v>0</v>
      </c>
      <c r="F72" s="288">
        <f t="shared" si="6"/>
        <v>0</v>
      </c>
      <c r="G72" s="709">
        <f t="shared" si="6"/>
        <v>0</v>
      </c>
      <c r="H72" s="301"/>
      <c r="I72" s="302"/>
      <c r="J72" s="301"/>
      <c r="K72" s="301"/>
      <c r="L72" s="301"/>
      <c r="M72" s="301"/>
    </row>
    <row r="73" spans="1:13" ht="13.15" x14ac:dyDescent="0.4">
      <c r="A73" s="710" t="s">
        <v>112</v>
      </c>
      <c r="B73" s="698">
        <f>(1+(B71*1))*B69</f>
        <v>3.1961406962406018</v>
      </c>
      <c r="C73" s="698">
        <f>(1+C71)*C69</f>
        <v>0.24059424367826088</v>
      </c>
      <c r="D73" s="698">
        <f>(1+D71)*D69</f>
        <v>0.2737413008285714</v>
      </c>
      <c r="E73" s="698">
        <f>(1+E71)*E69</f>
        <v>1.7620585869473688</v>
      </c>
      <c r="F73" s="698">
        <f>(1+F71)*F69</f>
        <v>3.4635058220095702</v>
      </c>
      <c r="G73" s="698">
        <f>(1+G71)*G69</f>
        <v>5.2973728834586469</v>
      </c>
      <c r="H73" s="702"/>
      <c r="I73" s="306"/>
      <c r="J73" s="301"/>
      <c r="K73" s="301"/>
      <c r="L73" s="301"/>
      <c r="M73" s="301"/>
    </row>
    <row r="74" spans="1:13" ht="13.15" x14ac:dyDescent="0.4">
      <c r="A74" s="711"/>
      <c r="B74" s="699">
        <f t="shared" ref="B74:G74" si="7">B73*12</f>
        <v>38.353688354887225</v>
      </c>
      <c r="C74" s="699">
        <f t="shared" si="7"/>
        <v>2.8871309241391305</v>
      </c>
      <c r="D74" s="699">
        <f t="shared" si="7"/>
        <v>3.2848956099428568</v>
      </c>
      <c r="E74" s="699">
        <f t="shared" si="7"/>
        <v>21.144703043368427</v>
      </c>
      <c r="F74" s="699">
        <f t="shared" si="7"/>
        <v>41.562069864114846</v>
      </c>
      <c r="G74" s="712">
        <f t="shared" si="7"/>
        <v>63.568474601503766</v>
      </c>
      <c r="H74" s="703"/>
      <c r="I74" s="306"/>
      <c r="J74" s="301"/>
      <c r="K74" s="301"/>
      <c r="L74" s="301"/>
      <c r="M74" s="301"/>
    </row>
    <row r="75" spans="1:13" ht="13.15" x14ac:dyDescent="0.4">
      <c r="A75" s="700" t="s">
        <v>113</v>
      </c>
      <c r="B75" s="730">
        <v>3.5</v>
      </c>
      <c r="C75" s="701">
        <f>B75</f>
        <v>3.5</v>
      </c>
      <c r="D75" s="701">
        <f>B75</f>
        <v>3.5</v>
      </c>
      <c r="E75" s="701">
        <f>B75</f>
        <v>3.5</v>
      </c>
      <c r="F75" s="701">
        <f>B75</f>
        <v>3.5</v>
      </c>
      <c r="G75" s="701">
        <f>B75</f>
        <v>3.5</v>
      </c>
      <c r="H75" s="704"/>
      <c r="I75" s="388" t="s">
        <v>243</v>
      </c>
      <c r="J75" s="301"/>
      <c r="K75" s="301"/>
      <c r="L75" s="301"/>
      <c r="M75" s="301"/>
    </row>
    <row r="76" spans="1:13" x14ac:dyDescent="0.35">
      <c r="A76" s="713" t="s">
        <v>279</v>
      </c>
      <c r="B76" s="714">
        <f>IF(Irrigation!$B$7=1,B72*Budget!$D$29,0)</f>
        <v>0</v>
      </c>
      <c r="C76" s="714">
        <f>IF(Irrigation!$B$7=2,C72*Budget!$D$29,0)</f>
        <v>0</v>
      </c>
      <c r="D76" s="714">
        <f>IF(Irrigation!$B$7=3,D72*Budget!$D$29,0)</f>
        <v>0</v>
      </c>
      <c r="E76" s="714">
        <f>IF(Irrigation!$B$7=4,E72*Budget!$D$29,0)</f>
        <v>0</v>
      </c>
      <c r="F76" s="714">
        <f>IF(Irrigation!$B$7=5,F72*Budget!$D$29,0)</f>
        <v>0</v>
      </c>
      <c r="G76" s="715">
        <f>IF(Irrigation!$B$7=6,G72*Budget!$D$29,0)</f>
        <v>0</v>
      </c>
      <c r="H76" s="390" t="s">
        <v>290</v>
      </c>
      <c r="I76" s="387">
        <f>SUM(B76:G76)*'C1_Messages_Indicators'!B34</f>
        <v>0</v>
      </c>
      <c r="J76" s="301"/>
      <c r="K76" s="301"/>
      <c r="L76" s="301"/>
      <c r="M76" s="301"/>
    </row>
    <row r="77" spans="1:13" x14ac:dyDescent="0.35">
      <c r="A77" s="716" t="s">
        <v>109</v>
      </c>
      <c r="B77" s="717">
        <f>IF(Irrigation!$B$7=1,B69,0)</f>
        <v>2.9055824511278194</v>
      </c>
      <c r="C77" s="717">
        <f>IF(Irrigation!$B$7=2,C69,0)</f>
        <v>0</v>
      </c>
      <c r="D77" s="717">
        <f>IF(Irrigation!$B$7=3,D69,0)</f>
        <v>0</v>
      </c>
      <c r="E77" s="717">
        <f>IF(Irrigation!$B$7=4,E69,0)</f>
        <v>0</v>
      </c>
      <c r="F77" s="717">
        <f>IF(Irrigation!$B$7=5,F69,0)</f>
        <v>0</v>
      </c>
      <c r="G77" s="718">
        <f>IF(Irrigation!$B$7=6,G69,0)</f>
        <v>0</v>
      </c>
      <c r="H77" s="390" t="s">
        <v>110</v>
      </c>
      <c r="I77" s="301"/>
      <c r="J77" s="301"/>
      <c r="K77" s="301"/>
      <c r="L77" s="301"/>
      <c r="M77" s="301"/>
    </row>
    <row r="78" spans="1:13" x14ac:dyDescent="0.35">
      <c r="A78" s="20"/>
      <c r="B78" s="20"/>
      <c r="C78" s="20"/>
      <c r="D78" s="20"/>
      <c r="E78" s="20"/>
      <c r="F78" s="20"/>
      <c r="G78" s="299"/>
      <c r="H78" s="299"/>
      <c r="I78" s="299"/>
      <c r="J78" s="20"/>
      <c r="K78" s="20"/>
      <c r="L78" s="20"/>
      <c r="M78" s="20"/>
    </row>
    <row r="79" spans="1:13" x14ac:dyDescent="0.35">
      <c r="A79" s="300" t="s">
        <v>125</v>
      </c>
      <c r="B79" s="300"/>
      <c r="C79" s="300" t="s">
        <v>126</v>
      </c>
      <c r="D79" s="300"/>
      <c r="E79" s="301"/>
      <c r="F79" s="301"/>
      <c r="G79" s="301"/>
      <c r="H79" s="300"/>
      <c r="I79" s="301"/>
      <c r="J79" s="301"/>
      <c r="K79" s="834" t="s">
        <v>578</v>
      </c>
      <c r="L79" s="835"/>
      <c r="M79" s="836"/>
    </row>
    <row r="80" spans="1:13" x14ac:dyDescent="0.35">
      <c r="A80" s="302" t="s">
        <v>145</v>
      </c>
      <c r="B80" s="302" t="s">
        <v>124</v>
      </c>
      <c r="C80" s="302" t="s">
        <v>156</v>
      </c>
      <c r="D80" s="302" t="s">
        <v>101</v>
      </c>
      <c r="E80" s="301"/>
      <c r="F80" s="301"/>
      <c r="G80" s="301"/>
      <c r="H80" s="300"/>
      <c r="I80" s="301"/>
      <c r="J80" s="301"/>
      <c r="K80" s="837" t="s">
        <v>145</v>
      </c>
      <c r="L80" s="301"/>
      <c r="M80" s="918">
        <f>IF(AND(Irrigation!B2=1,A2_Budget_Look_Up!B10=0),0.0033,0)</f>
        <v>3.3E-3</v>
      </c>
    </row>
    <row r="81" spans="1:13" x14ac:dyDescent="0.35">
      <c r="A81" s="722">
        <f>Irrigation!B29</f>
        <v>2</v>
      </c>
      <c r="B81" s="722">
        <f>Irrigation!B30</f>
        <v>30</v>
      </c>
      <c r="C81" s="720">
        <f>IF(Irrigation!B20=1,Irrigation!D4,Irrigation!F5)</f>
        <v>120</v>
      </c>
      <c r="D81" s="303">
        <f>IF(B84&gt;0,C81+(B84*2.31),0)</f>
        <v>124.62</v>
      </c>
      <c r="E81" s="301"/>
      <c r="F81" s="300"/>
      <c r="G81" s="301"/>
      <c r="H81" s="301"/>
      <c r="I81" s="301"/>
      <c r="J81" s="301"/>
      <c r="K81" s="837" t="s">
        <v>608</v>
      </c>
      <c r="L81" s="301"/>
      <c r="M81" s="918">
        <f>IF(AND(Irrigation!B2=1,A2_Budget_Look_Up!B10&gt;0),0.0021,0)</f>
        <v>0</v>
      </c>
    </row>
    <row r="82" spans="1:13" x14ac:dyDescent="0.35">
      <c r="A82" s="304"/>
      <c r="B82" s="719">
        <f>IF(Irrigation!B2=1,2,0)</f>
        <v>2</v>
      </c>
      <c r="C82" s="302"/>
      <c r="D82" s="306"/>
      <c r="E82" s="301"/>
      <c r="F82" s="300"/>
      <c r="G82" s="301"/>
      <c r="H82" s="301"/>
      <c r="I82" s="301"/>
      <c r="J82" s="301"/>
      <c r="K82" s="837" t="s">
        <v>576</v>
      </c>
      <c r="L82" s="301"/>
      <c r="M82" s="919">
        <f>IF(Irrigation!B2=2,0.008,0)</f>
        <v>0</v>
      </c>
    </row>
    <row r="83" spans="1:13" ht="13.15" x14ac:dyDescent="0.4">
      <c r="A83" s="304"/>
      <c r="B83" s="305">
        <f>IF(Irrigation!B2=2,30,0)</f>
        <v>0</v>
      </c>
      <c r="C83" s="301"/>
      <c r="D83" s="301"/>
      <c r="E83" s="301"/>
      <c r="F83" s="300"/>
      <c r="G83" s="301"/>
      <c r="H83" s="389"/>
      <c r="I83" s="389"/>
      <c r="J83" s="389"/>
      <c r="K83" s="838" t="s">
        <v>577</v>
      </c>
      <c r="L83" s="839"/>
      <c r="M83" s="920">
        <f>SUM(M80:M82)</f>
        <v>3.3E-3</v>
      </c>
    </row>
    <row r="84" spans="1:13" ht="13.5" thickBot="1" x14ac:dyDescent="0.45">
      <c r="A84" s="304"/>
      <c r="B84" s="305">
        <f>SUM(B82:B83)</f>
        <v>2</v>
      </c>
      <c r="C84" s="301"/>
      <c r="D84" s="301"/>
      <c r="E84" s="301"/>
      <c r="F84" s="301"/>
      <c r="G84" s="301"/>
      <c r="H84" s="301"/>
      <c r="I84" s="703" t="s">
        <v>579</v>
      </c>
      <c r="J84" s="389"/>
      <c r="K84" s="300"/>
      <c r="L84" s="300"/>
      <c r="M84" s="979">
        <f>'C2_Irrigation_Calculations'!M83*Budget!D29</f>
        <v>3.3000000000000002E-2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2"/>
  <sheetViews>
    <sheetView workbookViewId="0"/>
  </sheetViews>
  <sheetFormatPr defaultRowHeight="12.75" x14ac:dyDescent="0.35"/>
  <cols>
    <col min="1" max="1" width="31.3984375" customWidth="1"/>
    <col min="2" max="2" width="9.73046875" customWidth="1"/>
    <col min="3" max="3" width="10.1328125" bestFit="1" customWidth="1"/>
    <col min="4" max="4" width="6.3984375" customWidth="1"/>
    <col min="5" max="5" width="9" customWidth="1"/>
    <col min="6" max="6" width="10.1328125" bestFit="1" customWidth="1"/>
  </cols>
  <sheetData>
    <row r="1" spans="1:9" ht="15" customHeight="1" x14ac:dyDescent="0.4">
      <c r="A1" s="1877" t="s">
        <v>654</v>
      </c>
      <c r="B1" s="156"/>
      <c r="C1" s="156"/>
      <c r="D1" s="156"/>
      <c r="E1" s="156"/>
      <c r="F1" s="156"/>
      <c r="G1" s="4"/>
      <c r="H1" s="4"/>
      <c r="I1" s="4"/>
    </row>
    <row r="2" spans="1:9" ht="15" customHeight="1" x14ac:dyDescent="0.4">
      <c r="A2" s="1806" t="str">
        <f>Print_Summary!G1</f>
        <v>Grain Sorghum, Furrow</v>
      </c>
      <c r="B2" s="1807"/>
      <c r="C2" s="1807"/>
      <c r="D2" s="1807"/>
      <c r="E2" s="1807"/>
      <c r="F2" s="1808"/>
      <c r="G2" s="4"/>
      <c r="H2" s="4"/>
      <c r="I2" s="4"/>
    </row>
    <row r="3" spans="1:9" ht="15" customHeight="1" x14ac:dyDescent="0.4">
      <c r="A3" s="1809" t="s">
        <v>664</v>
      </c>
      <c r="B3" s="409" t="s">
        <v>704</v>
      </c>
      <c r="C3" s="409"/>
      <c r="D3" s="1742"/>
      <c r="E3" s="1807" t="s">
        <v>705</v>
      </c>
      <c r="F3" s="1808"/>
      <c r="G3" s="4"/>
      <c r="H3" s="4"/>
      <c r="I3" s="4"/>
    </row>
    <row r="4" spans="1:9" ht="13.9" x14ac:dyDescent="0.4">
      <c r="A4" s="1813" t="s">
        <v>13</v>
      </c>
      <c r="B4" s="530" t="s">
        <v>442</v>
      </c>
      <c r="C4" s="530" t="s">
        <v>649</v>
      </c>
      <c r="D4" s="1842"/>
      <c r="E4" s="530" t="s">
        <v>442</v>
      </c>
      <c r="F4" s="1814" t="s">
        <v>649</v>
      </c>
      <c r="G4" s="4"/>
      <c r="H4" s="4"/>
      <c r="I4" s="4"/>
    </row>
    <row r="5" spans="1:9" ht="13.9" x14ac:dyDescent="0.4">
      <c r="A5" s="1834" t="s">
        <v>47</v>
      </c>
      <c r="B5" s="468">
        <v>1</v>
      </c>
      <c r="C5" s="492">
        <f>Print_Summary!I2</f>
        <v>500</v>
      </c>
      <c r="D5" s="1843"/>
      <c r="E5" s="468">
        <f t="shared" ref="E5:F7" si="0">B5</f>
        <v>1</v>
      </c>
      <c r="F5" s="1844">
        <f t="shared" si="0"/>
        <v>500</v>
      </c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096">
        <f>Budget!D3</f>
        <v>105</v>
      </c>
      <c r="C6" s="1822">
        <f>B6*Print_Summary!$I$2</f>
        <v>52500</v>
      </c>
      <c r="D6" s="1845"/>
      <c r="E6" s="1096">
        <f t="shared" si="0"/>
        <v>105</v>
      </c>
      <c r="F6" s="1821">
        <f t="shared" si="0"/>
        <v>52500</v>
      </c>
      <c r="G6" s="4"/>
      <c r="H6" s="1096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4.75</v>
      </c>
      <c r="C7" s="1097">
        <f>B7</f>
        <v>4.75</v>
      </c>
      <c r="D7" s="1846"/>
      <c r="E7" s="1097">
        <f t="shared" si="0"/>
        <v>4.75</v>
      </c>
      <c r="F7" s="1847">
        <f t="shared" si="0"/>
        <v>4.75</v>
      </c>
      <c r="G7" s="1988" t="s">
        <v>1017</v>
      </c>
      <c r="H7" s="1986"/>
      <c r="I7" s="4"/>
    </row>
    <row r="8" spans="1:9" ht="13.9" x14ac:dyDescent="0.4">
      <c r="A8" s="1819" t="s">
        <v>751</v>
      </c>
      <c r="B8" s="1098">
        <f>Budget!B3</f>
        <v>1</v>
      </c>
      <c r="C8" s="1098">
        <f>B8</f>
        <v>1</v>
      </c>
      <c r="D8" s="1848"/>
      <c r="E8" s="1098">
        <f>1-B8</f>
        <v>0</v>
      </c>
      <c r="F8" s="1824">
        <f>E8</f>
        <v>0</v>
      </c>
      <c r="G8" s="1988" t="s">
        <v>1016</v>
      </c>
      <c r="H8" s="1986"/>
      <c r="I8" s="4"/>
    </row>
    <row r="9" spans="1:9" ht="13.9" x14ac:dyDescent="0.4">
      <c r="A9" s="1825" t="s">
        <v>231</v>
      </c>
      <c r="B9" s="1826">
        <f>Budget!F3</f>
        <v>498.75</v>
      </c>
      <c r="C9" s="1829">
        <f>B9*Print_Summary!$I$2</f>
        <v>249375</v>
      </c>
      <c r="D9" s="1849"/>
      <c r="E9" s="173">
        <f>(E6*E7)-B9</f>
        <v>0</v>
      </c>
      <c r="F9" s="1827">
        <f>E9*Print_Summary!$I$2</f>
        <v>0</v>
      </c>
      <c r="G9" s="4"/>
      <c r="H9" s="173"/>
      <c r="I9" s="4"/>
    </row>
    <row r="10" spans="1:9" ht="13.9" x14ac:dyDescent="0.4">
      <c r="A10" s="1825" t="str">
        <f>IF(A2_Budget_Look_Up!B7=1,"Cottonseed Value"," ")</f>
        <v xml:space="preserve"> </v>
      </c>
      <c r="B10" s="1826" t="str">
        <f>IF(A2_Budget_Look_Up!B7=1,Budget!F4," ")</f>
        <v xml:space="preserve"> </v>
      </c>
      <c r="C10" s="1829" t="str">
        <f>IF(A2_Budget_Look_Up!B7=1,B10*Print_Summary!$I$2," ")</f>
        <v xml:space="preserve"> </v>
      </c>
      <c r="D10" s="1849"/>
      <c r="E10" s="173" t="str">
        <f>IF(A2_Budget_Look_Up!B7=1,IF(A2_Budget_Look_Up!B7=1,Budget!D4*Budget!E4,0)*(1-Budget!B4)," ")</f>
        <v xml:space="preserve"> </v>
      </c>
      <c r="F10" s="1827" t="str">
        <f>IF(A2_Budget_Look_Up!B7=1,E10*Print_Summary!$I$2," ")</f>
        <v xml:space="preserve"> </v>
      </c>
      <c r="G10" s="4"/>
      <c r="H10" s="173"/>
      <c r="I10" s="4"/>
    </row>
    <row r="11" spans="1:9" ht="9.9499999999999993" customHeight="1" x14ac:dyDescent="0.4">
      <c r="A11" s="1825"/>
      <c r="B11" s="1826"/>
      <c r="C11" s="1829"/>
      <c r="D11" s="1849"/>
      <c r="E11" s="173"/>
      <c r="F11" s="1827"/>
      <c r="G11" s="4"/>
      <c r="H11" s="173"/>
      <c r="I11" s="4"/>
    </row>
    <row r="12" spans="1:9" ht="13.9" x14ac:dyDescent="0.4">
      <c r="A12" s="1831" t="s">
        <v>651</v>
      </c>
      <c r="B12" s="1835"/>
      <c r="C12" s="1097"/>
      <c r="D12" s="1846"/>
      <c r="E12" s="1097"/>
      <c r="F12" s="1821"/>
      <c r="G12" s="4"/>
      <c r="H12" s="1097"/>
      <c r="I12" s="4"/>
    </row>
    <row r="13" spans="1:9" ht="15" customHeight="1" x14ac:dyDescent="0.4">
      <c r="A13" s="1834" t="s">
        <v>223</v>
      </c>
      <c r="B13" s="1835">
        <f>Budget!F6</f>
        <v>27.04</v>
      </c>
      <c r="C13" s="1822">
        <f>B13*Print_Summary!$I$2</f>
        <v>13520</v>
      </c>
      <c r="D13" s="1845"/>
      <c r="E13" s="1097">
        <f>(Budget!D6*Budget!E6)-B13</f>
        <v>0</v>
      </c>
      <c r="F13" s="1821">
        <f>E13*Print_Summary!$I$2</f>
        <v>0</v>
      </c>
      <c r="G13" s="4"/>
      <c r="H13" s="1097">
        <v>120.17500000000001</v>
      </c>
      <c r="I13" s="1097">
        <f>B13+E13-H13</f>
        <v>-93.135000000000019</v>
      </c>
    </row>
    <row r="14" spans="1:9" ht="13.9" x14ac:dyDescent="0.4">
      <c r="A14" s="1834" t="s">
        <v>224</v>
      </c>
      <c r="B14" s="1835">
        <f>SUM(Budget!F7:F13)</f>
        <v>199.79166666666666</v>
      </c>
      <c r="C14" s="1822">
        <f>B14*Print_Summary!$I$2</f>
        <v>99895.833333333328</v>
      </c>
      <c r="D14" s="1845"/>
      <c r="E14" s="1097">
        <f>(Fertilizer!D3*Fertilizer!E3)+(Fertilizer!D4*Fertilizer!E4)+(Fertilizer!D5*Fertilizer!E5)+(Fertilizer!D6*Fertilizer!E6)+(Fertilizer!D7*Fertilizer!E7)+(Fertilizer!D8*Fertilizer!E8)-B14</f>
        <v>0</v>
      </c>
      <c r="F14" s="1821">
        <f>E14*Print_Summary!$I$2</f>
        <v>0</v>
      </c>
      <c r="G14" s="4"/>
      <c r="H14" s="1097">
        <v>90.788799999999995</v>
      </c>
      <c r="I14" s="1097">
        <f>B14+E14-H14</f>
        <v>109.00286666666666</v>
      </c>
    </row>
    <row r="15" spans="1:9" ht="13.9" x14ac:dyDescent="0.4">
      <c r="A15" s="1834" t="s">
        <v>494</v>
      </c>
      <c r="B15" s="1835">
        <f>SUM(Budget!F14:F18)</f>
        <v>62.027450000000009</v>
      </c>
      <c r="C15" s="1822">
        <f>B15*Print_Summary!$I$2</f>
        <v>31013.725000000006</v>
      </c>
      <c r="D15" s="1845"/>
      <c r="E15" s="1097">
        <f>(Budget!D14*Budget!E14)+(Budget!D15*Budget!E15)+(Budget!D16*Budget!E16)+(Budget!D17*Budget!E17)+(Budget!D18*Budget!E18)-B15</f>
        <v>0</v>
      </c>
      <c r="F15" s="1821">
        <f>E15*Print_Summary!$I$2</f>
        <v>0</v>
      </c>
      <c r="G15" s="4"/>
      <c r="H15" s="1097">
        <v>209.05249999999998</v>
      </c>
      <c r="I15" s="1097">
        <f>B15+E15-H15</f>
        <v>-147.02504999999996</v>
      </c>
    </row>
    <row r="16" spans="1:9" ht="13.9" x14ac:dyDescent="0.4">
      <c r="A16" s="1834" t="s">
        <v>225</v>
      </c>
      <c r="B16" s="1835">
        <f>SUM(Budget!F20:F23)</f>
        <v>76.5</v>
      </c>
      <c r="C16" s="1822">
        <f>B16*Print_Summary!$I$2</f>
        <v>38250</v>
      </c>
      <c r="D16" s="1845"/>
      <c r="E16" s="1097">
        <f>(Budget!D20*Budget!E20)+(Budget!D21*Budget!E21)+(Budget!D22*Budget!E22)+(Budget!D23*Budget!E23)-B16</f>
        <v>0</v>
      </c>
      <c r="F16" s="1821">
        <f>E16*Print_Summary!$I$2</f>
        <v>0</v>
      </c>
      <c r="G16" s="4"/>
      <c r="H16" s="1097">
        <v>14</v>
      </c>
      <c r="I16" s="1097">
        <f>B16+E16-H16</f>
        <v>62.5</v>
      </c>
    </row>
    <row r="17" spans="1:9" ht="13.9" x14ac:dyDescent="0.4">
      <c r="A17" s="1834" t="s">
        <v>462</v>
      </c>
      <c r="B17" s="1835">
        <f>Budget!F25+Budget!F27</f>
        <v>13.379969447676972</v>
      </c>
      <c r="C17" s="1822">
        <f>B17*Print_Summary!$I$2</f>
        <v>6689.9847238384864</v>
      </c>
      <c r="D17" s="1845"/>
      <c r="E17" s="1097">
        <f>(Budget!D25*Budget!E25)+(Budget!D27*Budget!E27)-B17</f>
        <v>0</v>
      </c>
      <c r="F17" s="1821">
        <f>E17*Print_Summary!$I$2</f>
        <v>0</v>
      </c>
      <c r="G17" s="4"/>
      <c r="H17" s="1097">
        <v>28.066863748897021</v>
      </c>
      <c r="I17" s="1097">
        <f>B17+E17-H17</f>
        <v>-14.686894301220049</v>
      </c>
    </row>
    <row r="18" spans="1:9" ht="13.9" x14ac:dyDescent="0.4">
      <c r="A18" s="1834" t="s">
        <v>227</v>
      </c>
      <c r="B18" s="1835">
        <f>Budget!F29</f>
        <v>29.055824511278196</v>
      </c>
      <c r="C18" s="1822">
        <f>B18*Print_Summary!$I$2</f>
        <v>14527.912255639098</v>
      </c>
      <c r="D18" s="1845"/>
      <c r="E18" s="1097">
        <f>(Budget!D29*Budget!E29)-B18</f>
        <v>0</v>
      </c>
      <c r="F18" s="1821">
        <f>E18*Print_Summary!$I$2</f>
        <v>0</v>
      </c>
      <c r="G18" s="4"/>
      <c r="H18" s="1097">
        <v>35.150460872180453</v>
      </c>
      <c r="I18" s="1097">
        <f t="shared" ref="I18:I34" si="1">B18+E18-H18</f>
        <v>-6.0946363609022569</v>
      </c>
    </row>
    <row r="19" spans="1:9" ht="13.9" x14ac:dyDescent="0.4">
      <c r="A19" s="1834" t="s">
        <v>780</v>
      </c>
      <c r="B19" s="1835">
        <f>Budget!F31+Budget!F32</f>
        <v>16.25</v>
      </c>
      <c r="C19" s="1822">
        <f>B19*Print_Summary!$I$2</f>
        <v>8125</v>
      </c>
      <c r="D19" s="1845"/>
      <c r="E19" s="1097">
        <f>(Budget!D31*Budget!E31)+(Budget!D32*Budget!E32)-B19</f>
        <v>0</v>
      </c>
      <c r="F19" s="1821">
        <f>E19*Print_Summary!$I$2</f>
        <v>0</v>
      </c>
      <c r="G19" s="4"/>
      <c r="H19" s="1097">
        <v>3.45</v>
      </c>
      <c r="I19" s="1097">
        <f t="shared" si="1"/>
        <v>12.8</v>
      </c>
    </row>
    <row r="20" spans="1:9" ht="15" customHeight="1" x14ac:dyDescent="0.4">
      <c r="A20" s="1825" t="s">
        <v>777</v>
      </c>
      <c r="B20" s="1836">
        <f>SUM(Budget!F6:F18)+SUM(Budget!F20:F23)+Budget!F25+Budget!F27+Budget!F29+Budget!F31+Budget!F32</f>
        <v>424.04491062562187</v>
      </c>
      <c r="C20" s="1827">
        <f>B20*Print_Summary!$I$2</f>
        <v>212022.45531281093</v>
      </c>
      <c r="D20" s="1845"/>
      <c r="E20" s="1099">
        <f>SUM(E13:E19)</f>
        <v>0</v>
      </c>
      <c r="F20" s="1827">
        <f>E20*Print_Summary!$I$2</f>
        <v>0</v>
      </c>
      <c r="G20" s="4"/>
      <c r="H20" s="1099">
        <v>500.68362462107746</v>
      </c>
      <c r="I20" s="1099">
        <f t="shared" si="1"/>
        <v>-76.638713995455589</v>
      </c>
    </row>
    <row r="21" spans="1:9" ht="13.9" x14ac:dyDescent="0.4">
      <c r="A21" s="1834" t="s">
        <v>778</v>
      </c>
      <c r="B21" s="1835">
        <f>Budget!F34+Budget!F35</f>
        <v>6</v>
      </c>
      <c r="C21" s="1822">
        <f>B21*Print_Summary!$I$2</f>
        <v>3000</v>
      </c>
      <c r="D21" s="1845"/>
      <c r="E21" s="1097">
        <f>(Budget!D34*Budget!E34)+(Budget!D35*Budget!E35)-B21</f>
        <v>0</v>
      </c>
      <c r="F21" s="1821">
        <f>E21*Print_Summary!$I$2</f>
        <v>0</v>
      </c>
      <c r="G21" s="4"/>
      <c r="H21" s="1097">
        <v>24</v>
      </c>
      <c r="I21" s="1097">
        <f t="shared" si="1"/>
        <v>-18</v>
      </c>
    </row>
    <row r="22" spans="1:9" ht="13.9" x14ac:dyDescent="0.4">
      <c r="A22" s="1834" t="s">
        <v>1</v>
      </c>
      <c r="B22" s="1835">
        <f>Budget!F36</f>
        <v>31</v>
      </c>
      <c r="C22" s="1822">
        <f>B22*Print_Summary!$I$2</f>
        <v>15500</v>
      </c>
      <c r="D22" s="1845"/>
      <c r="E22" s="1097">
        <f>(Budget!D36*Budget!E36)-B22</f>
        <v>0</v>
      </c>
      <c r="F22" s="1821">
        <f>E22*Print_Summary!$I$2</f>
        <v>0</v>
      </c>
      <c r="G22" s="4"/>
      <c r="H22" s="1097">
        <v>0</v>
      </c>
      <c r="I22" s="1097">
        <f t="shared" si="1"/>
        <v>31</v>
      </c>
    </row>
    <row r="23" spans="1:9" ht="15.4" x14ac:dyDescent="0.4">
      <c r="A23" s="1834" t="s">
        <v>750</v>
      </c>
      <c r="B23" s="1835">
        <f>Budget!F26+Budget!F28+Budget!F30</f>
        <v>22.281558492000876</v>
      </c>
      <c r="C23" s="1822">
        <f>B23*Print_Summary!$I$2</f>
        <v>11140.779246000438</v>
      </c>
      <c r="D23" s="1845"/>
      <c r="E23" s="1097">
        <f>'C2_Irrigation_Calculations'!I76</f>
        <v>0</v>
      </c>
      <c r="F23" s="1821">
        <f>E23*Print_Summary!$I$2</f>
        <v>0</v>
      </c>
      <c r="G23" s="4"/>
      <c r="H23" s="1097">
        <v>33.024243804053476</v>
      </c>
      <c r="I23" s="1097">
        <f t="shared" si="1"/>
        <v>-10.7426853120526</v>
      </c>
    </row>
    <row r="24" spans="1:9" ht="15" customHeight="1" x14ac:dyDescent="0.4">
      <c r="A24" s="1834" t="s">
        <v>214</v>
      </c>
      <c r="B24" s="1835">
        <f>Budget!F33</f>
        <v>17.645265008590073</v>
      </c>
      <c r="C24" s="1822">
        <f>B24*Print_Summary!$I$2</f>
        <v>8822.6325042950357</v>
      </c>
      <c r="D24" s="1845"/>
      <c r="E24" s="1097">
        <f>(Budget!D33*Budget!E33)-B24</f>
        <v>0</v>
      </c>
      <c r="F24" s="1821">
        <f>E24*Print_Summary!$I$2</f>
        <v>0</v>
      </c>
      <c r="G24" s="4"/>
      <c r="H24" s="1097">
        <v>23.327845824478988</v>
      </c>
      <c r="I24" s="1097">
        <f t="shared" si="1"/>
        <v>-5.6825808158889153</v>
      </c>
    </row>
    <row r="25" spans="1:9" ht="15" customHeight="1" x14ac:dyDescent="0.4">
      <c r="A25" s="1825" t="s">
        <v>640</v>
      </c>
      <c r="B25" s="1836">
        <f>SUM(Budget!F6:F18)+SUM(Budget!F20:F23)+SUM(Budget!F25:F36)</f>
        <v>500.97173412621282</v>
      </c>
      <c r="C25" s="1829">
        <f>B25*Print_Summary!$I$2</f>
        <v>250485.86706310642</v>
      </c>
      <c r="D25" s="1849"/>
      <c r="E25" s="1099">
        <f>SUM(E13:E19)+SUM(E23:E24)</f>
        <v>0</v>
      </c>
      <c r="F25" s="1827">
        <f>E25*Print_Summary!$I$2</f>
        <v>0</v>
      </c>
      <c r="G25" s="4"/>
      <c r="H25" s="1099">
        <v>581.0357142496099</v>
      </c>
      <c r="I25" s="1099">
        <f t="shared" si="1"/>
        <v>-80.063980123397073</v>
      </c>
    </row>
    <row r="26" spans="1:9" ht="13.9" x14ac:dyDescent="0.4">
      <c r="A26" s="1834" t="s">
        <v>28</v>
      </c>
      <c r="B26" s="1835">
        <f>Budget!F37</f>
        <v>20.665084032706279</v>
      </c>
      <c r="C26" s="1822">
        <f>B26*Print_Summary!$I$2</f>
        <v>10332.54201635314</v>
      </c>
      <c r="D26" s="1845"/>
      <c r="E26" s="1097">
        <f>((Budget!D37/100)*Program_Variables!D34)*(E20+E25)</f>
        <v>0</v>
      </c>
      <c r="F26" s="1821">
        <f>E26*Print_Summary!$I$2</f>
        <v>0</v>
      </c>
      <c r="G26" s="4"/>
      <c r="H26" s="1097">
        <v>13.799598213428238</v>
      </c>
      <c r="I26" s="1097">
        <f t="shared" si="1"/>
        <v>6.8654858192780406</v>
      </c>
    </row>
    <row r="27" spans="1:9" ht="13.9" x14ac:dyDescent="0.4">
      <c r="A27" s="1834" t="s">
        <v>228</v>
      </c>
      <c r="B27" s="1835">
        <f>SUM(Budget!F39:F43)</f>
        <v>27.3</v>
      </c>
      <c r="C27" s="1822">
        <f>B27*Print_Summary!$I$2</f>
        <v>13650</v>
      </c>
      <c r="D27" s="1845"/>
      <c r="E27" s="1097">
        <f>IF(B27&gt;0,(Budget!D40*Budget!E40*(1-Budget!B40))+(Budget!D41*Budget!E41*(1-Budget!B41))+(Budget!D42*Budget!E42*(1-Budget!B42))+(0),0)</f>
        <v>0</v>
      </c>
      <c r="F27" s="1821">
        <f>E27*Print_Summary!$I$2</f>
        <v>0</v>
      </c>
      <c r="G27" s="4"/>
      <c r="H27" s="1097">
        <v>144.78</v>
      </c>
      <c r="I27" s="1097">
        <f t="shared" si="1"/>
        <v>-117.48</v>
      </c>
    </row>
    <row r="28" spans="1:9" ht="13.9" x14ac:dyDescent="0.4">
      <c r="A28" s="1834" t="s">
        <v>435</v>
      </c>
      <c r="B28" s="1835">
        <f>Budget!F38</f>
        <v>0</v>
      </c>
      <c r="C28" s="1822">
        <f>B28*Print_Summary!$I$2</f>
        <v>0</v>
      </c>
      <c r="D28" s="1845"/>
      <c r="E28" s="1097">
        <f>(Budget!D38*Budget!E38)-B28</f>
        <v>0</v>
      </c>
      <c r="F28" s="1821">
        <f>E28*Print_Summary!$I$2</f>
        <v>0</v>
      </c>
      <c r="G28" s="4"/>
      <c r="H28" s="1097">
        <v>0</v>
      </c>
      <c r="I28" s="1097">
        <f t="shared" si="1"/>
        <v>0</v>
      </c>
    </row>
    <row r="29" spans="1:9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548.9368181589191</v>
      </c>
      <c r="C29" s="1829">
        <f>B29*Print_Summary!$I$2</f>
        <v>274468.40907945955</v>
      </c>
      <c r="D29" s="1849"/>
      <c r="E29" s="1099">
        <f>SUM(E13:E19)+SUM(E21:E24)+SUM(E26:E28)-IF(A2_Budget_Look_Up!B7=1,E10,0)</f>
        <v>0</v>
      </c>
      <c r="F29" s="1827">
        <f>E29*Print_Summary!$I$2</f>
        <v>0</v>
      </c>
      <c r="G29" s="4"/>
      <c r="H29" s="1099">
        <v>594.83531246303824</v>
      </c>
      <c r="I29" s="1099">
        <f t="shared" si="1"/>
        <v>-45.89849430411914</v>
      </c>
    </row>
    <row r="30" spans="1:9" ht="13.9" x14ac:dyDescent="0.4">
      <c r="A30" s="1825" t="s">
        <v>233</v>
      </c>
      <c r="B30" s="1826">
        <f>B9-B29-B31</f>
        <v>-50.186818158919095</v>
      </c>
      <c r="C30" s="1829">
        <f>B30*Print_Summary!$I$2</f>
        <v>-25093.409079459547</v>
      </c>
      <c r="D30" s="1849"/>
      <c r="E30" s="173">
        <f>E9+E31-E29</f>
        <v>0</v>
      </c>
      <c r="F30" s="1827">
        <f>E30*Print_Summary!$I$2</f>
        <v>0</v>
      </c>
      <c r="G30" s="4"/>
      <c r="H30" s="173">
        <v>185.16468753696176</v>
      </c>
      <c r="I30" s="173">
        <f t="shared" si="1"/>
        <v>-235.35150569588086</v>
      </c>
    </row>
    <row r="31" spans="1:9" ht="15" customHeight="1" x14ac:dyDescent="0.4">
      <c r="A31" s="1834" t="s">
        <v>759</v>
      </c>
      <c r="B31" s="1835">
        <f>Budget!F44</f>
        <v>0</v>
      </c>
      <c r="C31" s="1822">
        <f>B31*Print_Summary!$I$2</f>
        <v>0</v>
      </c>
      <c r="D31" s="1845"/>
      <c r="E31" s="1097">
        <f>Budget!F44</f>
        <v>0</v>
      </c>
      <c r="F31" s="1821">
        <f>E31*Print_Summary!$I$2</f>
        <v>0</v>
      </c>
      <c r="G31" s="4"/>
      <c r="H31" s="1097">
        <v>0</v>
      </c>
      <c r="I31" s="1097">
        <f t="shared" si="1"/>
        <v>0</v>
      </c>
    </row>
    <row r="32" spans="1:9" ht="15" customHeight="1" x14ac:dyDescent="0.4">
      <c r="A32" s="1834" t="s">
        <v>230</v>
      </c>
      <c r="B32" s="1835">
        <f>Budget!F51+(('C2_Irrigation_Calculations'!H53+'C2_Irrigation_Calculations'!L69)*Program_Variables!H50)</f>
        <v>141.29136262745436</v>
      </c>
      <c r="C32" s="1822">
        <f>B32*Print_Summary!$I$2</f>
        <v>70645.681313727182</v>
      </c>
      <c r="D32" s="1845"/>
      <c r="E32" s="1097">
        <f>'C2_Irrigation_Calculations'!H53+'C2_Irrigation_Calculations'!L69</f>
        <v>0</v>
      </c>
      <c r="F32" s="1821">
        <f>E32*Print_Summary!$I$2</f>
        <v>0</v>
      </c>
      <c r="G32" s="4"/>
      <c r="H32" s="1097">
        <v>178.59498993812403</v>
      </c>
      <c r="I32" s="1097">
        <f t="shared" si="1"/>
        <v>-37.303627310669668</v>
      </c>
    </row>
    <row r="33" spans="1:9" ht="13.9" x14ac:dyDescent="0.4">
      <c r="A33" s="1825" t="s">
        <v>650</v>
      </c>
      <c r="B33" s="1836">
        <f>B29+B32</f>
        <v>690.22818078637351</v>
      </c>
      <c r="C33" s="1829">
        <f>B33*Print_Summary!$I$2</f>
        <v>345114.09039318678</v>
      </c>
      <c r="D33" s="1849"/>
      <c r="E33" s="1099">
        <f>E29+E32</f>
        <v>0</v>
      </c>
      <c r="F33" s="1827">
        <f>E33*Print_Summary!$I$2</f>
        <v>0</v>
      </c>
      <c r="G33" s="4"/>
      <c r="H33" s="1099">
        <v>773.43030240116229</v>
      </c>
      <c r="I33" s="1099">
        <f t="shared" si="1"/>
        <v>-83.20212161478878</v>
      </c>
    </row>
    <row r="34" spans="1:9" ht="13.9" x14ac:dyDescent="0.4">
      <c r="A34" s="1825" t="str">
        <f>IF(OR(Budget!B3&lt;1,Budget!E44&gt;0),"Returns to Specified Expenses","Returns to Specified Expenses")</f>
        <v>Returns to Specified Expenses</v>
      </c>
      <c r="B34" s="1826">
        <f>B9-B33-B31</f>
        <v>-191.47818078637351</v>
      </c>
      <c r="C34" s="1829">
        <f>B34*Print_Summary!$I$2</f>
        <v>-95739.090393186751</v>
      </c>
      <c r="D34" s="1849"/>
      <c r="E34" s="173">
        <f>E9+E31-E33</f>
        <v>0</v>
      </c>
      <c r="F34" s="1827">
        <f>E34*Print_Summary!$I$2</f>
        <v>0</v>
      </c>
      <c r="G34" s="4"/>
      <c r="H34" s="173">
        <v>6.5696975988377062</v>
      </c>
      <c r="I34" s="173">
        <f t="shared" si="1"/>
        <v>-198.04787838521122</v>
      </c>
    </row>
    <row r="35" spans="1:9" ht="13.9" x14ac:dyDescent="0.4">
      <c r="A35" s="1825"/>
      <c r="B35" s="173"/>
      <c r="C35" s="173"/>
      <c r="D35" s="1850"/>
      <c r="E35" s="173"/>
      <c r="F35" s="1830"/>
      <c r="G35" s="4"/>
      <c r="H35" s="4"/>
      <c r="I35" s="4"/>
    </row>
    <row r="36" spans="1:9" ht="13.9" x14ac:dyDescent="0.4">
      <c r="A36" s="1819" t="str">
        <f>IF(A2_Budget_Look_Up!B7=1,"Operating Expenses/lb.",'C1_Messages_Indicators'!F26)</f>
        <v>Operating Expenses/bu.</v>
      </c>
      <c r="B36" s="1097">
        <f>B29/B6</f>
        <v>5.2279696967516101</v>
      </c>
      <c r="C36" s="1097">
        <f>C29/C6</f>
        <v>5.2279696967516109</v>
      </c>
      <c r="D36" s="1846"/>
      <c r="E36" s="1097">
        <f>MAX(E29,0)/E6</f>
        <v>0</v>
      </c>
      <c r="F36" s="1823">
        <f>MAX(F29,0)/F6</f>
        <v>0</v>
      </c>
      <c r="G36" s="4"/>
      <c r="H36" s="4"/>
      <c r="I36" s="4"/>
    </row>
    <row r="37" spans="1:9" ht="14.25" thickBot="1" x14ac:dyDescent="0.45">
      <c r="A37" s="1809" t="str">
        <f>IF(A2_Budget_Look_Up!B7=1,"Total Specified Expenses/lb.",'C1_Messages_Indicators'!H26)</f>
        <v>Total Specified Expenses/bu.</v>
      </c>
      <c r="B37" s="1839">
        <f>B33/B6</f>
        <v>6.5736017217749856</v>
      </c>
      <c r="C37" s="1839">
        <f>C33/C6</f>
        <v>6.5736017217749865</v>
      </c>
      <c r="D37" s="1846"/>
      <c r="E37" s="1839">
        <f>MAX(E33,0)/E6</f>
        <v>0</v>
      </c>
      <c r="F37" s="1840">
        <f>MAX(F33,0)/F6</f>
        <v>0</v>
      </c>
      <c r="G37" s="4"/>
      <c r="H37" s="4"/>
      <c r="I37" s="4"/>
    </row>
    <row r="38" spans="1:9" ht="14.25" thickBot="1" x14ac:dyDescent="0.45">
      <c r="A38" s="1834" t="s">
        <v>706</v>
      </c>
      <c r="B38" s="1854" t="s">
        <v>1019</v>
      </c>
      <c r="C38" s="1854"/>
      <c r="D38" s="1213">
        <v>4500</v>
      </c>
      <c r="E38" s="4"/>
      <c r="F38" s="1851"/>
      <c r="G38" s="4"/>
      <c r="H38" s="4"/>
      <c r="I38" s="4"/>
    </row>
    <row r="39" spans="1:9" ht="13.9" x14ac:dyDescent="0.4">
      <c r="A39" s="1809" t="s">
        <v>707</v>
      </c>
      <c r="B39" s="1852">
        <f>IF(AND(Budget!B3=1,Budget!F44=0),(B34-0)/$D$38," ")</f>
        <v>-4.2550706841416333E-2</v>
      </c>
      <c r="C39" s="1243"/>
      <c r="D39" s="1883"/>
      <c r="E39" s="1852" t="str">
        <f>IF(OR(Budget!B3&lt;1,Budget!F44&gt;0),(E34-0)/$D$38," ")</f>
        <v xml:space="preserve"> </v>
      </c>
      <c r="F39" s="1853"/>
      <c r="G39" s="4"/>
      <c r="H39" s="4"/>
      <c r="I39" s="4"/>
    </row>
    <row r="40" spans="1:9" ht="13.9" x14ac:dyDescent="0.4">
      <c r="A40" s="4"/>
      <c r="B40" s="4"/>
      <c r="C40" s="4"/>
      <c r="D40" s="4"/>
      <c r="E40" s="4"/>
      <c r="F40" s="4"/>
      <c r="G40" s="4"/>
      <c r="H40" s="4"/>
      <c r="I40" s="4"/>
    </row>
    <row r="41" spans="1:9" ht="15.4" x14ac:dyDescent="0.4">
      <c r="A41" s="4" t="s">
        <v>756</v>
      </c>
      <c r="B41" s="4"/>
      <c r="C41" s="4"/>
      <c r="D41" s="4"/>
      <c r="E41" s="4"/>
      <c r="F41" s="4"/>
      <c r="G41" s="4"/>
      <c r="H41" s="4"/>
      <c r="I41" s="4"/>
    </row>
    <row r="42" spans="1:9" ht="15.4" x14ac:dyDescent="0.4">
      <c r="A42" s="4" t="s">
        <v>757</v>
      </c>
      <c r="B42" s="4"/>
      <c r="C42" s="4"/>
      <c r="D42" s="4"/>
      <c r="E42" s="4"/>
      <c r="F42" s="4"/>
      <c r="G42" s="4"/>
      <c r="H42" s="4"/>
      <c r="I42" s="4"/>
    </row>
  </sheetData>
  <sheetProtection selectLockedCells="1"/>
  <mergeCells count="3">
    <mergeCell ref="G5:I5"/>
    <mergeCell ref="G7:H7"/>
    <mergeCell ref="G8:H8"/>
  </mergeCells>
  <hyperlinks>
    <hyperlink ref="G7" location="Print_Budget!F1" display="Goto Print_Budget" xr:uid="{00000000-0004-0000-1300-000000000000}"/>
    <hyperlink ref="G8" location="Print_Summary!F1" display="Goto Print_Summary" xr:uid="{00000000-0004-0000-1300-000001000000}"/>
    <hyperlink ref="G5" location="Budget!F1" display="Goto Budget Worksheet" xr:uid="{00000000-0004-0000-1300-000002000000}"/>
    <hyperlink ref="G5:I5" location="Budget!F1" display="Return to Budget Worksheet" xr:uid="{00000000-0004-0000-1300-000003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59"/>
  <sheetViews>
    <sheetView tabSelected="1" zoomScaleNormal="100" workbookViewId="0"/>
  </sheetViews>
  <sheetFormatPr defaultRowHeight="12.75" x14ac:dyDescent="0.35"/>
  <cols>
    <col min="1" max="1" width="43.1328125" customWidth="1"/>
    <col min="2" max="2" width="9.73046875" customWidth="1"/>
    <col min="3" max="3" width="8.73046875" customWidth="1"/>
    <col min="4" max="4" width="9" customWidth="1"/>
    <col min="5" max="5" width="10.3984375" customWidth="1"/>
    <col min="6" max="6" width="9.796875" customWidth="1"/>
    <col min="7" max="7" width="6.640625E-2" customWidth="1"/>
    <col min="8" max="8" width="13.53125" style="1" customWidth="1"/>
    <col min="9" max="9" width="8.73046875" style="1" customWidth="1"/>
    <col min="10" max="10" width="7.9296875" customWidth="1"/>
    <col min="11" max="11" width="8.19921875" customWidth="1"/>
    <col min="12" max="12" width="6.86328125" customWidth="1"/>
    <col min="13" max="13" width="8.86328125" customWidth="1"/>
    <col min="14" max="14" width="13.86328125" customWidth="1"/>
  </cols>
  <sheetData>
    <row r="1" spans="1:11" ht="13.9" x14ac:dyDescent="0.4">
      <c r="A1" s="1860" t="str">
        <f>A2_Budget_Look_Up!D3</f>
        <v>Table 7. 2026 Grain Sorghum Enterprise Budget, Furrow Irrigation</v>
      </c>
      <c r="B1" s="1860"/>
      <c r="C1" s="1860"/>
      <c r="D1" s="1860"/>
      <c r="E1" s="1860"/>
      <c r="F1" s="949"/>
      <c r="G1" s="1316"/>
      <c r="H1" s="1858"/>
      <c r="I1" s="3"/>
    </row>
    <row r="2" spans="1:11" ht="15.95" customHeight="1" x14ac:dyDescent="0.4">
      <c r="A2" s="5" t="s">
        <v>186</v>
      </c>
      <c r="B2" s="19" t="s">
        <v>114</v>
      </c>
      <c r="C2" s="19" t="s">
        <v>2</v>
      </c>
      <c r="D2" s="19" t="s">
        <v>1029</v>
      </c>
      <c r="E2" s="19" t="s">
        <v>3</v>
      </c>
      <c r="F2" s="19" t="s">
        <v>13</v>
      </c>
      <c r="G2" s="1317"/>
      <c r="H2" s="1868"/>
      <c r="I2" s="1857"/>
      <c r="J2" s="1867"/>
      <c r="K2" s="1867"/>
    </row>
    <row r="3" spans="1:11" ht="14.1" customHeight="1" x14ac:dyDescent="0.4">
      <c r="A3" s="7" t="s">
        <v>1014</v>
      </c>
      <c r="B3" s="33">
        <v>1</v>
      </c>
      <c r="C3" s="8" t="str">
        <f>IF(A2_Budget_Look_Up!B7=1,"Lbs",'C1_Messages_Indicators'!B25)</f>
        <v>Bu.</v>
      </c>
      <c r="D3" s="398">
        <f>A3_Production_Look_Up!B4</f>
        <v>105</v>
      </c>
      <c r="E3" s="1258">
        <f>A3_Production_Look_Up!B5</f>
        <v>4.75</v>
      </c>
      <c r="F3" s="9">
        <f>IF('C1_Messages_Indicators'!B3=1,(D3*E3*B3),"Error")</f>
        <v>498.75</v>
      </c>
      <c r="G3" s="1318"/>
      <c r="H3" s="1858"/>
      <c r="I3" s="4"/>
      <c r="J3" s="4"/>
      <c r="K3" s="4"/>
    </row>
    <row r="4" spans="1:11" ht="14.1" customHeight="1" x14ac:dyDescent="0.4">
      <c r="A4" s="11" t="str">
        <f>IF(A2_Budget_Look_Up!B7=1,"Cottonseed Value"," ")</f>
        <v xml:space="preserve"> </v>
      </c>
      <c r="B4" s="1512" t="str">
        <f>IF(A2_Budget_Look_Up!B7=1,Seed_Chemical!I5," ")</f>
        <v xml:space="preserve"> </v>
      </c>
      <c r="C4" s="8" t="str">
        <f>IF(A2_Budget_Look_Up!B7=1,'C1_Messages_Indicators'!B14," ")</f>
        <v xml:space="preserve"> </v>
      </c>
      <c r="D4" s="15" t="str">
        <f>IF(A2_Budget_Look_Up!B7=1,'C1_Messages_Indicators'!B15," ")</f>
        <v xml:space="preserve"> </v>
      </c>
      <c r="E4" s="10" t="str">
        <f>IF(AND(A2_Budget_Look_Up!B7=1,Seed_Chemical!I7=0,Seed_Chemical!I8=0,D3&gt;0),SUM(F40:F42)/D4,'C1_Messages_Indicators'!B18)</f>
        <v xml:space="preserve"> </v>
      </c>
      <c r="F4" s="9" t="str">
        <f>IF(A2_Budget_Look_Up!B7=1,D4*E4*B4," ")</f>
        <v xml:space="preserve"> </v>
      </c>
      <c r="G4" s="1513"/>
      <c r="H4" s="1954"/>
      <c r="I4" s="4"/>
      <c r="J4" s="4"/>
      <c r="K4" s="4"/>
    </row>
    <row r="5" spans="1:11" ht="14.1" customHeight="1" x14ac:dyDescent="0.4">
      <c r="A5" s="5" t="s">
        <v>167</v>
      </c>
      <c r="B5" s="11"/>
      <c r="C5" s="6" t="s">
        <v>2</v>
      </c>
      <c r="D5" s="6" t="s">
        <v>12</v>
      </c>
      <c r="E5" s="6" t="s">
        <v>3</v>
      </c>
      <c r="F5" s="6" t="s">
        <v>14</v>
      </c>
      <c r="G5" s="1513"/>
      <c r="H5" s="1954"/>
      <c r="I5" s="1954"/>
      <c r="J5" s="4"/>
      <c r="K5" s="4"/>
    </row>
    <row r="6" spans="1:11" ht="13.9" x14ac:dyDescent="0.4">
      <c r="A6" s="11" t="str">
        <f>IF(A2_Budget_Look_Up!B7=1,"Seed, Includes Applicable Fees; See Note 2",'C1_Messages_Indicators'!B21)</f>
        <v>Seed, Includes Applicable Fees</v>
      </c>
      <c r="B6" s="33">
        <v>1</v>
      </c>
      <c r="C6" s="14" t="str">
        <f>Seed_Chemical!C4</f>
        <v>Lbs</v>
      </c>
      <c r="D6" s="552">
        <f>Seed_Chemical!E4</f>
        <v>6.5</v>
      </c>
      <c r="E6" s="10">
        <f>Seed_Chemical!D4</f>
        <v>4.16</v>
      </c>
      <c r="F6" s="9">
        <f t="shared" ref="F6:F11" si="0">D6*E6*B6</f>
        <v>27.04</v>
      </c>
      <c r="G6" s="1513"/>
      <c r="H6" s="1955"/>
      <c r="I6" s="1954"/>
      <c r="J6" s="4"/>
      <c r="K6" s="4"/>
    </row>
    <row r="7" spans="1:11" ht="14.1" customHeight="1" x14ac:dyDescent="0.4">
      <c r="A7" s="11" t="str">
        <f>Fertilizer!B3</f>
        <v xml:space="preserve">Urea (46-0-0), </v>
      </c>
      <c r="B7" s="33">
        <v>1</v>
      </c>
      <c r="C7" s="8" t="str">
        <f>Fertilizer!C3</f>
        <v>Lbs</v>
      </c>
      <c r="D7" s="10">
        <f>Fertilizer!D3</f>
        <v>350</v>
      </c>
      <c r="E7" s="10">
        <f>Fertilizer!E3</f>
        <v>0.28083333333333332</v>
      </c>
      <c r="F7" s="9">
        <f t="shared" si="0"/>
        <v>98.291666666666657</v>
      </c>
      <c r="G7" s="1513"/>
      <c r="H7" s="1976"/>
      <c r="I7" s="1954"/>
      <c r="J7" s="4"/>
      <c r="K7" s="4"/>
    </row>
    <row r="8" spans="1:11" ht="14.1" customHeight="1" x14ac:dyDescent="0.4">
      <c r="A8" s="11" t="str">
        <f>Fertilizer!B4</f>
        <v>Phosphate (0-46-0)</v>
      </c>
      <c r="B8" s="33">
        <v>1</v>
      </c>
      <c r="C8" s="8" t="str">
        <f>Fertilizer!C4</f>
        <v>Lbs</v>
      </c>
      <c r="D8" s="10">
        <f>Fertilizer!D4</f>
        <v>150</v>
      </c>
      <c r="E8" s="10">
        <f>Fertilizer!E4</f>
        <v>0.40500000000000003</v>
      </c>
      <c r="F8" s="9">
        <f t="shared" si="0"/>
        <v>60.750000000000007</v>
      </c>
      <c r="G8" s="1317"/>
      <c r="H8" s="1954"/>
      <c r="I8" s="1954"/>
      <c r="J8" s="4"/>
      <c r="K8" s="4"/>
    </row>
    <row r="9" spans="1:11" ht="14.1" customHeight="1" x14ac:dyDescent="0.4">
      <c r="A9" s="11" t="str">
        <f>Fertilizer!B5</f>
        <v>Potash (0-0-60)</v>
      </c>
      <c r="B9" s="33">
        <v>1</v>
      </c>
      <c r="C9" s="8" t="str">
        <f>Fertilizer!C5</f>
        <v>Lbs</v>
      </c>
      <c r="D9" s="10">
        <f>Fertilizer!D5</f>
        <v>120</v>
      </c>
      <c r="E9" s="10">
        <f>Fertilizer!E5</f>
        <v>0.22</v>
      </c>
      <c r="F9" s="9">
        <f t="shared" si="0"/>
        <v>26.4</v>
      </c>
      <c r="G9" s="1318"/>
      <c r="H9" s="1954"/>
      <c r="I9" s="1954"/>
      <c r="J9" s="4"/>
      <c r="K9" s="4"/>
    </row>
    <row r="10" spans="1:11" ht="14.1" customHeight="1" x14ac:dyDescent="0.4">
      <c r="A10" s="11" t="str">
        <f>Fertilizer!B6</f>
        <v>Ammonium Sulfate (21-0-0-24)</v>
      </c>
      <c r="B10" s="33">
        <v>1</v>
      </c>
      <c r="C10" s="8" t="str">
        <f>Fertilizer!C6</f>
        <v>Lbs</v>
      </c>
      <c r="D10" s="10">
        <f>Fertilizer!D6</f>
        <v>0</v>
      </c>
      <c r="E10" s="10">
        <f>Fertilizer!E6</f>
        <v>0.26750000000000002</v>
      </c>
      <c r="F10" s="9">
        <f t="shared" si="0"/>
        <v>0</v>
      </c>
      <c r="G10" s="1319"/>
      <c r="H10" s="1954"/>
      <c r="I10" s="1954"/>
      <c r="J10" s="4"/>
      <c r="K10" s="4"/>
    </row>
    <row r="11" spans="1:11" ht="14.1" customHeight="1" x14ac:dyDescent="0.4">
      <c r="A11" s="11" t="str">
        <f>Fertilizer!B7</f>
        <v>Boron</v>
      </c>
      <c r="B11" s="33">
        <v>1</v>
      </c>
      <c r="C11" s="8" t="str">
        <f>Fertilizer!C7</f>
        <v>Lbs</v>
      </c>
      <c r="D11" s="10">
        <f>Fertilizer!D7</f>
        <v>0</v>
      </c>
      <c r="E11" s="10">
        <f>Fertilizer!E7</f>
        <v>0.72</v>
      </c>
      <c r="F11" s="9">
        <f t="shared" si="0"/>
        <v>0</v>
      </c>
      <c r="G11" s="1322"/>
      <c r="H11" s="1954"/>
      <c r="I11" s="1954"/>
      <c r="J11" s="4"/>
      <c r="K11" s="4"/>
    </row>
    <row r="12" spans="1:11" ht="14.1" customHeight="1" x14ac:dyDescent="0.4">
      <c r="A12" s="11" t="str">
        <f>Fertilizer!B8</f>
        <v>Nitrogen Stabilizer (such as Agrotain)</v>
      </c>
      <c r="B12" s="33">
        <v>1</v>
      </c>
      <c r="C12" s="8" t="str">
        <f>Fertilizer!C8</f>
        <v>Gal</v>
      </c>
      <c r="D12" s="10">
        <f>Fertilizer!D8</f>
        <v>0.17500000000000002</v>
      </c>
      <c r="E12" s="10">
        <f>Fertilizer!E8</f>
        <v>82</v>
      </c>
      <c r="F12" s="9">
        <f>D12*E12*B12</f>
        <v>14.350000000000001</v>
      </c>
      <c r="G12" s="1319"/>
      <c r="H12" s="1954"/>
      <c r="I12" s="1954"/>
      <c r="J12" s="4"/>
      <c r="K12" s="4"/>
    </row>
    <row r="13" spans="1:11" ht="14.1" customHeight="1" x14ac:dyDescent="0.4">
      <c r="A13" s="11" t="str">
        <f>Fertilizer!B9</f>
        <v>DAP (18-46-0)</v>
      </c>
      <c r="B13" s="33">
        <v>1</v>
      </c>
      <c r="C13" s="8" t="str">
        <f>Fertilizer!C9</f>
        <v>Lbs</v>
      </c>
      <c r="D13" s="10">
        <f>Fertilizer!D9</f>
        <v>0</v>
      </c>
      <c r="E13" s="10">
        <f>Fertilizer!E9</f>
        <v>0.46500000000000002</v>
      </c>
      <c r="F13" s="9">
        <f t="shared" ref="F13:F18" si="1">D13*E13*B13</f>
        <v>0</v>
      </c>
      <c r="G13" s="1319"/>
      <c r="H13" s="1954"/>
      <c r="I13" s="1954"/>
      <c r="J13" s="4"/>
      <c r="K13" s="4"/>
    </row>
    <row r="14" spans="1:11" ht="14.1" customHeight="1" x14ac:dyDescent="0.4">
      <c r="A14" s="11" t="s">
        <v>183</v>
      </c>
      <c r="B14" s="33">
        <v>1</v>
      </c>
      <c r="C14" s="8" t="s">
        <v>4</v>
      </c>
      <c r="D14" s="8">
        <v>1</v>
      </c>
      <c r="E14" s="10">
        <f>Seed_Chemical!F26</f>
        <v>32.388250000000006</v>
      </c>
      <c r="F14" s="9">
        <f t="shared" si="1"/>
        <v>32.388250000000006</v>
      </c>
      <c r="G14" s="1318"/>
      <c r="H14" s="1955"/>
      <c r="I14" s="1954"/>
      <c r="J14" s="4"/>
      <c r="K14" s="4"/>
    </row>
    <row r="15" spans="1:11" ht="14.1" customHeight="1" x14ac:dyDescent="0.4">
      <c r="A15" s="11" t="s">
        <v>184</v>
      </c>
      <c r="B15" s="33">
        <v>1</v>
      </c>
      <c r="C15" s="8" t="s">
        <v>4</v>
      </c>
      <c r="D15" s="8">
        <v>1</v>
      </c>
      <c r="E15" s="10">
        <f>Seed_Chemical!F40</f>
        <v>29.639200000000002</v>
      </c>
      <c r="F15" s="9">
        <f t="shared" si="1"/>
        <v>29.639200000000002</v>
      </c>
      <c r="G15" s="1319"/>
      <c r="H15" s="1954"/>
      <c r="I15" s="1954"/>
      <c r="J15" s="4"/>
      <c r="K15" s="4"/>
    </row>
    <row r="16" spans="1:11" ht="14.1" customHeight="1" x14ac:dyDescent="0.4">
      <c r="A16" s="11" t="str">
        <f>IF(OR(A2_Budget_Look_Up!B7=1,A2_Budget_Look_Up!B13=1),"Nematicide",Program_Variables!C16)</f>
        <v>Fungicide</v>
      </c>
      <c r="B16" s="33">
        <v>1</v>
      </c>
      <c r="C16" s="8" t="s">
        <v>4</v>
      </c>
      <c r="D16" s="8">
        <v>1</v>
      </c>
      <c r="E16" s="10">
        <f>Seed_Chemical!F46</f>
        <v>0</v>
      </c>
      <c r="F16" s="9">
        <f t="shared" si="1"/>
        <v>0</v>
      </c>
      <c r="G16" s="1319"/>
      <c r="H16" s="1954"/>
      <c r="I16" s="1954"/>
      <c r="J16" s="4"/>
      <c r="K16" s="4"/>
    </row>
    <row r="17" spans="1:11" ht="14.1" customHeight="1" x14ac:dyDescent="0.4">
      <c r="A17" s="11" t="str">
        <f>IF(A2_Budget_Look_Up!B7=1,"Growth Regulator", IF(A2_Budget_Look_Up!B13=1,"Fungicide",Program_Variables!C17))</f>
        <v>Other Chemical</v>
      </c>
      <c r="B17" s="33">
        <v>1</v>
      </c>
      <c r="C17" s="8" t="s">
        <v>4</v>
      </c>
      <c r="D17" s="8">
        <v>1</v>
      </c>
      <c r="E17" s="10">
        <f>Seed_Chemical!F57</f>
        <v>0</v>
      </c>
      <c r="F17" s="9">
        <f t="shared" si="1"/>
        <v>0</v>
      </c>
      <c r="G17" s="1320"/>
      <c r="H17" s="1954"/>
      <c r="I17" s="1954"/>
      <c r="J17" s="4"/>
      <c r="K17" s="4"/>
    </row>
    <row r="18" spans="1:11" ht="14.1" customHeight="1" x14ac:dyDescent="0.4">
      <c r="A18" s="11" t="str">
        <f>IF(A2_Budget_Look_Up!B7=1,"Defoliant",Program_Variables!C18)</f>
        <v>Other Chemical</v>
      </c>
      <c r="B18" s="33">
        <v>1</v>
      </c>
      <c r="C18" s="8" t="s">
        <v>4</v>
      </c>
      <c r="D18" s="8">
        <v>1</v>
      </c>
      <c r="E18" s="10">
        <f>Seed_Chemical!F68</f>
        <v>0</v>
      </c>
      <c r="F18" s="9">
        <f t="shared" si="1"/>
        <v>0</v>
      </c>
      <c r="G18" s="1320"/>
      <c r="H18" s="1954"/>
      <c r="I18" s="1954"/>
      <c r="J18" s="1954"/>
      <c r="K18" s="1954"/>
    </row>
    <row r="19" spans="1:11" ht="14.1" customHeight="1" x14ac:dyDescent="0.4">
      <c r="A19" s="11" t="str">
        <f>IF(A2_Budget_Look_Up!B14&lt;1,"Custom Chemical &amp; Fertilizer Applications",Program_Variables!C21)</f>
        <v>Custom Chemical &amp; Fertilizer Applications</v>
      </c>
      <c r="B19" s="11"/>
      <c r="C19" s="8"/>
      <c r="D19" s="8"/>
      <c r="E19" s="10"/>
      <c r="F19" s="10"/>
      <c r="G19" s="1320"/>
      <c r="H19" s="1954"/>
      <c r="I19" s="1954"/>
      <c r="J19" s="1954"/>
      <c r="K19" s="1954"/>
    </row>
    <row r="20" spans="1:11" ht="14.45" customHeight="1" x14ac:dyDescent="0.4">
      <c r="A20" s="11" t="str">
        <f>Program_Variables!C24</f>
        <v xml:space="preserve">   Ground Application: Fertilizer &amp; Chemical</v>
      </c>
      <c r="B20" s="33">
        <v>1</v>
      </c>
      <c r="C20" s="8" t="str">
        <f>Program_Variables!D24</f>
        <v>Acre</v>
      </c>
      <c r="D20" s="34">
        <f>A3_Production_Look_Up!B23</f>
        <v>7</v>
      </c>
      <c r="E20" s="2">
        <v>9.5</v>
      </c>
      <c r="F20" s="9">
        <f>D20*E20*B20</f>
        <v>66.5</v>
      </c>
      <c r="G20" s="1319"/>
      <c r="H20" s="1954"/>
      <c r="I20" s="1954"/>
      <c r="J20" s="1954"/>
      <c r="K20" s="1954"/>
    </row>
    <row r="21" spans="1:11" ht="14.1" customHeight="1" x14ac:dyDescent="0.4">
      <c r="A21" s="11" t="str">
        <f>Program_Variables!C25</f>
        <v xml:space="preserve">   Air Application: Fertilizer &amp; Chemical</v>
      </c>
      <c r="B21" s="33">
        <v>1</v>
      </c>
      <c r="C21" s="8" t="str">
        <f>Program_Variables!D25</f>
        <v>Acre</v>
      </c>
      <c r="D21" s="35">
        <f>A3_Production_Look_Up!B24</f>
        <v>1</v>
      </c>
      <c r="E21" s="2">
        <v>10</v>
      </c>
      <c r="F21" s="9">
        <f>D21*E21*B21</f>
        <v>10</v>
      </c>
      <c r="G21" s="1319"/>
      <c r="H21" s="1954"/>
      <c r="I21" s="1954"/>
      <c r="J21" s="1954"/>
      <c r="K21" s="1954"/>
    </row>
    <row r="22" spans="1:11" ht="14.1" customHeight="1" x14ac:dyDescent="0.4">
      <c r="A22" s="11" t="str">
        <f>Program_Variables!C26</f>
        <v xml:space="preserve">   Air Application: Lbs.</v>
      </c>
      <c r="B22" s="33">
        <v>1</v>
      </c>
      <c r="C22" s="8" t="str">
        <f>Program_Variables!D26</f>
        <v>Lbs</v>
      </c>
      <c r="D22" s="35">
        <f>A3_Production_Look_Up!B25</f>
        <v>0</v>
      </c>
      <c r="E22" s="2">
        <v>0.1</v>
      </c>
      <c r="F22" s="9">
        <f>ROUND(D22*E22*B22,-1)</f>
        <v>0</v>
      </c>
      <c r="G22" s="1319"/>
      <c r="H22" s="1954"/>
      <c r="I22" s="1954"/>
      <c r="J22" s="1954"/>
      <c r="K22" s="1954"/>
    </row>
    <row r="23" spans="1:11" ht="14.1" customHeight="1" x14ac:dyDescent="0.4">
      <c r="A23" s="11" t="str">
        <f>Program_Variables!C27</f>
        <v xml:space="preserve">   Other Custom Hire, Air Seeding</v>
      </c>
      <c r="B23" s="33">
        <v>1</v>
      </c>
      <c r="C23" s="8" t="str">
        <f>Program_Variables!D27</f>
        <v>Acre</v>
      </c>
      <c r="D23" s="35">
        <f>A3_Production_Look_Up!B26</f>
        <v>0</v>
      </c>
      <c r="E23" s="2">
        <v>9</v>
      </c>
      <c r="F23" s="9">
        <f>D23*E23*B23</f>
        <v>0</v>
      </c>
      <c r="G23" s="1319"/>
      <c r="H23" s="1954"/>
      <c r="I23" s="1954"/>
      <c r="J23" s="1954"/>
      <c r="K23" s="1954"/>
    </row>
    <row r="24" spans="1:11" ht="14.1" customHeight="1" x14ac:dyDescent="0.4">
      <c r="A24" s="11" t="s">
        <v>0</v>
      </c>
      <c r="B24" s="11"/>
      <c r="C24" s="11"/>
      <c r="D24" s="11"/>
      <c r="E24" s="11"/>
      <c r="F24" s="11"/>
      <c r="G24" s="1319"/>
      <c r="H24" s="1954"/>
      <c r="I24" s="1954"/>
      <c r="J24" s="1954"/>
      <c r="K24" s="1954"/>
    </row>
    <row r="25" spans="1:11" ht="14.1" customHeight="1" x14ac:dyDescent="0.4">
      <c r="A25" s="11" t="s">
        <v>424</v>
      </c>
      <c r="B25" s="33">
        <v>1</v>
      </c>
      <c r="C25" s="8" t="s">
        <v>11</v>
      </c>
      <c r="D25" s="36">
        <f>(Z1_Equipment_Calculations!AH56+Z1_Equipment_Calculations!AH62)/Z1_Equipment_Calculations!AI11</f>
        <v>2.8708487052942733</v>
      </c>
      <c r="E25" s="18">
        <f>Irrigation!B14</f>
        <v>2.46</v>
      </c>
      <c r="F25" s="9">
        <f t="shared" ref="F25:F36" si="2">D25*E25*B25</f>
        <v>7.0622878150239119</v>
      </c>
      <c r="G25" s="1321"/>
      <c r="H25" s="1954"/>
      <c r="I25" s="1954"/>
      <c r="J25" s="1954"/>
      <c r="K25" s="1954"/>
    </row>
    <row r="26" spans="1:11" ht="14.1" customHeight="1" x14ac:dyDescent="0.4">
      <c r="A26" s="11" t="s">
        <v>423</v>
      </c>
      <c r="B26" s="33">
        <v>1</v>
      </c>
      <c r="C26" s="8" t="s">
        <v>4</v>
      </c>
      <c r="D26" s="8">
        <v>1</v>
      </c>
      <c r="E26" s="10">
        <f>Z1_Equipment_Calculations!AC56+Z1_Equipment_Calculations!AF56+Z1_Equipment_Calculations!AC62</f>
        <v>5.9483136128870413</v>
      </c>
      <c r="F26" s="9">
        <f t="shared" si="2"/>
        <v>5.9483136128870413</v>
      </c>
      <c r="G26" s="1319"/>
      <c r="H26" s="1954"/>
      <c r="I26" s="1954"/>
      <c r="J26" s="1954"/>
      <c r="K26" s="1954"/>
    </row>
    <row r="27" spans="1:11" ht="14.1" customHeight="1" x14ac:dyDescent="0.4">
      <c r="A27" s="11" t="s">
        <v>425</v>
      </c>
      <c r="B27" s="33">
        <v>1</v>
      </c>
      <c r="C27" s="8" t="s">
        <v>11</v>
      </c>
      <c r="D27" s="36">
        <f>Z1_Equipment_Calculations!AH83/Z1_Equipment_Calculations!AJ11</f>
        <v>2.5681632653061222</v>
      </c>
      <c r="E27" s="18">
        <f>Irrigation!B14</f>
        <v>2.46</v>
      </c>
      <c r="F27" s="9">
        <f t="shared" si="2"/>
        <v>6.31768163265306</v>
      </c>
      <c r="G27" s="1319"/>
      <c r="H27" s="1954"/>
      <c r="I27" s="1954"/>
      <c r="J27" s="1954"/>
      <c r="K27" s="1954"/>
    </row>
    <row r="28" spans="1:11" ht="14.1" customHeight="1" x14ac:dyDescent="0.4">
      <c r="A28" s="11" t="s">
        <v>17</v>
      </c>
      <c r="B28" s="33">
        <v>1</v>
      </c>
      <c r="C28" s="8" t="s">
        <v>4</v>
      </c>
      <c r="D28" s="8">
        <v>1</v>
      </c>
      <c r="E28" s="10">
        <f>Z1_Equipment_Calculations!AC83+Z1_Equipment_Calculations!AF83</f>
        <v>12.5670990457805</v>
      </c>
      <c r="F28" s="9">
        <f t="shared" si="2"/>
        <v>12.5670990457805</v>
      </c>
      <c r="G28" s="1320"/>
      <c r="H28" s="1954"/>
      <c r="I28" s="1954"/>
      <c r="J28" s="1954"/>
      <c r="K28" s="1954"/>
    </row>
    <row r="29" spans="1:11" ht="14.1" customHeight="1" x14ac:dyDescent="0.4">
      <c r="A29" s="11" t="s">
        <v>196</v>
      </c>
      <c r="B29" s="33">
        <v>1</v>
      </c>
      <c r="C29" s="8" t="s">
        <v>115</v>
      </c>
      <c r="D29" s="161">
        <f>A3_Production_Look_Up!B28</f>
        <v>10</v>
      </c>
      <c r="E29" s="10">
        <f>'C2_Irrigation_Calculations'!I26*'C1_Messages_Indicators'!B34</f>
        <v>2.9055824511278194</v>
      </c>
      <c r="F29" s="9">
        <f t="shared" si="2"/>
        <v>29.055824511278196</v>
      </c>
      <c r="G29" s="1320"/>
      <c r="H29" s="1954"/>
      <c r="I29" s="1954"/>
      <c r="J29" s="1954"/>
      <c r="K29" s="1954"/>
    </row>
    <row r="30" spans="1:11" ht="14.1" customHeight="1" x14ac:dyDescent="0.4">
      <c r="A30" s="11" t="s">
        <v>295</v>
      </c>
      <c r="B30" s="1512"/>
      <c r="C30" s="8" t="s">
        <v>115</v>
      </c>
      <c r="D30" s="162">
        <f>D29</f>
        <v>10</v>
      </c>
      <c r="E30" s="10">
        <f>IF(D29&gt;0,('C2_Irrigation_Calculations'!I33/D29),0)</f>
        <v>0.37661458333333331</v>
      </c>
      <c r="F30" s="9">
        <f>D30*E30</f>
        <v>3.7661458333333329</v>
      </c>
      <c r="G30" s="1319"/>
      <c r="H30" s="1954"/>
      <c r="I30" s="1954"/>
      <c r="J30" s="1954"/>
      <c r="K30" s="1954"/>
    </row>
    <row r="31" spans="1:11" ht="14.1" customHeight="1" x14ac:dyDescent="0.4">
      <c r="A31" s="11" t="s">
        <v>1041</v>
      </c>
      <c r="B31" s="33">
        <v>1</v>
      </c>
      <c r="C31" s="8" t="s">
        <v>4</v>
      </c>
      <c r="D31" s="1514">
        <v>1</v>
      </c>
      <c r="E31" s="2">
        <f>A3_Production_Look_Up!B30</f>
        <v>16.25</v>
      </c>
      <c r="F31" s="9">
        <f t="shared" si="2"/>
        <v>16.25</v>
      </c>
      <c r="G31" s="1319"/>
      <c r="H31" s="1954"/>
      <c r="I31" s="1954"/>
      <c r="J31" s="1954"/>
      <c r="K31" s="1954"/>
    </row>
    <row r="32" spans="1:11" ht="14.1" customHeight="1" x14ac:dyDescent="0.4">
      <c r="A32" s="11" t="str">
        <f>IF(OR(A2_Budget_Look_Up!B9=1,A2_Budget_Look_Up!B10=1),"Levee Gates",Program_Variables!C30)</f>
        <v>Other Inputs</v>
      </c>
      <c r="B32" s="33">
        <v>1</v>
      </c>
      <c r="C32" s="8" t="str">
        <f>Program_Variables!D30</f>
        <v>Acre</v>
      </c>
      <c r="D32" s="1514">
        <v>1</v>
      </c>
      <c r="E32" s="2">
        <f>IF(A2_Budget_Look_Up!B7=1,(A3_Production_Look_Up!B31/(A3_Production_Look_Up!G4/500))*(Budget!D3/500),A3_Production_Look_Up!B31)</f>
        <v>0</v>
      </c>
      <c r="F32" s="9">
        <f t="shared" si="2"/>
        <v>0</v>
      </c>
      <c r="G32" s="1319"/>
      <c r="H32" s="1954"/>
      <c r="I32" s="1954"/>
      <c r="J32" s="1954"/>
      <c r="K32" s="1954"/>
    </row>
    <row r="33" spans="1:11" ht="14.1" customHeight="1" x14ac:dyDescent="0.4">
      <c r="A33" s="11" t="s">
        <v>1173</v>
      </c>
      <c r="B33" s="33">
        <v>1</v>
      </c>
      <c r="C33" s="8" t="s">
        <v>6</v>
      </c>
      <c r="D33" s="36">
        <f>Z1_Equipment_Calculations!AL56+Z1_Equipment_Calculations!AL62+Z1_Equipment_Calculations!AL83+'C2_Irrigation_Calculations'!M41+A3_Production_Look_Up!B20</f>
        <v>1.1898358063782921</v>
      </c>
      <c r="E33" s="316">
        <v>14.83</v>
      </c>
      <c r="F33" s="9">
        <f t="shared" si="2"/>
        <v>17.645265008590073</v>
      </c>
      <c r="G33" s="1319"/>
      <c r="H33" s="1954"/>
      <c r="I33" s="1954"/>
      <c r="J33" s="1954"/>
      <c r="K33" s="1954"/>
    </row>
    <row r="34" spans="1:11" ht="14.1" customHeight="1" x14ac:dyDescent="0.4">
      <c r="A34" s="11" t="s">
        <v>23</v>
      </c>
      <c r="B34" s="33">
        <v>1</v>
      </c>
      <c r="C34" s="8" t="s">
        <v>4</v>
      </c>
      <c r="D34" s="1514">
        <v>1</v>
      </c>
      <c r="E34" s="2">
        <f>A3_Production_Look_Up!B33</f>
        <v>6</v>
      </c>
      <c r="F34" s="9">
        <f t="shared" si="2"/>
        <v>6</v>
      </c>
      <c r="G34" s="1319"/>
      <c r="H34" s="1954"/>
      <c r="I34" s="1954"/>
      <c r="J34" s="1954"/>
      <c r="K34" s="1954"/>
    </row>
    <row r="35" spans="1:11" ht="13.9" x14ac:dyDescent="0.4">
      <c r="A35" s="11" t="str">
        <f>IF(A2_Budget_Look_Up!B7=1,"Boll Weevil Eradication Fee; See Note 3",Program_Variables!C31)</f>
        <v>Survey and Mark Levees (Rice)</v>
      </c>
      <c r="B35" s="33">
        <v>1</v>
      </c>
      <c r="C35" s="8" t="str">
        <f>Program_Variables!D31</f>
        <v>Acre</v>
      </c>
      <c r="D35" s="1514">
        <v>1</v>
      </c>
      <c r="E35" s="2">
        <f>A3_Production_Look_Up!B34</f>
        <v>0</v>
      </c>
      <c r="F35" s="9">
        <f t="shared" si="2"/>
        <v>0</v>
      </c>
      <c r="G35" s="1320"/>
      <c r="H35" s="1954"/>
      <c r="I35" s="1954"/>
      <c r="J35" s="1954"/>
      <c r="K35" s="1954"/>
    </row>
    <row r="36" spans="1:11" ht="14.1" customHeight="1" x14ac:dyDescent="0.4">
      <c r="A36" s="11" t="s">
        <v>1</v>
      </c>
      <c r="B36" s="33">
        <v>1</v>
      </c>
      <c r="C36" s="8" t="s">
        <v>4</v>
      </c>
      <c r="D36" s="1514">
        <v>1</v>
      </c>
      <c r="E36" s="2">
        <f>A3_Production_Look_Up!B35</f>
        <v>31</v>
      </c>
      <c r="F36" s="9">
        <f t="shared" si="2"/>
        <v>31</v>
      </c>
      <c r="G36" s="1319"/>
      <c r="H36" s="1954"/>
      <c r="I36" s="1954"/>
      <c r="J36" s="1954"/>
      <c r="K36" s="1954"/>
    </row>
    <row r="37" spans="1:11" ht="14.1" customHeight="1" x14ac:dyDescent="0.4">
      <c r="A37" s="11" t="str">
        <f>Program_Variables!C34</f>
        <v>Interest, Annual Rate Applied for 6 Months</v>
      </c>
      <c r="B37" s="33">
        <v>1</v>
      </c>
      <c r="C37" s="8" t="s">
        <v>264</v>
      </c>
      <c r="D37" s="18">
        <v>8.25</v>
      </c>
      <c r="E37" s="9">
        <f>SUM(F6:F36)</f>
        <v>500.97173412621277</v>
      </c>
      <c r="F37" s="9">
        <f>((D37/100)*Program_Variables!D34)*SUM(F6:F36)*B37</f>
        <v>20.665084032706279</v>
      </c>
      <c r="G37" s="1319"/>
      <c r="H37" s="1954"/>
      <c r="I37" s="1954"/>
      <c r="J37" s="1954"/>
      <c r="K37" s="1954"/>
    </row>
    <row r="38" spans="1:11" ht="14.1" customHeight="1" x14ac:dyDescent="0.4">
      <c r="A38" s="11" t="s">
        <v>435</v>
      </c>
      <c r="B38" s="33">
        <v>1</v>
      </c>
      <c r="C38" s="8" t="s">
        <v>4</v>
      </c>
      <c r="D38" s="18">
        <v>0</v>
      </c>
      <c r="E38" s="2">
        <v>0</v>
      </c>
      <c r="F38" s="9">
        <f>D38*E38*B38</f>
        <v>0</v>
      </c>
      <c r="G38" s="1319"/>
      <c r="H38" s="1954"/>
      <c r="I38" s="1954"/>
      <c r="J38" s="1954"/>
      <c r="K38" s="1954"/>
    </row>
    <row r="39" spans="1:11" ht="14.1" customHeight="1" x14ac:dyDescent="0.4">
      <c r="A39" s="11" t="str">
        <f>IF(A2_Budget_Look_Up!B7=1,"Post-Harvest Expenses; See Note 4",'C1_Messages_Indicators'!D24)</f>
        <v>Post-Harvest Expenses</v>
      </c>
      <c r="B39" s="1512" t="str">
        <f>IF(A2_Budget_Look_Up!B13&gt;0,1," ")</f>
        <v xml:space="preserve"> </v>
      </c>
      <c r="C39" s="8" t="str">
        <f>IF(A2_Budget_Look_Up!B13=1,"Tons"," ")</f>
        <v xml:space="preserve"> </v>
      </c>
      <c r="D39" s="15" t="str">
        <f>IF(A2_Budget_Look_Up!B13=1,D3," ")</f>
        <v xml:space="preserve"> </v>
      </c>
      <c r="E39" s="15" t="str">
        <f>IF(A2_Budget_Look_Up!B13&gt;0,Program_Variables!D46," ")</f>
        <v xml:space="preserve"> </v>
      </c>
      <c r="F39" s="9" t="str">
        <f>IF(A2_Budget_Look_Up!B13&gt;0,D39*E39*B39," ")</f>
        <v xml:space="preserve"> </v>
      </c>
      <c r="G39" s="1319"/>
      <c r="H39" s="1954"/>
      <c r="I39" s="1954"/>
      <c r="J39" s="1954"/>
      <c r="K39" s="1954"/>
    </row>
    <row r="40" spans="1:11" ht="14.1" customHeight="1" x14ac:dyDescent="0.4">
      <c r="A40" s="11" t="str">
        <f>IF(A2_Budget_Look_Up!B7=1,"   Hauling, Ginning",'C1_Messages_Indicators'!B27)</f>
        <v xml:space="preserve">   Drying</v>
      </c>
      <c r="B40" s="33">
        <v>1</v>
      </c>
      <c r="C40" s="8" t="str">
        <f>IF(A2_Budget_Look_Up!B7=1,"Lbs",'C1_Messages_Indicators'!B25)</f>
        <v>Bu.</v>
      </c>
      <c r="D40" s="10">
        <f>IF(A2_Budget_Look_Up!B13&lt;1,Program_Variables!E40,D3*B40)</f>
        <v>105</v>
      </c>
      <c r="E40" s="2">
        <f>A3_Production_Look_Up!B37</f>
        <v>0</v>
      </c>
      <c r="F40" s="9">
        <f>D40*E40*B40</f>
        <v>0</v>
      </c>
      <c r="G40" s="1319"/>
      <c r="H40" s="1954"/>
      <c r="I40" s="1954"/>
      <c r="J40" s="1954"/>
      <c r="K40" s="1954"/>
    </row>
    <row r="41" spans="1:11" ht="14.1" customHeight="1" x14ac:dyDescent="0.4">
      <c r="A41" s="11" t="str">
        <f>IF(A2_Budget_Look_Up!B7=1,"   Storage and Warehousing",'C1_Messages_Indicators'!B28)</f>
        <v xml:space="preserve">   Hauling</v>
      </c>
      <c r="B41" s="33">
        <v>1</v>
      </c>
      <c r="C41" s="8" t="str">
        <f>IF(A2_Budget_Look_Up!B7=1,"Bale",'C1_Messages_Indicators'!I25)</f>
        <v>Bu.</v>
      </c>
      <c r="D41" s="15">
        <f>IF(A2_Budget_Look_Up!B7=1,D40/Program_Variables!C36,'C1_Messages_Indicators'!B30)</f>
        <v>105</v>
      </c>
      <c r="E41" s="2">
        <f>A3_Production_Look_Up!B38</f>
        <v>0.25</v>
      </c>
      <c r="F41" s="9">
        <f>D41*E41*B41</f>
        <v>26.25</v>
      </c>
      <c r="G41" s="1319"/>
      <c r="H41" s="1954"/>
      <c r="I41" s="1954"/>
      <c r="J41" s="1954"/>
      <c r="K41" s="1954"/>
    </row>
    <row r="42" spans="1:11" ht="14.1" customHeight="1" x14ac:dyDescent="0.4">
      <c r="A42" s="11" t="str">
        <f>IF(A2_Budget_Look_Up!B7=1,"   Promotions, Boards, Classing",'C1_Messages_Indicators'!B29)</f>
        <v xml:space="preserve">   Check Off, Boards</v>
      </c>
      <c r="B42" s="33">
        <v>1</v>
      </c>
      <c r="C42" s="8" t="str">
        <f>IF(A2_Budget_Look_Up!B7=1,"Bale",'C1_Messages_Indicators'!I26)</f>
        <v>Bu.</v>
      </c>
      <c r="D42" s="15">
        <f>IF(AND(A2_Budget_Look_Up!B13&lt;1,A2_Budget_Look_Up!B14&lt;1),'C1_Messages_Indicators'!B24,'C1_Messages_Indicators'!B31)</f>
        <v>105</v>
      </c>
      <c r="E42" s="1963">
        <f>A3_Production_Look_Up!B39</f>
        <v>0.01</v>
      </c>
      <c r="F42" s="9">
        <f>D42*E42*B42</f>
        <v>1.05</v>
      </c>
      <c r="G42" s="1319"/>
      <c r="H42" s="1954"/>
      <c r="I42" s="1954"/>
      <c r="J42" s="1954"/>
      <c r="K42" s="1954"/>
    </row>
    <row r="43" spans="1:11" ht="14.1" customHeight="1" x14ac:dyDescent="0.4">
      <c r="A43" s="11" t="str">
        <f>IF(A2_Budget_Look_Up!B13&gt;0,"   NPB Check Off",IF(A2_Budget_Look_Up!B14&gt;0,Program_Variables!C44," "))</f>
        <v xml:space="preserve"> </v>
      </c>
      <c r="B43" s="1512" t="str">
        <f>IF(OR(A2_Budget_Look_Up!B13&gt;0,A2_Budget_Look_Up!B14&gt;0),1," ")</f>
        <v xml:space="preserve"> </v>
      </c>
      <c r="C43" s="8" t="str">
        <f>IF(A2_Budget_Look_Up!B13&gt;0,"Dollars",IF(A2_Budget_Look_Up!B14&gt;0,Program_Variables!D44," "))</f>
        <v xml:space="preserve"> </v>
      </c>
      <c r="D43" s="15" t="str">
        <f>IF(A2_Budget_Look_Up!B13&gt;0,Program_Variables!H47*Budget!D3,IF(A2_Budget_Look_Up!B14&gt;0,Program_Variables!E44," "))</f>
        <v xml:space="preserve"> </v>
      </c>
      <c r="E43" s="10" t="str">
        <f>IF(A2_Budget_Look_Up!B13&gt;0,IF(Program_Variables!D47&gt;0,Program_Variables!F47,0),IF(A2_Budget_Look_Up!B14&gt;0,Program_Variables!G44," "))</f>
        <v xml:space="preserve"> </v>
      </c>
      <c r="F43" s="9" t="str">
        <f>IF(OR(A2_Budget_Look_Up!B13&gt;0,A2_Budget_Look_Up!B14&gt;0),D43*E43*B43," ")</f>
        <v xml:space="preserve"> </v>
      </c>
      <c r="G43" s="1319"/>
      <c r="H43" s="1954"/>
      <c r="I43" s="1954"/>
      <c r="J43" s="1954"/>
      <c r="K43" s="1954"/>
    </row>
    <row r="44" spans="1:11" ht="14.1" customHeight="1" x14ac:dyDescent="0.4">
      <c r="A44" s="11" t="s">
        <v>759</v>
      </c>
      <c r="B44" s="11"/>
      <c r="C44" s="8" t="s">
        <v>4</v>
      </c>
      <c r="D44" s="8">
        <v>1</v>
      </c>
      <c r="E44" s="2">
        <v>0</v>
      </c>
      <c r="F44" s="10">
        <f>D44*E44</f>
        <v>0</v>
      </c>
      <c r="G44" s="1319"/>
      <c r="H44" s="1954"/>
      <c r="I44" s="1954"/>
      <c r="J44" s="1954"/>
      <c r="K44" s="1954"/>
    </row>
    <row r="45" spans="1:11" ht="14.1" customHeight="1" x14ac:dyDescent="0.4">
      <c r="A45" s="5" t="s">
        <v>168</v>
      </c>
      <c r="B45" s="11"/>
      <c r="C45" s="11"/>
      <c r="D45" s="11"/>
      <c r="E45" s="11"/>
      <c r="F45" s="12">
        <f>SUM(F6:F43)-IF(A2_Budget_Look_Up!B7=1,F4,0)</f>
        <v>548.93681815891898</v>
      </c>
      <c r="G45" s="1319"/>
      <c r="H45" s="1954"/>
      <c r="I45" s="1954"/>
      <c r="J45" s="1954"/>
      <c r="K45" s="1954"/>
    </row>
    <row r="46" spans="1:11" ht="14.1" customHeight="1" x14ac:dyDescent="0.4">
      <c r="A46" s="5" t="s">
        <v>233</v>
      </c>
      <c r="B46" s="5"/>
      <c r="C46" s="5"/>
      <c r="D46" s="5"/>
      <c r="E46" s="5"/>
      <c r="F46" s="13">
        <f>F3-F44-F45</f>
        <v>-50.186818158918982</v>
      </c>
      <c r="G46" s="1319"/>
      <c r="H46" s="1954"/>
      <c r="I46" s="1954"/>
      <c r="J46" s="1954"/>
      <c r="K46" s="1954"/>
    </row>
    <row r="47" spans="1:11" ht="14.1" customHeight="1" x14ac:dyDescent="0.4">
      <c r="A47" s="5" t="s">
        <v>807</v>
      </c>
      <c r="B47" s="11"/>
      <c r="C47" s="11"/>
      <c r="D47" s="11"/>
      <c r="E47" s="11"/>
      <c r="F47" s="11"/>
      <c r="G47" s="1319"/>
      <c r="H47" s="1954"/>
      <c r="I47" s="1954"/>
      <c r="J47" s="1954"/>
      <c r="K47" s="1954"/>
    </row>
    <row r="48" spans="1:11" ht="14.1" customHeight="1" x14ac:dyDescent="0.4">
      <c r="A48" s="11" t="s">
        <v>0</v>
      </c>
      <c r="B48" s="1512"/>
      <c r="C48" s="8" t="s">
        <v>4</v>
      </c>
      <c r="D48" s="8">
        <v>1</v>
      </c>
      <c r="E48" s="15">
        <f>Z1_Equipment_Calculations!Z56+Z1_Equipment_Calculations!Z62+Z1_Equipment_Calculations!Z83</f>
        <v>102.67392093091048</v>
      </c>
      <c r="F48" s="9">
        <f>D48*E48</f>
        <v>102.67392093091048</v>
      </c>
      <c r="G48" s="1319"/>
      <c r="H48" s="1954"/>
      <c r="I48" s="1954"/>
      <c r="J48" s="1954"/>
      <c r="K48" s="1954"/>
    </row>
    <row r="49" spans="1:11" ht="14.1" customHeight="1" x14ac:dyDescent="0.4">
      <c r="A49" s="11" t="s">
        <v>303</v>
      </c>
      <c r="B49" s="1512"/>
      <c r="C49" s="8" t="s">
        <v>4</v>
      </c>
      <c r="D49" s="8">
        <v>1</v>
      </c>
      <c r="E49" s="15">
        <f>'C2_Irrigation_Calculations'!H10+'C2_Irrigation_Calculations'!H17+'C2_Irrigation_Calculations'!H18+'C2_Irrigation_Calculations'!L26</f>
        <v>33.48374564999834</v>
      </c>
      <c r="F49" s="9">
        <f>D49*E49</f>
        <v>33.48374564999834</v>
      </c>
      <c r="G49" s="1319"/>
      <c r="H49" s="1954"/>
      <c r="I49" s="1954"/>
      <c r="J49" s="1954"/>
      <c r="K49" s="1954"/>
    </row>
    <row r="50" spans="1:11" ht="14.1" customHeight="1" x14ac:dyDescent="0.4">
      <c r="A50" s="11" t="str">
        <f>IF(A2_Budget_Look_Up!B7=1,"Farm Overhead; See Note 5","Farm Overhead; See Note 2 ")</f>
        <v xml:space="preserve">Farm Overhead; See Note 2 </v>
      </c>
      <c r="B50" s="1512"/>
      <c r="C50" s="8" t="s">
        <v>4</v>
      </c>
      <c r="D50" s="8">
        <v>1</v>
      </c>
      <c r="E50" s="15">
        <f>(E48*Program_Variables!F50)+(E49*Program_Variables!H50)+Program_Variables!C50</f>
        <v>5.1336960465455244</v>
      </c>
      <c r="F50" s="9">
        <f>D50*E50</f>
        <v>5.1336960465455244</v>
      </c>
      <c r="G50" s="1319"/>
      <c r="H50" s="1954"/>
      <c r="I50" s="1954"/>
      <c r="J50" s="1954"/>
      <c r="K50" s="1954"/>
    </row>
    <row r="51" spans="1:11" ht="14.1" customHeight="1" x14ac:dyDescent="0.4">
      <c r="A51" s="5" t="s">
        <v>1026</v>
      </c>
      <c r="B51" s="11"/>
      <c r="C51" s="11"/>
      <c r="D51" s="11"/>
      <c r="E51" s="11"/>
      <c r="F51" s="12">
        <f>SUM(F48:F50)</f>
        <v>141.29136262745436</v>
      </c>
      <c r="G51" s="1319"/>
      <c r="H51" s="1954"/>
      <c r="I51" s="1954"/>
      <c r="J51" s="1954"/>
      <c r="K51" s="1954"/>
    </row>
    <row r="52" spans="1:11" ht="14.1" customHeight="1" x14ac:dyDescent="0.4">
      <c r="A52" s="5" t="s">
        <v>237</v>
      </c>
      <c r="B52" s="5"/>
      <c r="C52" s="5"/>
      <c r="D52" s="5"/>
      <c r="E52" s="5"/>
      <c r="F52" s="13">
        <f>F45+F51</f>
        <v>690.22818078637329</v>
      </c>
      <c r="G52" s="1319"/>
      <c r="H52" s="1954"/>
      <c r="I52" s="1954"/>
      <c r="J52" s="1954"/>
      <c r="K52" s="1954"/>
    </row>
    <row r="53" spans="1:11" ht="14.1" customHeight="1" x14ac:dyDescent="0.4">
      <c r="A53" s="32" t="s">
        <v>265</v>
      </c>
      <c r="B53" s="32"/>
      <c r="C53" s="32"/>
      <c r="D53" s="32"/>
      <c r="E53" s="32"/>
      <c r="F53" s="1861">
        <f>F3-F44-F52</f>
        <v>-191.47818078637329</v>
      </c>
      <c r="G53" s="1319"/>
      <c r="H53" s="1954"/>
      <c r="I53" s="1954"/>
      <c r="J53" s="1954"/>
      <c r="K53" s="1954"/>
    </row>
    <row r="54" spans="1:11" ht="13.9" x14ac:dyDescent="0.4">
      <c r="A54" s="950"/>
      <c r="B54" s="950"/>
      <c r="C54" s="950"/>
      <c r="D54" s="950"/>
      <c r="E54" s="950"/>
      <c r="F54" s="950"/>
      <c r="G54" s="1319"/>
      <c r="J54" s="1954"/>
      <c r="K54" s="1954"/>
    </row>
    <row r="55" spans="1:11" ht="13.9" x14ac:dyDescent="0.4">
      <c r="A55" s="11" t="str">
        <f>Program_Variables!B59</f>
        <v>Note 1: Yield and inputs are based on Extension research data. Enter expected farm yield and inputs.</v>
      </c>
      <c r="B55" s="11"/>
      <c r="C55" s="8"/>
      <c r="D55" s="8"/>
      <c r="E55" s="15"/>
      <c r="F55" s="10"/>
      <c r="G55" s="1319"/>
      <c r="J55" s="1954"/>
      <c r="K55" s="1954"/>
    </row>
    <row r="56" spans="1:11" ht="13.9" x14ac:dyDescent="0.4">
      <c r="A56" s="11" t="str">
        <f>IF(A2_Budget_Look_Up!B7=1,Program_Variables!B65,'C1_Messages_Indicators'!B45)</f>
        <v>Note 2: Estimate based on machinery and equipment.</v>
      </c>
      <c r="B56" s="11"/>
      <c r="C56" s="8"/>
      <c r="D56" s="8"/>
      <c r="E56" s="15"/>
      <c r="F56" s="10"/>
      <c r="G56" s="1319"/>
      <c r="J56" s="1954"/>
      <c r="K56" s="1954"/>
    </row>
    <row r="57" spans="1:11" ht="14.1" customHeight="1" x14ac:dyDescent="0.4">
      <c r="A57" s="11" t="str">
        <f>IF(A2_Budget_Look_Up!B7=1,Program_Variables!B67," ")</f>
        <v xml:space="preserve"> </v>
      </c>
      <c r="B57" s="5"/>
      <c r="C57" s="5"/>
      <c r="D57" s="5"/>
      <c r="E57" s="5"/>
      <c r="F57" s="1957"/>
      <c r="G57" s="1319"/>
      <c r="J57" s="1954"/>
      <c r="K57" s="1954"/>
    </row>
    <row r="58" spans="1:11" ht="14.1" customHeight="1" x14ac:dyDescent="0.4">
      <c r="A58" s="11" t="str">
        <f>IF(A2_Budget_Look_Up!B7=1,Program_Variables!B69," ")</f>
        <v xml:space="preserve"> </v>
      </c>
      <c r="B58" s="950"/>
      <c r="C58" s="950"/>
      <c r="D58" s="950"/>
      <c r="E58" s="950"/>
      <c r="F58" s="1958"/>
      <c r="H58" s="1962"/>
      <c r="J58" s="1954"/>
      <c r="K58" s="1954"/>
    </row>
    <row r="59" spans="1:11" ht="14.1" customHeight="1" thickBot="1" x14ac:dyDescent="0.45">
      <c r="A59" s="1956" t="str">
        <f>IF(A2_Budget_Look_Up!B7=1,Program_Variables!B71," ")</f>
        <v xml:space="preserve"> </v>
      </c>
      <c r="B59" s="1956"/>
      <c r="C59" s="1959"/>
      <c r="D59" s="1959"/>
      <c r="E59" s="1960"/>
      <c r="F59" s="1961"/>
      <c r="H59" s="1962"/>
      <c r="J59" s="1954"/>
      <c r="K59" s="1954"/>
    </row>
  </sheetData>
  <sheetProtection selectLockedCells="1"/>
  <phoneticPr fontId="0" type="noConversion"/>
  <printOptions horizontalCentered="1" verticalCentered="1"/>
  <pageMargins left="0.25" right="0.25" top="0.75" bottom="0.75" header="0.5" footer="0.5"/>
  <pageSetup scale="86" orientation="portrait" r:id="rId1"/>
  <headerFooter alignWithMargins="0"/>
  <ignoredErrors>
    <ignoredError sqref="A1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J21"/>
  <sheetViews>
    <sheetView workbookViewId="0">
      <selection activeCell="D7" sqref="D7"/>
    </sheetView>
  </sheetViews>
  <sheetFormatPr defaultRowHeight="12.75" x14ac:dyDescent="0.35"/>
  <cols>
    <col min="1" max="1" width="1.73046875" customWidth="1"/>
    <col min="2" max="2" width="35.265625" customWidth="1"/>
    <col min="3" max="3" width="8.73046875" customWidth="1"/>
    <col min="4" max="4" width="9" customWidth="1"/>
    <col min="5" max="5" width="10.3984375" customWidth="1"/>
    <col min="6" max="6" width="1.73046875" customWidth="1"/>
    <col min="7" max="7" width="15.3984375" customWidth="1"/>
    <col min="8" max="8" width="5.86328125" customWidth="1"/>
    <col min="9" max="9" width="15.3984375" customWidth="1"/>
    <col min="10" max="10" width="8.86328125" customWidth="1"/>
    <col min="11" max="11" width="6.86328125" customWidth="1"/>
  </cols>
  <sheetData>
    <row r="1" spans="2:10" ht="15" customHeight="1" thickBot="1" x14ac:dyDescent="0.45">
      <c r="B1" s="1857" t="s">
        <v>1012</v>
      </c>
      <c r="C1" s="3"/>
      <c r="D1" s="3"/>
      <c r="E1" s="1862"/>
      <c r="F1" s="3"/>
      <c r="G1" s="1991" t="s">
        <v>1030</v>
      </c>
      <c r="H1" s="1991"/>
      <c r="I1" s="1991"/>
      <c r="J1" s="3"/>
    </row>
    <row r="2" spans="2:10" ht="13.5" x14ac:dyDescent="0.35">
      <c r="B2" s="1477" t="s">
        <v>1043</v>
      </c>
      <c r="C2" s="1478" t="s">
        <v>2</v>
      </c>
      <c r="D2" s="1478" t="s">
        <v>12</v>
      </c>
      <c r="E2" s="1479" t="s">
        <v>3</v>
      </c>
      <c r="F2" s="3"/>
      <c r="G2" s="1480" t="s">
        <v>703</v>
      </c>
      <c r="H2" s="1481"/>
      <c r="I2" s="1482"/>
      <c r="J2" s="1481"/>
    </row>
    <row r="3" spans="2:10" ht="15" customHeight="1" x14ac:dyDescent="0.4">
      <c r="B3" s="139" t="str">
        <f>Program_Variables!C6</f>
        <v xml:space="preserve">Urea (46-0-0), </v>
      </c>
      <c r="C3" s="1508" t="str">
        <f>Program_Variables!D6</f>
        <v>Lbs</v>
      </c>
      <c r="D3" s="1443">
        <f>J4</f>
        <v>350</v>
      </c>
      <c r="E3" s="1890">
        <f>I4</f>
        <v>0.28083333333333332</v>
      </c>
      <c r="F3" s="3"/>
      <c r="G3" s="1483" t="s">
        <v>90</v>
      </c>
      <c r="H3" s="1484" t="s">
        <v>311</v>
      </c>
      <c r="I3" s="1484" t="s">
        <v>340</v>
      </c>
      <c r="J3" s="1484" t="s">
        <v>740</v>
      </c>
    </row>
    <row r="4" spans="2:10" ht="13.9" x14ac:dyDescent="0.4">
      <c r="B4" s="139" t="str">
        <f>Program_Variables!C7</f>
        <v>Phosphate (0-46-0)</v>
      </c>
      <c r="C4" s="1508" t="str">
        <f>Program_Variables!D7</f>
        <v>Lbs</v>
      </c>
      <c r="D4" s="1443">
        <f>A3_Production_Look_Up!B14</f>
        <v>150</v>
      </c>
      <c r="E4" s="1890">
        <f>Program_Variables!E7</f>
        <v>0.40500000000000003</v>
      </c>
      <c r="F4" s="3"/>
      <c r="G4" s="1895" t="str">
        <f>A3_Production_Look_Up!A9</f>
        <v>Urea</v>
      </c>
      <c r="H4" s="1609">
        <v>0.46</v>
      </c>
      <c r="I4" s="1509">
        <f>((525+545+615)/3)/2000</f>
        <v>0.28083333333333332</v>
      </c>
      <c r="J4" s="806">
        <f>A3_Production_Look_Up!B9</f>
        <v>350</v>
      </c>
    </row>
    <row r="5" spans="2:10" ht="13.9" x14ac:dyDescent="0.4">
      <c r="B5" s="139" t="str">
        <f>Program_Variables!C8</f>
        <v>Potash (0-0-60)</v>
      </c>
      <c r="C5" s="1508" t="str">
        <f>Program_Variables!D8</f>
        <v>Lbs</v>
      </c>
      <c r="D5" s="1443">
        <f>A3_Production_Look_Up!B15</f>
        <v>120</v>
      </c>
      <c r="E5" s="1890">
        <f>Program_Variables!E8</f>
        <v>0.22</v>
      </c>
      <c r="F5" s="3"/>
      <c r="G5" s="1895" t="s">
        <v>346</v>
      </c>
      <c r="H5" s="1609">
        <v>0.32</v>
      </c>
      <c r="I5" s="1509">
        <f>420/2000</f>
        <v>0.21</v>
      </c>
      <c r="J5" s="806">
        <f>SUM(I19:I21)</f>
        <v>0</v>
      </c>
    </row>
    <row r="6" spans="2:10" ht="13.9" x14ac:dyDescent="0.4">
      <c r="B6" s="139" t="str">
        <f>Program_Variables!C9</f>
        <v>Ammonium Sulfate (21-0-0-24)</v>
      </c>
      <c r="C6" s="1508" t="str">
        <f>Program_Variables!D9</f>
        <v>Lbs</v>
      </c>
      <c r="D6" s="1443">
        <f>A3_Production_Look_Up!B16</f>
        <v>0</v>
      </c>
      <c r="E6" s="1890">
        <f>Program_Variables!E9</f>
        <v>0.26750000000000002</v>
      </c>
      <c r="F6" s="3"/>
      <c r="G6" s="1894" t="str">
        <f>A3_Production_Look_Up!A13</f>
        <v>Other Nitrogen</v>
      </c>
      <c r="H6" s="1609">
        <v>1</v>
      </c>
      <c r="I6" s="1509">
        <f>(330/2000)/0.46</f>
        <v>0.35869565217391303</v>
      </c>
      <c r="J6" s="1887">
        <f>A3_Production_Look_Up!B13</f>
        <v>0</v>
      </c>
    </row>
    <row r="7" spans="2:10" ht="13.9" x14ac:dyDescent="0.4">
      <c r="B7" s="139" t="str">
        <f>Program_Variables!C10</f>
        <v>Boron</v>
      </c>
      <c r="C7" s="1508" t="str">
        <f>Program_Variables!D10</f>
        <v>Lbs</v>
      </c>
      <c r="D7" s="1443">
        <f>A3_Production_Look_Up!B17</f>
        <v>0</v>
      </c>
      <c r="E7" s="1890">
        <f>Program_Variables!E10</f>
        <v>0.72</v>
      </c>
      <c r="F7" s="3"/>
      <c r="G7" s="1894" t="str">
        <f>G6</f>
        <v>Other Nitrogen</v>
      </c>
      <c r="H7" s="1609">
        <f>H6</f>
        <v>1</v>
      </c>
      <c r="I7" s="1509">
        <v>0</v>
      </c>
      <c r="J7" s="1887">
        <v>0</v>
      </c>
    </row>
    <row r="8" spans="2:10" ht="14.25" thickBot="1" x14ac:dyDescent="0.45">
      <c r="B8" s="139" t="str">
        <f>Program_Variables!C11</f>
        <v>Nitrogen Stabilizer (such as Agrotain)</v>
      </c>
      <c r="C8" s="1508" t="str">
        <f>Program_Variables!D11</f>
        <v>Gal</v>
      </c>
      <c r="D8" s="1443">
        <f>A3_Production_Look_Up!B19</f>
        <v>0.17500000000000002</v>
      </c>
      <c r="E8" s="1890">
        <f>Program_Variables!E11</f>
        <v>82</v>
      </c>
      <c r="F8" s="3"/>
      <c r="G8" s="1892" t="s">
        <v>646</v>
      </c>
      <c r="H8" s="1485"/>
      <c r="I8" s="1893">
        <f>IF(SUM(J4:J7)&gt;0,(((J4*H4)*(I4/H4))+(J5*(I5/H5))+((J6*H6)*(I6/H6))+((J7*H7)*(I7/H7)))/((J4*H4)+J5+(J6*H6)+(J7*H7)),0)</f>
        <v>0.61050724637681153</v>
      </c>
      <c r="J8" s="1891">
        <f>(J4*H4)+J5+(J6*H6)+(J7*H7)</f>
        <v>161</v>
      </c>
    </row>
    <row r="9" spans="2:10" ht="13.9" x14ac:dyDescent="0.4">
      <c r="B9" s="139" t="str">
        <f>Program_Variables!C12</f>
        <v>DAP (18-46-0)</v>
      </c>
      <c r="C9" s="1508" t="str">
        <f>Program_Variables!D12</f>
        <v>Lbs</v>
      </c>
      <c r="D9" s="1443">
        <f>A3_Production_Look_Up!B18</f>
        <v>0</v>
      </c>
      <c r="E9" s="1890">
        <f>Program_Variables!E12</f>
        <v>0.46500000000000002</v>
      </c>
      <c r="F9" s="3"/>
      <c r="G9" s="1486" t="s">
        <v>822</v>
      </c>
      <c r="H9" s="1487"/>
      <c r="I9" s="1488"/>
      <c r="J9" s="1489"/>
    </row>
    <row r="10" spans="2:10" ht="13.9" x14ac:dyDescent="0.4">
      <c r="B10" s="139" t="str">
        <f>Program_Variables!C13</f>
        <v>Other Nutrients</v>
      </c>
      <c r="C10" s="1508" t="str">
        <f>Program_Variables!D13</f>
        <v>Lbs</v>
      </c>
      <c r="D10" s="1443">
        <v>0</v>
      </c>
      <c r="E10" s="1890">
        <f>Program_Variables!E13</f>
        <v>0</v>
      </c>
      <c r="F10" s="3"/>
      <c r="G10" s="1486" t="s">
        <v>741</v>
      </c>
      <c r="H10" s="1487"/>
      <c r="I10" s="1488"/>
      <c r="J10" s="1489"/>
    </row>
    <row r="11" spans="2:10" ht="13.9" x14ac:dyDescent="0.4">
      <c r="B11" s="3"/>
      <c r="C11" s="3"/>
      <c r="D11" s="3"/>
      <c r="E11" s="3"/>
      <c r="F11" s="3"/>
      <c r="G11" s="1486" t="s">
        <v>823</v>
      </c>
      <c r="H11" s="1487"/>
      <c r="I11" s="1488"/>
      <c r="J11" s="1489"/>
    </row>
    <row r="12" spans="2:10" ht="13.9" x14ac:dyDescent="0.4">
      <c r="B12" s="3"/>
      <c r="C12" s="3"/>
      <c r="D12" s="3"/>
      <c r="E12" s="3"/>
      <c r="F12" s="3"/>
      <c r="G12" s="1486" t="s">
        <v>742</v>
      </c>
      <c r="H12" s="1487"/>
      <c r="I12" s="1488"/>
      <c r="J12" s="1490"/>
    </row>
    <row r="13" spans="2:10" ht="13.9" x14ac:dyDescent="0.4">
      <c r="B13" s="3"/>
      <c r="C13" s="3"/>
      <c r="D13" s="3"/>
      <c r="E13" s="3"/>
      <c r="F13" s="3"/>
      <c r="G13" s="1486" t="s">
        <v>995</v>
      </c>
      <c r="H13" s="1487"/>
      <c r="I13" s="1488"/>
      <c r="J13" s="1175"/>
    </row>
    <row r="14" spans="2:10" ht="14.25" thickBot="1" x14ac:dyDescent="0.45">
      <c r="B14" s="3"/>
      <c r="C14" s="3"/>
      <c r="D14" s="3"/>
      <c r="E14" s="3"/>
      <c r="F14" s="3"/>
      <c r="G14" s="1486" t="s">
        <v>996</v>
      </c>
      <c r="H14" s="1487"/>
      <c r="I14" s="1488"/>
      <c r="J14" s="1491"/>
    </row>
    <row r="15" spans="2:10" ht="13.9" x14ac:dyDescent="0.4">
      <c r="B15" s="3"/>
      <c r="C15" s="3"/>
      <c r="D15" s="3"/>
      <c r="E15" s="3"/>
      <c r="F15" s="3"/>
      <c r="G15" s="1492" t="s">
        <v>644</v>
      </c>
      <c r="H15" s="1493"/>
      <c r="I15" s="1494"/>
      <c r="J15" s="1495"/>
    </row>
    <row r="16" spans="2:10" ht="13.9" x14ac:dyDescent="0.4">
      <c r="B16" s="3"/>
      <c r="C16" s="3"/>
      <c r="D16" s="3"/>
      <c r="E16" s="3"/>
      <c r="F16" s="3"/>
      <c r="G16" s="1496" t="s">
        <v>339</v>
      </c>
      <c r="H16" s="1497"/>
      <c r="I16" s="1498"/>
      <c r="J16" s="1499"/>
    </row>
    <row r="17" spans="7:10" ht="13.9" x14ac:dyDescent="0.4">
      <c r="G17" s="1500" t="s">
        <v>821</v>
      </c>
      <c r="H17" s="1501"/>
      <c r="I17" s="1501"/>
      <c r="J17" s="1499"/>
    </row>
    <row r="18" spans="7:10" ht="13.9" x14ac:dyDescent="0.4">
      <c r="G18" s="1502" t="s">
        <v>11</v>
      </c>
      <c r="H18" s="1503" t="s">
        <v>311</v>
      </c>
      <c r="I18" s="1503" t="s">
        <v>645</v>
      </c>
      <c r="J18" s="1499"/>
    </row>
    <row r="19" spans="7:10" ht="13.9" x14ac:dyDescent="0.4">
      <c r="G19" s="1510">
        <f>A3_Production_Look_Up!B10</f>
        <v>0</v>
      </c>
      <c r="H19" s="1504">
        <f>A3_Production_Look_Up!A10</f>
        <v>0.32</v>
      </c>
      <c r="I19" s="1888">
        <f>(G19*11.04)*H19</f>
        <v>0</v>
      </c>
      <c r="J19" s="1505"/>
    </row>
    <row r="20" spans="7:10" ht="13.9" x14ac:dyDescent="0.4">
      <c r="G20" s="1510">
        <f>A3_Production_Look_Up!B11</f>
        <v>0</v>
      </c>
      <c r="H20" s="1504">
        <f>A3_Production_Look_Up!A11</f>
        <v>0.3</v>
      </c>
      <c r="I20" s="1888">
        <f>(G20*10.86)*H20</f>
        <v>0</v>
      </c>
      <c r="J20" s="1505"/>
    </row>
    <row r="21" spans="7:10" ht="14.25" thickBot="1" x14ac:dyDescent="0.45">
      <c r="G21" s="1511">
        <f>A3_Production_Look_Up!B12</f>
        <v>0</v>
      </c>
      <c r="H21" s="1506">
        <f>A3_Production_Look_Up!A12</f>
        <v>0.28000000000000003</v>
      </c>
      <c r="I21" s="1889">
        <f>(G21*10.7)*H21</f>
        <v>0</v>
      </c>
      <c r="J21" s="1507"/>
    </row>
  </sheetData>
  <sheetProtection selectLockedCells="1"/>
  <mergeCells count="1">
    <mergeCell ref="G1:I1"/>
  </mergeCells>
  <hyperlinks>
    <hyperlink ref="B1" location="Budget!F1" display="Return to Budget Worksheet" xr:uid="{00000000-0004-0000-1700-000000000000}"/>
    <hyperlink ref="G1" location="Field_Activities!A1" display="Goto Fertilizer Applications in this Budget" xr:uid="{00000000-0004-0000-1700-000001000000}"/>
  </hyperlink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69"/>
  <sheetViews>
    <sheetView workbookViewId="0">
      <selection activeCell="H12" sqref="H12"/>
    </sheetView>
  </sheetViews>
  <sheetFormatPr defaultRowHeight="12.75" x14ac:dyDescent="0.35"/>
  <cols>
    <col min="1" max="1" width="15.86328125" customWidth="1"/>
    <col min="2" max="2" width="21.3984375" customWidth="1"/>
    <col min="3" max="3" width="8.3984375" customWidth="1"/>
    <col min="4" max="4" width="7.59765625" customWidth="1"/>
    <col min="5" max="5" width="11.265625" customWidth="1"/>
    <col min="6" max="6" width="7.265625" customWidth="1"/>
    <col min="7" max="7" width="0.86328125" customWidth="1"/>
    <col min="8" max="8" width="13.59765625" bestFit="1" customWidth="1"/>
    <col min="9" max="13" width="10.3984375" bestFit="1" customWidth="1"/>
  </cols>
  <sheetData>
    <row r="1" spans="1:11" ht="14.25" thickBot="1" x14ac:dyDescent="0.45">
      <c r="A1" s="1992" t="s">
        <v>1012</v>
      </c>
      <c r="B1" s="1992"/>
      <c r="C1" s="1975"/>
      <c r="D1" s="190"/>
      <c r="E1" s="190"/>
      <c r="F1" s="190"/>
      <c r="G1" s="190"/>
      <c r="H1" s="3"/>
      <c r="I1" s="3"/>
      <c r="J1" s="3"/>
      <c r="K1" s="3"/>
    </row>
    <row r="2" spans="1:11" ht="12.95" customHeight="1" x14ac:dyDescent="0.35">
      <c r="A2" s="1572" t="s">
        <v>92</v>
      </c>
      <c r="B2" s="1572"/>
      <c r="C2" s="1572"/>
      <c r="D2" s="1573"/>
      <c r="E2" s="1573"/>
      <c r="F2" s="1573"/>
      <c r="G2" s="1574"/>
      <c r="H2" s="1575" t="s">
        <v>406</v>
      </c>
      <c r="I2" s="1576"/>
      <c r="J2" s="1577"/>
      <c r="K2" s="1578"/>
    </row>
    <row r="3" spans="1:11" ht="12.95" customHeight="1" thickBot="1" x14ac:dyDescent="0.4">
      <c r="A3" s="1579" t="s">
        <v>93</v>
      </c>
      <c r="B3" s="1579"/>
      <c r="C3" s="1579" t="s">
        <v>2</v>
      </c>
      <c r="D3" s="1579" t="s">
        <v>21</v>
      </c>
      <c r="E3" s="1579" t="s">
        <v>174</v>
      </c>
      <c r="F3" s="1579" t="s">
        <v>14</v>
      </c>
      <c r="G3" s="1574"/>
      <c r="H3" s="1580"/>
      <c r="I3" s="1570">
        <v>0.4</v>
      </c>
      <c r="J3" s="1581"/>
      <c r="K3" s="1578"/>
    </row>
    <row r="4" spans="1:11" ht="12.95" customHeight="1" x14ac:dyDescent="0.35">
      <c r="A4" s="1582"/>
      <c r="B4" s="1583" t="s">
        <v>820</v>
      </c>
      <c r="C4" s="1584" t="str">
        <f>A2_Budget_Look_Up!D11</f>
        <v>Lbs</v>
      </c>
      <c r="D4" s="1585">
        <f>A3_Production_Look_Up!B43</f>
        <v>4.16</v>
      </c>
      <c r="E4" s="1586">
        <f>A3_Production_Look_Up!B45</f>
        <v>6.5</v>
      </c>
      <c r="F4" s="1587">
        <f>D4*E4</f>
        <v>27.04</v>
      </c>
      <c r="G4" s="1574"/>
      <c r="H4" s="1575" t="s">
        <v>310</v>
      </c>
      <c r="I4" s="1576"/>
      <c r="J4" s="1577"/>
      <c r="K4" s="1578"/>
    </row>
    <row r="5" spans="1:11" ht="12.95" customHeight="1" thickBot="1" x14ac:dyDescent="0.4">
      <c r="A5" s="1582"/>
      <c r="B5" s="1583" t="s">
        <v>819</v>
      </c>
      <c r="C5" s="1584" t="str">
        <f>A2_Budget_Look_Up!E11</f>
        <v>Lbs</v>
      </c>
      <c r="D5" s="1585">
        <f>A3_Production_Look_Up!B44</f>
        <v>0</v>
      </c>
      <c r="E5" s="1586">
        <f>A3_Production_Look_Up!B46</f>
        <v>0</v>
      </c>
      <c r="F5" s="1587">
        <f>D5*E5</f>
        <v>0</v>
      </c>
      <c r="G5" s="1574"/>
      <c r="H5" s="1580"/>
      <c r="I5" s="1607">
        <f>Budget!B3</f>
        <v>1</v>
      </c>
      <c r="J5" s="1581"/>
      <c r="K5" s="1578"/>
    </row>
    <row r="6" spans="1:11" ht="12.95" customHeight="1" x14ac:dyDescent="0.35">
      <c r="A6" s="1582"/>
      <c r="B6" s="1583" t="s">
        <v>1040</v>
      </c>
      <c r="C6" s="1584"/>
      <c r="D6" s="1585"/>
      <c r="E6" s="1586"/>
      <c r="F6" s="1587">
        <f>D6*E6</f>
        <v>0</v>
      </c>
      <c r="G6" s="1574"/>
      <c r="H6" s="1575" t="s">
        <v>315</v>
      </c>
      <c r="I6" s="1576"/>
      <c r="J6" s="1592"/>
      <c r="K6" s="1578"/>
    </row>
    <row r="7" spans="1:11" ht="12.95" customHeight="1" x14ac:dyDescent="0.35">
      <c r="A7" s="1582"/>
      <c r="B7" s="1583" t="s">
        <v>1040</v>
      </c>
      <c r="C7" s="1584"/>
      <c r="D7" s="1585"/>
      <c r="E7" s="1586"/>
      <c r="F7" s="1587">
        <f>D7*E7</f>
        <v>0</v>
      </c>
      <c r="G7" s="1574"/>
      <c r="H7" s="1595" t="s">
        <v>317</v>
      </c>
      <c r="I7" s="1571">
        <v>0</v>
      </c>
      <c r="J7" s="1596"/>
      <c r="K7" s="1578"/>
    </row>
    <row r="8" spans="1:11" ht="12.95" customHeight="1" x14ac:dyDescent="0.35">
      <c r="A8" s="1588" t="s">
        <v>22</v>
      </c>
      <c r="B8" s="1588"/>
      <c r="C8" s="1588"/>
      <c r="D8" s="1589"/>
      <c r="E8" s="1590"/>
      <c r="F8" s="1591">
        <f>SUM(F4:F7)</f>
        <v>27.04</v>
      </c>
      <c r="G8" s="1574"/>
      <c r="H8" s="1598" t="s">
        <v>316</v>
      </c>
      <c r="I8" s="1571">
        <f>A3_Production_Look_Up!B6</f>
        <v>0</v>
      </c>
      <c r="J8" s="1599"/>
      <c r="K8" s="1578"/>
    </row>
    <row r="9" spans="1:11" ht="12.95" customHeight="1" x14ac:dyDescent="0.35">
      <c r="A9" s="1593"/>
      <c r="B9" s="1593"/>
      <c r="C9" s="1593"/>
      <c r="D9" s="1593"/>
      <c r="E9" s="1594"/>
      <c r="F9" s="1593"/>
      <c r="G9" s="1574"/>
      <c r="H9" s="1595" t="s">
        <v>653</v>
      </c>
      <c r="I9" s="1600"/>
      <c r="J9" s="1596"/>
      <c r="K9" s="1932" t="str">
        <f>'C1_Messages_Indicators'!B11</f>
        <v xml:space="preserve"> </v>
      </c>
    </row>
    <row r="10" spans="1:11" ht="12.95" customHeight="1" thickBot="1" x14ac:dyDescent="0.4">
      <c r="A10" s="1572" t="s">
        <v>18</v>
      </c>
      <c r="B10" s="1572"/>
      <c r="C10" s="1572"/>
      <c r="D10" s="1573"/>
      <c r="E10" s="1597"/>
      <c r="F10" s="1573"/>
      <c r="G10" s="1574"/>
      <c r="H10" s="1580" t="s">
        <v>347</v>
      </c>
      <c r="I10" s="1604"/>
      <c r="J10" s="1581"/>
      <c r="K10" s="1932" t="str">
        <f>'C1_Messages_Indicators'!B12</f>
        <v xml:space="preserve"> </v>
      </c>
    </row>
    <row r="11" spans="1:11" ht="12.95" customHeight="1" x14ac:dyDescent="0.35">
      <c r="A11" s="1579" t="s">
        <v>212</v>
      </c>
      <c r="B11" s="1579" t="s">
        <v>838</v>
      </c>
      <c r="C11" s="1579" t="s">
        <v>2</v>
      </c>
      <c r="D11" s="1579" t="s">
        <v>21</v>
      </c>
      <c r="E11" s="1579" t="s">
        <v>174</v>
      </c>
      <c r="F11" s="1579" t="s">
        <v>14</v>
      </c>
      <c r="G11" s="1574"/>
      <c r="H11" s="1973"/>
      <c r="I11" s="3"/>
      <c r="J11" s="3"/>
      <c r="K11" s="1932" t="str">
        <f>'C1_Messages_Indicators'!B13</f>
        <v xml:space="preserve"> </v>
      </c>
    </row>
    <row r="12" spans="1:11" ht="12.95" customHeight="1" x14ac:dyDescent="0.35">
      <c r="A12" s="1601" t="str">
        <f>IF(A5_Chem_Look_Up!$F6&gt;0,A5_Chem_Look_Up!A6," ")</f>
        <v>Roundup Powermax 3</v>
      </c>
      <c r="B12" s="1602" t="str">
        <f>IF(A5_Chem_Look_Up!$F6&gt;0,A5_Chem_Look_Up!B6," ")</f>
        <v/>
      </c>
      <c r="C12" s="1603" t="str">
        <f>IF(A5_Chem_Look_Up!$F6&gt;0,A5_Chem_Look_Up!C6," ")</f>
        <v>pt</v>
      </c>
      <c r="D12" s="1601">
        <f>IF(A5_Chem_Look_Up!$F6&gt;0,A5_Chem_Look_Up!D6,0)</f>
        <v>2.25</v>
      </c>
      <c r="E12" s="1586">
        <f>IF(A5_Chem_Look_Up!$F6&gt;0,A5_Chem_Look_Up!E6,0)</f>
        <v>2</v>
      </c>
      <c r="F12" s="1587">
        <f>D12*E12</f>
        <v>4.5</v>
      </c>
      <c r="G12" s="1574"/>
      <c r="H12" s="1977"/>
      <c r="I12" s="3"/>
      <c r="J12" s="3"/>
      <c r="K12" s="1932" t="str">
        <f>IF(AND(A2_Budget_Look_Up!B7&lt;1,SUM(I7:I8)&gt;0),'C1_Messages_Indicators'!E13," ")</f>
        <v xml:space="preserve"> </v>
      </c>
    </row>
    <row r="13" spans="1:11" ht="12.95" customHeight="1" x14ac:dyDescent="0.35">
      <c r="A13" s="1601" t="str">
        <f>IF(A5_Chem_Look_Up!$F7&gt;0,A5_Chem_Look_Up!A7," ")</f>
        <v>2,4-D</v>
      </c>
      <c r="B13" s="1602" t="str">
        <f>IF(A5_Chem_Look_Up!$F7&gt;0,A5_Chem_Look_Up!B7," ")</f>
        <v/>
      </c>
      <c r="C13" s="1605" t="str">
        <f>IF(A5_Chem_Look_Up!$F7&gt;0,A5_Chem_Look_Up!C7," ")</f>
        <v>pt</v>
      </c>
      <c r="D13" s="1601">
        <f>IF(A5_Chem_Look_Up!$F7&gt;0,A5_Chem_Look_Up!D7,0)</f>
        <v>4.375</v>
      </c>
      <c r="E13" s="1586">
        <f>IF(A5_Chem_Look_Up!$F7&gt;0,A5_Chem_Look_Up!E7,0)</f>
        <v>1.5</v>
      </c>
      <c r="F13" s="1587">
        <f t="shared" ref="F13:F25" si="0">D13*E13</f>
        <v>6.5625</v>
      </c>
      <c r="G13" s="1574"/>
      <c r="H13" s="1974"/>
      <c r="I13" s="3"/>
      <c r="J13" s="3"/>
      <c r="K13" s="1578"/>
    </row>
    <row r="14" spans="1:11" ht="12.95" customHeight="1" x14ac:dyDescent="0.35">
      <c r="A14" s="1601" t="str">
        <f>IF(A5_Chem_Look_Up!$F8&gt;0,A5_Chem_Look_Up!A8," ")</f>
        <v>Metolachlor</v>
      </c>
      <c r="B14" s="1602" t="str">
        <f>IF(A5_Chem_Look_Up!$F8&gt;0,A5_Chem_Look_Up!B8," ")</f>
        <v/>
      </c>
      <c r="C14" s="1603" t="str">
        <f>IF(A5_Chem_Look_Up!$F8&gt;0,A5_Chem_Look_Up!C8," ")</f>
        <v>pt</v>
      </c>
      <c r="D14" s="1601">
        <f>IF(A5_Chem_Look_Up!$F8&gt;0,A5_Chem_Look_Up!D8,0)</f>
        <v>5.0387500000000003</v>
      </c>
      <c r="E14" s="1586">
        <f>IF(A5_Chem_Look_Up!$F8&gt;0,A5_Chem_Look_Up!E8,0)</f>
        <v>1.3</v>
      </c>
      <c r="F14" s="1587">
        <f t="shared" si="0"/>
        <v>6.5503750000000007</v>
      </c>
      <c r="G14" s="1574"/>
      <c r="H14" s="1974"/>
      <c r="I14" s="3"/>
      <c r="J14" s="3"/>
      <c r="K14" s="1578"/>
    </row>
    <row r="15" spans="1:11" ht="12.95" customHeight="1" x14ac:dyDescent="0.35">
      <c r="A15" s="1601" t="str">
        <f>IF(A5_Chem_Look_Up!$F9&gt;0,A5_Chem_Look_Up!A9," ")</f>
        <v>Metolachlor</v>
      </c>
      <c r="B15" s="1602" t="str">
        <f>IF(A5_Chem_Look_Up!$F9&gt;0,A5_Chem_Look_Up!B9," ")</f>
        <v/>
      </c>
      <c r="C15" s="1605" t="str">
        <f>IF(A5_Chem_Look_Up!$F9&gt;0,A5_Chem_Look_Up!C9," ")</f>
        <v>pt</v>
      </c>
      <c r="D15" s="1601">
        <f>IF(A5_Chem_Look_Up!$F9&gt;0,A5_Chem_Look_Up!D9,0)</f>
        <v>5.0387500000000003</v>
      </c>
      <c r="E15" s="1586">
        <f>IF(A5_Chem_Look_Up!$F9&gt;0,A5_Chem_Look_Up!E9,0)</f>
        <v>1.3</v>
      </c>
      <c r="F15" s="1587">
        <f t="shared" si="0"/>
        <v>6.5503750000000007</v>
      </c>
      <c r="G15" s="1574"/>
      <c r="H15" s="1974"/>
      <c r="I15" s="3"/>
      <c r="J15" s="3"/>
      <c r="K15" s="1578"/>
    </row>
    <row r="16" spans="1:11" ht="12.95" customHeight="1" x14ac:dyDescent="0.35">
      <c r="A16" s="1601" t="str">
        <f>IF(A5_Chem_Look_Up!$F10&gt;0,A5_Chem_Look_Up!A10," ")</f>
        <v>Atrazine</v>
      </c>
      <c r="B16" s="1602" t="str">
        <f>IF(A5_Chem_Look_Up!$F10&gt;0,A5_Chem_Look_Up!B10," ")</f>
        <v/>
      </c>
      <c r="C16" s="1603" t="str">
        <f>IF(A5_Chem_Look_Up!$F10&gt;0,A5_Chem_Look_Up!C10," ")</f>
        <v>qt</v>
      </c>
      <c r="D16" s="1601">
        <f>IF(A5_Chem_Look_Up!$F10&gt;0,A5_Chem_Look_Up!D10,0)</f>
        <v>4.1124999999999998</v>
      </c>
      <c r="E16" s="1586">
        <f>IF(A5_Chem_Look_Up!$F10&gt;0,A5_Chem_Look_Up!E10,0)</f>
        <v>2</v>
      </c>
      <c r="F16" s="1587">
        <f t="shared" si="0"/>
        <v>8.2249999999999996</v>
      </c>
      <c r="G16" s="1574"/>
      <c r="H16" s="1974"/>
      <c r="I16" s="3"/>
      <c r="J16" s="3"/>
      <c r="K16" s="1578"/>
    </row>
    <row r="17" spans="1:10" ht="12.95" customHeight="1" x14ac:dyDescent="0.35">
      <c r="A17" s="1601" t="str">
        <f>IF(A5_Chem_Look_Up!$F11&gt;0,A5_Chem_Look_Up!A11," ")</f>
        <v xml:space="preserve"> </v>
      </c>
      <c r="B17" s="1602" t="str">
        <f>IF(A5_Chem_Look_Up!$F11&gt;0,A5_Chem_Look_Up!B11," ")</f>
        <v xml:space="preserve"> </v>
      </c>
      <c r="C17" s="1603" t="str">
        <f>IF(A5_Chem_Look_Up!$F11&gt;0,A5_Chem_Look_Up!C11," ")</f>
        <v xml:space="preserve"> </v>
      </c>
      <c r="D17" s="1601">
        <f>IF(A5_Chem_Look_Up!$F11&gt;0,A5_Chem_Look_Up!D11,0)</f>
        <v>0</v>
      </c>
      <c r="E17" s="1586">
        <f>IF(A5_Chem_Look_Up!$F11&gt;0,A5_Chem_Look_Up!E11,0)</f>
        <v>0</v>
      </c>
      <c r="F17" s="1587">
        <f t="shared" si="0"/>
        <v>0</v>
      </c>
      <c r="G17" s="20"/>
    </row>
    <row r="18" spans="1:10" ht="12.95" customHeight="1" x14ac:dyDescent="0.35">
      <c r="A18" s="1601" t="str">
        <f>IF(A5_Chem_Look_Up!$F12&gt;0,A5_Chem_Look_Up!A12," ")</f>
        <v xml:space="preserve"> </v>
      </c>
      <c r="B18" s="1602" t="str">
        <f>IF(A5_Chem_Look_Up!$F12&gt;0,A5_Chem_Look_Up!B12," ")</f>
        <v xml:space="preserve"> </v>
      </c>
      <c r="C18" s="1603" t="str">
        <f>IF(A5_Chem_Look_Up!$F12&gt;0,A5_Chem_Look_Up!C12," ")</f>
        <v xml:space="preserve"> </v>
      </c>
      <c r="D18" s="1601">
        <f>IF(A5_Chem_Look_Up!$F12&gt;0,A5_Chem_Look_Up!D12,0)</f>
        <v>0</v>
      </c>
      <c r="E18" s="1586">
        <f>IF(A5_Chem_Look_Up!$F12&gt;0,A5_Chem_Look_Up!E12,0)</f>
        <v>0</v>
      </c>
      <c r="F18" s="1587">
        <f t="shared" si="0"/>
        <v>0</v>
      </c>
      <c r="G18" s="20"/>
      <c r="H18" s="989"/>
    </row>
    <row r="19" spans="1:10" ht="12.95" customHeight="1" x14ac:dyDescent="0.35">
      <c r="A19" s="1601" t="str">
        <f>IF(A5_Chem_Look_Up!$F13&gt;0,A5_Chem_Look_Up!A13," ")</f>
        <v xml:space="preserve"> </v>
      </c>
      <c r="B19" s="1602" t="str">
        <f>IF(A5_Chem_Look_Up!$F13&gt;0,A5_Chem_Look_Up!B13," ")</f>
        <v xml:space="preserve"> </v>
      </c>
      <c r="C19" s="1603" t="str">
        <f>IF(A5_Chem_Look_Up!$F13&gt;0,A5_Chem_Look_Up!C13," ")</f>
        <v xml:space="preserve"> </v>
      </c>
      <c r="D19" s="1601">
        <f>IF(A5_Chem_Look_Up!$F13&gt;0,A5_Chem_Look_Up!D13,0)</f>
        <v>0</v>
      </c>
      <c r="E19" s="1586">
        <f>IF(A5_Chem_Look_Up!$F13&gt;0,A5_Chem_Look_Up!E13,0)</f>
        <v>0</v>
      </c>
      <c r="F19" s="1587">
        <f t="shared" si="0"/>
        <v>0</v>
      </c>
      <c r="G19" s="20"/>
      <c r="H19" s="989"/>
    </row>
    <row r="20" spans="1:10" ht="12.95" customHeight="1" x14ac:dyDescent="0.35">
      <c r="A20" s="1601" t="str">
        <f>IF(A5_Chem_Look_Up!$F14&gt;0,A5_Chem_Look_Up!A14," ")</f>
        <v xml:space="preserve"> </v>
      </c>
      <c r="B20" s="1602" t="str">
        <f>IF(A5_Chem_Look_Up!$F14&gt;0,A5_Chem_Look_Up!B14," ")</f>
        <v xml:space="preserve"> </v>
      </c>
      <c r="C20" s="1603" t="str">
        <f>IF(A5_Chem_Look_Up!$F14&gt;0,A5_Chem_Look_Up!C14," ")</f>
        <v xml:space="preserve"> </v>
      </c>
      <c r="D20" s="1601">
        <f>IF(A5_Chem_Look_Up!$F14&gt;0,A5_Chem_Look_Up!D14,0)</f>
        <v>0</v>
      </c>
      <c r="E20" s="1586">
        <f>IF(A5_Chem_Look_Up!$F14&gt;0,A5_Chem_Look_Up!E14,0)</f>
        <v>0</v>
      </c>
      <c r="F20" s="1587">
        <f t="shared" si="0"/>
        <v>0</v>
      </c>
      <c r="G20" s="20"/>
      <c r="H20" s="989"/>
      <c r="I20" s="989"/>
      <c r="J20" s="989"/>
    </row>
    <row r="21" spans="1:10" ht="12.95" customHeight="1" x14ac:dyDescent="0.35">
      <c r="A21" s="1601" t="str">
        <f>IF(A5_Chem_Look_Up!$F15&gt;0,A5_Chem_Look_Up!A15," ")</f>
        <v xml:space="preserve"> </v>
      </c>
      <c r="B21" s="1602" t="str">
        <f>IF(A5_Chem_Look_Up!$F15&gt;0,A5_Chem_Look_Up!B15," ")</f>
        <v xml:space="preserve"> </v>
      </c>
      <c r="C21" s="1603" t="str">
        <f>IF(A5_Chem_Look_Up!$F15&gt;0,A5_Chem_Look_Up!C15," ")</f>
        <v xml:space="preserve"> </v>
      </c>
      <c r="D21" s="1601">
        <f>IF(A5_Chem_Look_Up!$F15&gt;0,A5_Chem_Look_Up!D15,0)</f>
        <v>0</v>
      </c>
      <c r="E21" s="1586">
        <f>IF(A5_Chem_Look_Up!$F15&gt;0,A5_Chem_Look_Up!E15,0)</f>
        <v>0</v>
      </c>
      <c r="F21" s="1587">
        <f t="shared" si="0"/>
        <v>0</v>
      </c>
      <c r="G21" s="20"/>
    </row>
    <row r="22" spans="1:10" ht="12.95" customHeight="1" x14ac:dyDescent="0.35">
      <c r="A22" s="1601" t="str">
        <f>IF(A5_Chem_Look_Up!$F16&gt;0,A5_Chem_Look_Up!A16," ")</f>
        <v xml:space="preserve"> </v>
      </c>
      <c r="B22" s="1602" t="str">
        <f>IF(A5_Chem_Look_Up!$F16&gt;0,A5_Chem_Look_Up!B16," ")</f>
        <v xml:space="preserve"> </v>
      </c>
      <c r="C22" s="1603" t="str">
        <f>IF(A5_Chem_Look_Up!$F16&gt;0,A5_Chem_Look_Up!C16," ")</f>
        <v xml:space="preserve"> </v>
      </c>
      <c r="D22" s="1601">
        <f>IF(A5_Chem_Look_Up!$F16&gt;0,A5_Chem_Look_Up!D16,0)</f>
        <v>0</v>
      </c>
      <c r="E22" s="1586">
        <f>IF(A5_Chem_Look_Up!$F16&gt;0,A5_Chem_Look_Up!E16,0)</f>
        <v>0</v>
      </c>
      <c r="F22" s="1587">
        <f t="shared" si="0"/>
        <v>0</v>
      </c>
      <c r="G22" s="20"/>
    </row>
    <row r="23" spans="1:10" ht="12.95" customHeight="1" x14ac:dyDescent="0.35">
      <c r="A23" s="1601" t="str">
        <f>IF(A5_Chem_Look_Up!$F17&gt;0,A5_Chem_Look_Up!A17," ")</f>
        <v xml:space="preserve"> </v>
      </c>
      <c r="B23" s="1602" t="str">
        <f>IF(A5_Chem_Look_Up!$F17&gt;0,A5_Chem_Look_Up!B17," ")</f>
        <v xml:space="preserve"> </v>
      </c>
      <c r="C23" s="1603" t="str">
        <f>IF(A5_Chem_Look_Up!$F17&gt;0,A5_Chem_Look_Up!C17," ")</f>
        <v xml:space="preserve"> </v>
      </c>
      <c r="D23" s="1601">
        <f>IF(A5_Chem_Look_Up!$F17&gt;0,A5_Chem_Look_Up!D17,0)</f>
        <v>0</v>
      </c>
      <c r="E23" s="1586">
        <f>IF(A5_Chem_Look_Up!$F17&gt;0,A5_Chem_Look_Up!E17,0)</f>
        <v>0</v>
      </c>
      <c r="F23" s="1587">
        <f t="shared" si="0"/>
        <v>0</v>
      </c>
      <c r="G23" s="20"/>
    </row>
    <row r="24" spans="1:10" ht="12.95" customHeight="1" x14ac:dyDescent="0.35">
      <c r="A24" s="1601" t="str">
        <f>IF(A5_Chem_Look_Up!$F18&gt;0,A5_Chem_Look_Up!A18," ")</f>
        <v xml:space="preserve"> </v>
      </c>
      <c r="B24" s="1602" t="str">
        <f>IF(A5_Chem_Look_Up!$F18&gt;0,A5_Chem_Look_Up!B18," ")</f>
        <v xml:space="preserve"> </v>
      </c>
      <c r="C24" s="1603" t="str">
        <f>IF(A5_Chem_Look_Up!$F18&gt;0,A5_Chem_Look_Up!C18," ")</f>
        <v xml:space="preserve"> </v>
      </c>
      <c r="D24" s="1601">
        <f>IF(A5_Chem_Look_Up!$F18&gt;0,A5_Chem_Look_Up!D18,0)</f>
        <v>0</v>
      </c>
      <c r="E24" s="1586">
        <f>IF(A5_Chem_Look_Up!$F18&gt;0,A5_Chem_Look_Up!E18,0)</f>
        <v>0</v>
      </c>
      <c r="F24" s="1587">
        <f t="shared" si="0"/>
        <v>0</v>
      </c>
      <c r="G24" s="20"/>
    </row>
    <row r="25" spans="1:10" ht="12.95" customHeight="1" x14ac:dyDescent="0.35">
      <c r="A25" s="1601" t="str">
        <f>IF(A5_Chem_Look_Up!$F19&gt;0,A5_Chem_Look_Up!A19," ")</f>
        <v xml:space="preserve"> </v>
      </c>
      <c r="B25" s="1602" t="str">
        <f>IF(A5_Chem_Look_Up!$F19&gt;0,A5_Chem_Look_Up!B19," ")</f>
        <v xml:space="preserve"> </v>
      </c>
      <c r="C25" s="1603" t="str">
        <f>IF(A5_Chem_Look_Up!$F19&gt;0,A5_Chem_Look_Up!C19," ")</f>
        <v xml:space="preserve"> </v>
      </c>
      <c r="D25" s="1601">
        <f>IF(A5_Chem_Look_Up!$F19&gt;0,A5_Chem_Look_Up!D19,0)</f>
        <v>0</v>
      </c>
      <c r="E25" s="1586">
        <f>IF(A5_Chem_Look_Up!$F19&gt;0,A5_Chem_Look_Up!E19,0)</f>
        <v>0</v>
      </c>
      <c r="F25" s="1587">
        <f t="shared" si="0"/>
        <v>0</v>
      </c>
      <c r="G25" s="20"/>
    </row>
    <row r="26" spans="1:10" ht="12.95" customHeight="1" x14ac:dyDescent="0.35">
      <c r="A26" s="1588" t="s">
        <v>22</v>
      </c>
      <c r="B26" s="1588"/>
      <c r="C26" s="1588"/>
      <c r="D26" s="1589"/>
      <c r="E26" s="1590"/>
      <c r="F26" s="1591">
        <f>SUM(F12:F25)</f>
        <v>32.388250000000006</v>
      </c>
      <c r="G26" s="20"/>
    </row>
    <row r="27" spans="1:10" ht="5.0999999999999996" customHeight="1" x14ac:dyDescent="0.35">
      <c r="A27" s="1593"/>
      <c r="B27" s="1593"/>
      <c r="C27" s="1593"/>
      <c r="D27" s="1593"/>
      <c r="E27" s="1594"/>
      <c r="F27" s="1593"/>
      <c r="G27" s="20"/>
    </row>
    <row r="28" spans="1:10" ht="12.95" customHeight="1" x14ac:dyDescent="0.35">
      <c r="A28" s="1572" t="s">
        <v>20</v>
      </c>
      <c r="B28" s="1572"/>
      <c r="C28" s="1572"/>
      <c r="D28" s="1573"/>
      <c r="E28" s="1597"/>
      <c r="F28" s="1573"/>
      <c r="G28" s="20"/>
    </row>
    <row r="29" spans="1:10" ht="12.95" customHeight="1" x14ac:dyDescent="0.35">
      <c r="A29" s="1579" t="s">
        <v>212</v>
      </c>
      <c r="B29" s="1579" t="s">
        <v>838</v>
      </c>
      <c r="C29" s="1579" t="s">
        <v>2</v>
      </c>
      <c r="D29" s="1579" t="s">
        <v>21</v>
      </c>
      <c r="E29" s="1788" t="s">
        <v>174</v>
      </c>
      <c r="F29" s="1579" t="s">
        <v>14</v>
      </c>
      <c r="G29" s="20"/>
    </row>
    <row r="30" spans="1:10" ht="12.95" customHeight="1" x14ac:dyDescent="0.35">
      <c r="A30" s="1601" t="str">
        <f>IF(A5_Chem_Look_Up!$F24&gt;0,A5_Chem_Look_Up!A24," ")</f>
        <v>Prevathon</v>
      </c>
      <c r="B30" s="1602" t="str">
        <f>IF(A5_Chem_Look_Up!$F24&gt;0,A5_Chem_Look_Up!B24," ")</f>
        <v/>
      </c>
      <c r="C30" s="1603" t="str">
        <f>IF(A5_Chem_Look_Up!$F24&gt;0,A5_Chem_Look_Up!C24," ")</f>
        <v>oz</v>
      </c>
      <c r="D30" s="1601">
        <f>IF(A5_Chem_Look_Up!$F24&gt;0,A5_Chem_Look_Up!D24,0)</f>
        <v>1.05</v>
      </c>
      <c r="E30" s="1586">
        <f>IF(A5_Chem_Look_Up!$F24&gt;0,A5_Chem_Look_Up!E24,0)</f>
        <v>14</v>
      </c>
      <c r="F30" s="1587">
        <f t="shared" ref="F30:F39" si="1">D30*E30</f>
        <v>14.700000000000001</v>
      </c>
      <c r="G30" s="20"/>
    </row>
    <row r="31" spans="1:10" ht="12.95" customHeight="1" x14ac:dyDescent="0.35">
      <c r="A31" s="1601" t="str">
        <f>IF(A5_Chem_Look_Up!$F25&gt;0,A5_Chem_Look_Up!A25," ")</f>
        <v>Sivanto Prime</v>
      </c>
      <c r="B31" s="1602" t="str">
        <f>IF(A5_Chem_Look_Up!$F25&gt;0,A5_Chem_Look_Up!B25," ")</f>
        <v/>
      </c>
      <c r="C31" s="1603" t="str">
        <f>IF(A5_Chem_Look_Up!$F25&gt;0,A5_Chem_Look_Up!C25," ")</f>
        <v>oz</v>
      </c>
      <c r="D31" s="1601">
        <f>IF(A5_Chem_Look_Up!$F25&gt;0,A5_Chem_Look_Up!D25,0)</f>
        <v>3.01</v>
      </c>
      <c r="E31" s="1586">
        <f>IF(A5_Chem_Look_Up!$F25&gt;0,A5_Chem_Look_Up!E25,0)</f>
        <v>4</v>
      </c>
      <c r="F31" s="1587">
        <f t="shared" si="1"/>
        <v>12.04</v>
      </c>
      <c r="G31" s="20"/>
    </row>
    <row r="32" spans="1:10" ht="12.95" customHeight="1" x14ac:dyDescent="0.35">
      <c r="A32" s="1601" t="str">
        <f>IF(A5_Chem_Look_Up!$F26&gt;0,A5_Chem_Look_Up!A26," ")</f>
        <v>Warrior</v>
      </c>
      <c r="B32" s="1602" t="str">
        <f>IF(A5_Chem_Look_Up!$F26&gt;0,A5_Chem_Look_Up!B26," ")</f>
        <v/>
      </c>
      <c r="C32" s="1603" t="str">
        <f>IF(A5_Chem_Look_Up!$F26&gt;0,A5_Chem_Look_Up!C26," ")</f>
        <v>oz</v>
      </c>
      <c r="D32" s="1601">
        <f>IF(A5_Chem_Look_Up!$F26&gt;0,A5_Chem_Look_Up!D26,0)</f>
        <v>3.02</v>
      </c>
      <c r="E32" s="1586">
        <f>IF(A5_Chem_Look_Up!$F26&gt;0,A5_Chem_Look_Up!E26,0)</f>
        <v>0.96</v>
      </c>
      <c r="F32" s="1587">
        <f t="shared" si="1"/>
        <v>2.8992</v>
      </c>
      <c r="G32" s="20"/>
    </row>
    <row r="33" spans="1:7" ht="12.95" customHeight="1" x14ac:dyDescent="0.35">
      <c r="A33" s="1601" t="str">
        <f>IF(A5_Chem_Look_Up!$F27&gt;0,A5_Chem_Look_Up!A27," ")</f>
        <v xml:space="preserve"> </v>
      </c>
      <c r="B33" s="1602" t="str">
        <f>IF(A5_Chem_Look_Up!$F27&gt;0,A5_Chem_Look_Up!B27," ")</f>
        <v xml:space="preserve"> </v>
      </c>
      <c r="C33" s="1603" t="str">
        <f>IF(A5_Chem_Look_Up!$F27&gt;0,A5_Chem_Look_Up!C27," ")</f>
        <v xml:space="preserve"> </v>
      </c>
      <c r="D33" s="1601">
        <f>IF(A5_Chem_Look_Up!$F27&gt;0,A5_Chem_Look_Up!D27,0)</f>
        <v>0</v>
      </c>
      <c r="E33" s="1586">
        <f>IF(A5_Chem_Look_Up!$F27&gt;0,A5_Chem_Look_Up!E27,0)</f>
        <v>0</v>
      </c>
      <c r="F33" s="1587">
        <f t="shared" si="1"/>
        <v>0</v>
      </c>
      <c r="G33" s="20"/>
    </row>
    <row r="34" spans="1:7" ht="12.95" customHeight="1" x14ac:dyDescent="0.35">
      <c r="A34" s="1601" t="str">
        <f>IF(A5_Chem_Look_Up!$F28&gt;0,A5_Chem_Look_Up!A28," ")</f>
        <v xml:space="preserve"> </v>
      </c>
      <c r="B34" s="1602" t="str">
        <f>IF(A5_Chem_Look_Up!$F28&gt;0,A5_Chem_Look_Up!B28," ")</f>
        <v xml:space="preserve"> </v>
      </c>
      <c r="C34" s="1603" t="str">
        <f>IF(A5_Chem_Look_Up!$F28&gt;0,A5_Chem_Look_Up!C28," ")</f>
        <v xml:space="preserve"> </v>
      </c>
      <c r="D34" s="1601">
        <f>IF(A5_Chem_Look_Up!$F28&gt;0,A5_Chem_Look_Up!D28,0)</f>
        <v>0</v>
      </c>
      <c r="E34" s="1586">
        <f>IF(A5_Chem_Look_Up!$F28&gt;0,A5_Chem_Look_Up!E28,0)</f>
        <v>0</v>
      </c>
      <c r="F34" s="1587">
        <f t="shared" si="1"/>
        <v>0</v>
      </c>
      <c r="G34" s="20"/>
    </row>
    <row r="35" spans="1:7" ht="12.95" customHeight="1" x14ac:dyDescent="0.35">
      <c r="A35" s="1601" t="str">
        <f>IF(A5_Chem_Look_Up!$F29&gt;0,A5_Chem_Look_Up!A29," ")</f>
        <v xml:space="preserve"> </v>
      </c>
      <c r="B35" s="1602" t="str">
        <f>IF(A5_Chem_Look_Up!$F29&gt;0,A5_Chem_Look_Up!B29," ")</f>
        <v xml:space="preserve"> </v>
      </c>
      <c r="C35" s="1603" t="str">
        <f>IF(A5_Chem_Look_Up!$F29&gt;0,A5_Chem_Look_Up!C29," ")</f>
        <v xml:space="preserve"> </v>
      </c>
      <c r="D35" s="1601">
        <f>IF(A5_Chem_Look_Up!$F29&gt;0,A5_Chem_Look_Up!D29,0)</f>
        <v>0</v>
      </c>
      <c r="E35" s="1586">
        <f>IF(A5_Chem_Look_Up!$F29&gt;0,A5_Chem_Look_Up!E29,0)</f>
        <v>0</v>
      </c>
      <c r="F35" s="1587">
        <f t="shared" si="1"/>
        <v>0</v>
      </c>
      <c r="G35" s="20"/>
    </row>
    <row r="36" spans="1:7" ht="12.95" customHeight="1" x14ac:dyDescent="0.35">
      <c r="A36" s="1601" t="str">
        <f>IF(A5_Chem_Look_Up!$F30&gt;0,A5_Chem_Look_Up!A30," ")</f>
        <v xml:space="preserve"> </v>
      </c>
      <c r="B36" s="1602" t="str">
        <f>IF(A5_Chem_Look_Up!$F30&gt;0,A5_Chem_Look_Up!B30," ")</f>
        <v xml:space="preserve"> </v>
      </c>
      <c r="C36" s="1603" t="str">
        <f>IF(A5_Chem_Look_Up!$F30&gt;0,A5_Chem_Look_Up!C30," ")</f>
        <v xml:space="preserve"> </v>
      </c>
      <c r="D36" s="1601">
        <f>IF(A5_Chem_Look_Up!$F30&gt;0,A5_Chem_Look_Up!D30,0)</f>
        <v>0</v>
      </c>
      <c r="E36" s="1586">
        <f>IF(A5_Chem_Look_Up!$F30&gt;0,A5_Chem_Look_Up!E30,0)</f>
        <v>0</v>
      </c>
      <c r="F36" s="1587">
        <f t="shared" si="1"/>
        <v>0</v>
      </c>
      <c r="G36" s="20"/>
    </row>
    <row r="37" spans="1:7" ht="12.95" customHeight="1" x14ac:dyDescent="0.35">
      <c r="A37" s="1601" t="str">
        <f>IF(A5_Chem_Look_Up!$F31&gt;0,A5_Chem_Look_Up!A31," ")</f>
        <v xml:space="preserve"> </v>
      </c>
      <c r="B37" s="1602" t="str">
        <f>IF(A5_Chem_Look_Up!$F31&gt;0,A5_Chem_Look_Up!B31," ")</f>
        <v xml:space="preserve"> </v>
      </c>
      <c r="C37" s="1603" t="str">
        <f>IF(A5_Chem_Look_Up!$F31&gt;0,A5_Chem_Look_Up!C31," ")</f>
        <v xml:space="preserve"> </v>
      </c>
      <c r="D37" s="1601">
        <f>IF(A5_Chem_Look_Up!$F31&gt;0,A5_Chem_Look_Up!D31,0)</f>
        <v>0</v>
      </c>
      <c r="E37" s="1586">
        <f>IF(A5_Chem_Look_Up!$F31&gt;0,A5_Chem_Look_Up!E31,0)</f>
        <v>0</v>
      </c>
      <c r="F37" s="1587">
        <f t="shared" si="1"/>
        <v>0</v>
      </c>
      <c r="G37" s="20"/>
    </row>
    <row r="38" spans="1:7" ht="12.95" customHeight="1" x14ac:dyDescent="0.35">
      <c r="A38" s="1601" t="str">
        <f>IF(A5_Chem_Look_Up!$F32&gt;0,A5_Chem_Look_Up!A32," ")</f>
        <v xml:space="preserve"> </v>
      </c>
      <c r="B38" s="1602" t="str">
        <f>IF(A5_Chem_Look_Up!$F32&gt;0,A5_Chem_Look_Up!B32," ")</f>
        <v xml:space="preserve"> </v>
      </c>
      <c r="C38" s="1603" t="str">
        <f>IF(A5_Chem_Look_Up!$F32&gt;0,A5_Chem_Look_Up!C32," ")</f>
        <v xml:space="preserve"> </v>
      </c>
      <c r="D38" s="1601">
        <f>IF(A5_Chem_Look_Up!$F32&gt;0,A5_Chem_Look_Up!D32,0)</f>
        <v>0</v>
      </c>
      <c r="E38" s="1586">
        <f>IF(A5_Chem_Look_Up!$F32&gt;0,A5_Chem_Look_Up!E32,0)</f>
        <v>0</v>
      </c>
      <c r="F38" s="1587">
        <f t="shared" si="1"/>
        <v>0</v>
      </c>
      <c r="G38" s="20"/>
    </row>
    <row r="39" spans="1:7" ht="12.95" customHeight="1" x14ac:dyDescent="0.35">
      <c r="A39" s="1601" t="str">
        <f>IF(A5_Chem_Look_Up!$F33&gt;0,A5_Chem_Look_Up!A33," ")</f>
        <v xml:space="preserve"> </v>
      </c>
      <c r="B39" s="1602" t="str">
        <f>IF(A5_Chem_Look_Up!$F33&gt;0,A5_Chem_Look_Up!B33," ")</f>
        <v xml:space="preserve"> </v>
      </c>
      <c r="C39" s="1603" t="str">
        <f>IF(A5_Chem_Look_Up!$F33&gt;0,A5_Chem_Look_Up!C33," ")</f>
        <v xml:space="preserve"> </v>
      </c>
      <c r="D39" s="1601">
        <f>IF(A5_Chem_Look_Up!$F33&gt;0,A5_Chem_Look_Up!D33,0)</f>
        <v>0</v>
      </c>
      <c r="E39" s="1586">
        <f>IF(A5_Chem_Look_Up!$F33&gt;0,A5_Chem_Look_Up!E33,0)</f>
        <v>0</v>
      </c>
      <c r="F39" s="1587">
        <f t="shared" si="1"/>
        <v>0</v>
      </c>
      <c r="G39" s="20"/>
    </row>
    <row r="40" spans="1:7" ht="12.95" customHeight="1" x14ac:dyDescent="0.35">
      <c r="A40" s="1588" t="s">
        <v>22</v>
      </c>
      <c r="B40" s="1588"/>
      <c r="C40" s="1588"/>
      <c r="D40" s="1589"/>
      <c r="E40" s="1590"/>
      <c r="F40" s="1591">
        <f>SUM(F30:F39)</f>
        <v>29.639200000000002</v>
      </c>
      <c r="G40" s="20"/>
    </row>
    <row r="41" spans="1:7" ht="5.0999999999999996" customHeight="1" x14ac:dyDescent="0.35">
      <c r="A41" s="1593"/>
      <c r="B41" s="1593"/>
      <c r="C41" s="1593"/>
      <c r="D41" s="1593"/>
      <c r="E41" s="1594"/>
      <c r="F41" s="1593"/>
      <c r="G41" s="20"/>
    </row>
    <row r="42" spans="1:7" ht="12.95" customHeight="1" x14ac:dyDescent="0.35">
      <c r="A42" s="1572" t="str">
        <f>IF(OR(A2_Budget_Look_Up!B7=1,A2_Budget_Look_Up!B13=1),"Nematicide Detail", "Fungicide Detail")</f>
        <v>Fungicide Detail</v>
      </c>
      <c r="B42" s="1572"/>
      <c r="C42" s="1572"/>
      <c r="D42" s="1573"/>
      <c r="E42" s="1597"/>
      <c r="F42" s="1573"/>
      <c r="G42" s="20"/>
    </row>
    <row r="43" spans="1:7" ht="12.95" customHeight="1" x14ac:dyDescent="0.35">
      <c r="A43" s="1579" t="s">
        <v>212</v>
      </c>
      <c r="B43" s="1579" t="s">
        <v>838</v>
      </c>
      <c r="C43" s="1579" t="s">
        <v>2</v>
      </c>
      <c r="D43" s="1579" t="s">
        <v>21</v>
      </c>
      <c r="E43" s="1788" t="s">
        <v>174</v>
      </c>
      <c r="F43" s="1579" t="s">
        <v>14</v>
      </c>
      <c r="G43" s="20"/>
    </row>
    <row r="44" spans="1:7" ht="12.95" customHeight="1" x14ac:dyDescent="0.35">
      <c r="A44" s="1584" t="str">
        <f>IF(A5_Chem_Look_Up!$F38&gt;0,A5_Chem_Look_Up!A38," ")</f>
        <v xml:space="preserve"> </v>
      </c>
      <c r="B44" s="1602" t="str">
        <f>IF(A5_Chem_Look_Up!$F38&gt;0,A5_Chem_Look_Up!B38," ")</f>
        <v xml:space="preserve"> </v>
      </c>
      <c r="C44" s="1605" t="str">
        <f>IF(A5_Chem_Look_Up!$F38&gt;0,A5_Chem_Look_Up!C38," ")</f>
        <v xml:space="preserve"> </v>
      </c>
      <c r="D44" s="1601">
        <f>IF(A5_Chem_Look_Up!$F38&gt;0,A5_Chem_Look_Up!D38,0)</f>
        <v>0</v>
      </c>
      <c r="E44" s="1586">
        <f>IF(A5_Chem_Look_Up!$F38&gt;0,A5_Chem_Look_Up!E38,0)</f>
        <v>0</v>
      </c>
      <c r="F44" s="1587">
        <f>D44*E44</f>
        <v>0</v>
      </c>
      <c r="G44" s="20"/>
    </row>
    <row r="45" spans="1:7" ht="12.95" customHeight="1" x14ac:dyDescent="0.35">
      <c r="A45" s="1584" t="str">
        <f>IF(A5_Chem_Look_Up!$F39&gt;0,A5_Chem_Look_Up!A39," ")</f>
        <v xml:space="preserve"> </v>
      </c>
      <c r="B45" s="1602" t="str">
        <f>IF(A5_Chem_Look_Up!$F39&gt;0,A5_Chem_Look_Up!B39," ")</f>
        <v xml:space="preserve"> </v>
      </c>
      <c r="C45" s="1605" t="str">
        <f>IF(A5_Chem_Look_Up!$F39&gt;0,A5_Chem_Look_Up!C39," ")</f>
        <v xml:space="preserve"> </v>
      </c>
      <c r="D45" s="1601">
        <f>IF(A5_Chem_Look_Up!$F39&gt;0,A5_Chem_Look_Up!D39,0)</f>
        <v>0</v>
      </c>
      <c r="E45" s="1586">
        <f>IF(A5_Chem_Look_Up!$F39&gt;0,A5_Chem_Look_Up!E39,0)</f>
        <v>0</v>
      </c>
      <c r="F45" s="1587">
        <f>D45*E45</f>
        <v>0</v>
      </c>
      <c r="G45" s="20"/>
    </row>
    <row r="46" spans="1:7" ht="12.95" customHeight="1" x14ac:dyDescent="0.35">
      <c r="A46" s="1588" t="s">
        <v>22</v>
      </c>
      <c r="B46" s="1588"/>
      <c r="C46" s="1588"/>
      <c r="D46" s="1589"/>
      <c r="E46" s="1590"/>
      <c r="F46" s="1591">
        <f>SUM(F44:F45)</f>
        <v>0</v>
      </c>
      <c r="G46" s="20"/>
    </row>
    <row r="47" spans="1:7" ht="5.0999999999999996" customHeight="1" x14ac:dyDescent="0.35">
      <c r="A47" s="1593"/>
      <c r="B47" s="1593"/>
      <c r="C47" s="1593"/>
      <c r="D47" s="1593"/>
      <c r="E47" s="1594"/>
      <c r="F47" s="1593"/>
      <c r="G47" s="20"/>
    </row>
    <row r="48" spans="1:7" ht="12.95" customHeight="1" x14ac:dyDescent="0.35">
      <c r="A48" s="1572" t="str">
        <f>IF(A2_Budget_Look_Up!B7=1,"Growth Regulator Detail", IF(A2_Budget_Look_Up!B13=1,"Fungicide Detail","Other Chemical Detail"))</f>
        <v>Other Chemical Detail</v>
      </c>
      <c r="B48" s="1572"/>
      <c r="C48" s="1572"/>
      <c r="D48" s="1573"/>
      <c r="E48" s="1597"/>
      <c r="F48" s="1573"/>
      <c r="G48" s="20"/>
    </row>
    <row r="49" spans="1:7" ht="12.95" customHeight="1" x14ac:dyDescent="0.35">
      <c r="A49" s="1579" t="s">
        <v>212</v>
      </c>
      <c r="B49" s="1579" t="s">
        <v>838</v>
      </c>
      <c r="C49" s="1579" t="s">
        <v>2</v>
      </c>
      <c r="D49" s="1579" t="s">
        <v>21</v>
      </c>
      <c r="E49" s="1788" t="s">
        <v>174</v>
      </c>
      <c r="F49" s="1579" t="s">
        <v>14</v>
      </c>
      <c r="G49" s="20"/>
    </row>
    <row r="50" spans="1:7" ht="12.95" customHeight="1" x14ac:dyDescent="0.35">
      <c r="A50" s="1584" t="str">
        <f>IF(A5_Chem_Look_Up!$F44&gt;0,A5_Chem_Look_Up!A44," ")</f>
        <v xml:space="preserve"> </v>
      </c>
      <c r="B50" s="1602" t="str">
        <f>IF(A5_Chem_Look_Up!$F44&gt;0,A5_Chem_Look_Up!B44," ")</f>
        <v xml:space="preserve"> </v>
      </c>
      <c r="C50" s="1605" t="str">
        <f>IF(A5_Chem_Look_Up!$F44&gt;0,A5_Chem_Look_Up!C44," ")</f>
        <v xml:space="preserve"> </v>
      </c>
      <c r="D50" s="1601">
        <f>IF(A5_Chem_Look_Up!$F44&gt;0,A5_Chem_Look_Up!D44,0)</f>
        <v>0</v>
      </c>
      <c r="E50" s="1586">
        <f>IF(A5_Chem_Look_Up!$F44&gt;0,A5_Chem_Look_Up!E44,0)</f>
        <v>0</v>
      </c>
      <c r="F50" s="1587">
        <f t="shared" ref="F50:F56" si="2">D50*E50</f>
        <v>0</v>
      </c>
      <c r="G50" s="20"/>
    </row>
    <row r="51" spans="1:7" ht="12.95" customHeight="1" x14ac:dyDescent="0.35">
      <c r="A51" s="1584" t="str">
        <f>IF(A5_Chem_Look_Up!$F45&gt;0,A5_Chem_Look_Up!A45," ")</f>
        <v xml:space="preserve"> </v>
      </c>
      <c r="B51" s="1602" t="str">
        <f>IF(A5_Chem_Look_Up!$F45&gt;0,A5_Chem_Look_Up!B45," ")</f>
        <v xml:space="preserve"> </v>
      </c>
      <c r="C51" s="1605" t="str">
        <f>IF(A5_Chem_Look_Up!$F45&gt;0,A5_Chem_Look_Up!C45," ")</f>
        <v xml:space="preserve"> </v>
      </c>
      <c r="D51" s="1601">
        <f>IF(A5_Chem_Look_Up!$F45&gt;0,A5_Chem_Look_Up!D45,0)</f>
        <v>0</v>
      </c>
      <c r="E51" s="1586">
        <f>IF(A5_Chem_Look_Up!$F45&gt;0,A5_Chem_Look_Up!E45,0)</f>
        <v>0</v>
      </c>
      <c r="F51" s="1587">
        <f t="shared" si="2"/>
        <v>0</v>
      </c>
      <c r="G51" s="20"/>
    </row>
    <row r="52" spans="1:7" ht="12.95" customHeight="1" x14ac:dyDescent="0.35">
      <c r="A52" s="1584" t="str">
        <f>IF(A5_Chem_Look_Up!$F46&gt;0,A5_Chem_Look_Up!A46," ")</f>
        <v xml:space="preserve"> </v>
      </c>
      <c r="B52" s="1602" t="str">
        <f>IF(A5_Chem_Look_Up!$F46&gt;0,A5_Chem_Look_Up!B46," ")</f>
        <v xml:space="preserve"> </v>
      </c>
      <c r="C52" s="1605" t="str">
        <f>IF(A5_Chem_Look_Up!$F46&gt;0,A5_Chem_Look_Up!C46," ")</f>
        <v xml:space="preserve"> </v>
      </c>
      <c r="D52" s="1601">
        <f>IF(A5_Chem_Look_Up!$F46&gt;0,A5_Chem_Look_Up!D46,0)</f>
        <v>0</v>
      </c>
      <c r="E52" s="1586">
        <f>IF(A5_Chem_Look_Up!$F46&gt;0,A5_Chem_Look_Up!E46,0)</f>
        <v>0</v>
      </c>
      <c r="F52" s="1587">
        <f t="shared" si="2"/>
        <v>0</v>
      </c>
      <c r="G52" s="20"/>
    </row>
    <row r="53" spans="1:7" ht="12.95" customHeight="1" x14ac:dyDescent="0.35">
      <c r="A53" s="1584" t="str">
        <f>IF(A5_Chem_Look_Up!$F47&gt;0,A5_Chem_Look_Up!A47," ")</f>
        <v xml:space="preserve"> </v>
      </c>
      <c r="B53" s="1602" t="str">
        <f>IF(A5_Chem_Look_Up!$F47&gt;0,A5_Chem_Look_Up!B47," ")</f>
        <v xml:space="preserve"> </v>
      </c>
      <c r="C53" s="1605" t="str">
        <f>IF(A5_Chem_Look_Up!$F47&gt;0,A5_Chem_Look_Up!C47," ")</f>
        <v xml:space="preserve"> </v>
      </c>
      <c r="D53" s="1601">
        <f>IF(A5_Chem_Look_Up!$F47&gt;0,A5_Chem_Look_Up!D47,0)</f>
        <v>0</v>
      </c>
      <c r="E53" s="1586">
        <f>IF(A5_Chem_Look_Up!$F47&gt;0,A5_Chem_Look_Up!E47,0)</f>
        <v>0</v>
      </c>
      <c r="F53" s="1587">
        <f t="shared" si="2"/>
        <v>0</v>
      </c>
      <c r="G53" s="20"/>
    </row>
    <row r="54" spans="1:7" ht="12.95" customHeight="1" x14ac:dyDescent="0.35">
      <c r="A54" s="1584" t="str">
        <f>IF(A5_Chem_Look_Up!$F48&gt;0,A5_Chem_Look_Up!A48," ")</f>
        <v xml:space="preserve"> </v>
      </c>
      <c r="B54" s="1602" t="str">
        <f>IF(A5_Chem_Look_Up!$F48&gt;0,A5_Chem_Look_Up!B48," ")</f>
        <v xml:space="preserve"> </v>
      </c>
      <c r="C54" s="1605" t="str">
        <f>IF(A5_Chem_Look_Up!$F48&gt;0,A5_Chem_Look_Up!C48," ")</f>
        <v xml:space="preserve"> </v>
      </c>
      <c r="D54" s="1601">
        <f>IF(A5_Chem_Look_Up!$F48&gt;0,A5_Chem_Look_Up!D48,0)</f>
        <v>0</v>
      </c>
      <c r="E54" s="1586">
        <f>IF(A5_Chem_Look_Up!$F48&gt;0,A5_Chem_Look_Up!E48,0)</f>
        <v>0</v>
      </c>
      <c r="F54" s="1587">
        <f t="shared" si="2"/>
        <v>0</v>
      </c>
      <c r="G54" s="20"/>
    </row>
    <row r="55" spans="1:7" ht="12.95" customHeight="1" x14ac:dyDescent="0.35">
      <c r="A55" s="1584" t="str">
        <f>IF(A5_Chem_Look_Up!$F49&gt;0,A5_Chem_Look_Up!A49," ")</f>
        <v xml:space="preserve"> </v>
      </c>
      <c r="B55" s="1602" t="str">
        <f>IF(A5_Chem_Look_Up!$F49&gt;0,A5_Chem_Look_Up!B49," ")</f>
        <v xml:space="preserve"> </v>
      </c>
      <c r="C55" s="1605" t="str">
        <f>IF(A5_Chem_Look_Up!$F49&gt;0,A5_Chem_Look_Up!C49," ")</f>
        <v xml:space="preserve"> </v>
      </c>
      <c r="D55" s="1601">
        <f>IF(A5_Chem_Look_Up!$F49&gt;0,A5_Chem_Look_Up!D49,0)</f>
        <v>0</v>
      </c>
      <c r="E55" s="1586">
        <f>IF(A5_Chem_Look_Up!$F49&gt;0,A5_Chem_Look_Up!E49,0)</f>
        <v>0</v>
      </c>
      <c r="F55" s="1587">
        <f t="shared" si="2"/>
        <v>0</v>
      </c>
      <c r="G55" s="20"/>
    </row>
    <row r="56" spans="1:7" ht="12.95" customHeight="1" x14ac:dyDescent="0.35">
      <c r="A56" s="1584" t="str">
        <f>IF(A5_Chem_Look_Up!$F50&gt;0,A5_Chem_Look_Up!A50," ")</f>
        <v xml:space="preserve"> </v>
      </c>
      <c r="B56" s="1602" t="str">
        <f>IF(A5_Chem_Look_Up!$F50&gt;0,A5_Chem_Look_Up!B50," ")</f>
        <v xml:space="preserve"> </v>
      </c>
      <c r="C56" s="1605" t="str">
        <f>IF(A5_Chem_Look_Up!$F50&gt;0,A5_Chem_Look_Up!C50," ")</f>
        <v xml:space="preserve"> </v>
      </c>
      <c r="D56" s="1601">
        <f>IF(A5_Chem_Look_Up!$F50&gt;0,A5_Chem_Look_Up!D50,0)</f>
        <v>0</v>
      </c>
      <c r="E56" s="1586">
        <f>IF(A5_Chem_Look_Up!$F50&gt;0,A5_Chem_Look_Up!E50,0)</f>
        <v>0</v>
      </c>
      <c r="F56" s="1587">
        <f t="shared" si="2"/>
        <v>0</v>
      </c>
      <c r="G56" s="20"/>
    </row>
    <row r="57" spans="1:7" ht="12.95" customHeight="1" x14ac:dyDescent="0.35">
      <c r="A57" s="1588" t="s">
        <v>22</v>
      </c>
      <c r="B57" s="1588"/>
      <c r="C57" s="1588"/>
      <c r="D57" s="1589"/>
      <c r="E57" s="1590"/>
      <c r="F57" s="1591">
        <f>SUM(F50:F56)</f>
        <v>0</v>
      </c>
      <c r="G57" s="20"/>
    </row>
    <row r="58" spans="1:7" ht="5.0999999999999996" customHeight="1" x14ac:dyDescent="0.35">
      <c r="A58" s="1593"/>
      <c r="B58" s="1593"/>
      <c r="C58" s="1593"/>
      <c r="D58" s="1593"/>
      <c r="E58" s="1594"/>
      <c r="F58" s="1593"/>
      <c r="G58" s="20"/>
    </row>
    <row r="59" spans="1:7" ht="12.95" customHeight="1" x14ac:dyDescent="0.35">
      <c r="A59" s="1572" t="str">
        <f>IF(A2_Budget_Look_Up!B7=1,"Defoliant Detail", "Other Chemical Detail")</f>
        <v>Other Chemical Detail</v>
      </c>
      <c r="B59" s="1572"/>
      <c r="C59" s="1572"/>
      <c r="D59" s="1573"/>
      <c r="E59" s="1597"/>
      <c r="F59" s="1573"/>
      <c r="G59" s="20"/>
    </row>
    <row r="60" spans="1:7" ht="12.95" customHeight="1" x14ac:dyDescent="0.35">
      <c r="A60" s="1579" t="s">
        <v>212</v>
      </c>
      <c r="B60" s="1579" t="s">
        <v>838</v>
      </c>
      <c r="C60" s="1579" t="s">
        <v>2</v>
      </c>
      <c r="D60" s="1579" t="s">
        <v>21</v>
      </c>
      <c r="E60" s="1788" t="s">
        <v>174</v>
      </c>
      <c r="F60" s="1579" t="s">
        <v>14</v>
      </c>
      <c r="G60" s="20"/>
    </row>
    <row r="61" spans="1:7" ht="12.95" customHeight="1" x14ac:dyDescent="0.35">
      <c r="A61" s="1584" t="str">
        <f>IF(A5_Chem_Look_Up!$F55&gt;0,A5_Chem_Look_Up!A55," ")</f>
        <v xml:space="preserve"> </v>
      </c>
      <c r="B61" s="1602" t="str">
        <f>IF(A5_Chem_Look_Up!$F55&gt;0,A5_Chem_Look_Up!B55," ")</f>
        <v xml:space="preserve"> </v>
      </c>
      <c r="C61" s="1605" t="str">
        <f>IF(A5_Chem_Look_Up!$F55&gt;0,A5_Chem_Look_Up!C55," ")</f>
        <v xml:space="preserve"> </v>
      </c>
      <c r="D61" s="1601">
        <f>IF(A5_Chem_Look_Up!$F55&gt;0,A5_Chem_Look_Up!D55,0)</f>
        <v>0</v>
      </c>
      <c r="E61" s="1586">
        <f>IF(A5_Chem_Look_Up!$F55&gt;0,A5_Chem_Look_Up!E55,0)</f>
        <v>0</v>
      </c>
      <c r="F61" s="1587">
        <f t="shared" ref="F61:F67" si="3">D61*E61</f>
        <v>0</v>
      </c>
      <c r="G61" s="20"/>
    </row>
    <row r="62" spans="1:7" ht="12.95" customHeight="1" x14ac:dyDescent="0.35">
      <c r="A62" s="1584" t="str">
        <f>IF(A5_Chem_Look_Up!$F56&gt;0,A5_Chem_Look_Up!A56," ")</f>
        <v xml:space="preserve"> </v>
      </c>
      <c r="B62" s="1602" t="str">
        <f>IF(A5_Chem_Look_Up!$F56&gt;0,A5_Chem_Look_Up!B56," ")</f>
        <v xml:space="preserve"> </v>
      </c>
      <c r="C62" s="1605" t="str">
        <f>IF(A5_Chem_Look_Up!$F56&gt;0,A5_Chem_Look_Up!C56," ")</f>
        <v xml:space="preserve"> </v>
      </c>
      <c r="D62" s="1601">
        <f>IF(A5_Chem_Look_Up!$F56&gt;0,A5_Chem_Look_Up!D56,0)</f>
        <v>0</v>
      </c>
      <c r="E62" s="1586">
        <f>IF(A5_Chem_Look_Up!$F56&gt;0,A5_Chem_Look_Up!E56,0)</f>
        <v>0</v>
      </c>
      <c r="F62" s="1587">
        <f t="shared" si="3"/>
        <v>0</v>
      </c>
      <c r="G62" s="20"/>
    </row>
    <row r="63" spans="1:7" ht="12.95" customHeight="1" x14ac:dyDescent="0.35">
      <c r="A63" s="1584" t="str">
        <f>IF(A5_Chem_Look_Up!$F57&gt;0,A5_Chem_Look_Up!A57," ")</f>
        <v xml:space="preserve"> </v>
      </c>
      <c r="B63" s="1602" t="str">
        <f>IF(A5_Chem_Look_Up!$F57&gt;0,A5_Chem_Look_Up!B57," ")</f>
        <v xml:space="preserve"> </v>
      </c>
      <c r="C63" s="1605" t="str">
        <f>IF(A5_Chem_Look_Up!$F57&gt;0,A5_Chem_Look_Up!C57," ")</f>
        <v xml:space="preserve"> </v>
      </c>
      <c r="D63" s="1601">
        <f>IF(A5_Chem_Look_Up!$F57&gt;0,A5_Chem_Look_Up!D57,0)</f>
        <v>0</v>
      </c>
      <c r="E63" s="1586">
        <f>IF(A5_Chem_Look_Up!$F57&gt;0,A5_Chem_Look_Up!E57,0)</f>
        <v>0</v>
      </c>
      <c r="F63" s="1587">
        <f t="shared" si="3"/>
        <v>0</v>
      </c>
      <c r="G63" s="20"/>
    </row>
    <row r="64" spans="1:7" ht="12.95" customHeight="1" x14ac:dyDescent="0.35">
      <c r="A64" s="1584" t="str">
        <f>IF(A5_Chem_Look_Up!$F58&gt;0,A5_Chem_Look_Up!A58," ")</f>
        <v xml:space="preserve"> </v>
      </c>
      <c r="B64" s="1602" t="str">
        <f>IF(A5_Chem_Look_Up!$F58&gt;0,A5_Chem_Look_Up!B58," ")</f>
        <v xml:space="preserve"> </v>
      </c>
      <c r="C64" s="1605" t="str">
        <f>IF(A5_Chem_Look_Up!$F58&gt;0,A5_Chem_Look_Up!C58," ")</f>
        <v xml:space="preserve"> </v>
      </c>
      <c r="D64" s="1601">
        <f>IF(A5_Chem_Look_Up!$F58&gt;0,A5_Chem_Look_Up!D58,0)</f>
        <v>0</v>
      </c>
      <c r="E64" s="1586">
        <f>IF(A5_Chem_Look_Up!$F58&gt;0,A5_Chem_Look_Up!E58,0)</f>
        <v>0</v>
      </c>
      <c r="F64" s="1587">
        <f t="shared" si="3"/>
        <v>0</v>
      </c>
      <c r="G64" s="20"/>
    </row>
    <row r="65" spans="1:7" ht="12.95" customHeight="1" x14ac:dyDescent="0.35">
      <c r="A65" s="1584" t="str">
        <f>IF(A5_Chem_Look_Up!$F59&gt;0,A5_Chem_Look_Up!A59," ")</f>
        <v xml:space="preserve"> </v>
      </c>
      <c r="B65" s="1602" t="str">
        <f>IF(A5_Chem_Look_Up!$F59&gt;0,A5_Chem_Look_Up!B59," ")</f>
        <v xml:space="preserve"> </v>
      </c>
      <c r="C65" s="1605" t="str">
        <f>IF(A5_Chem_Look_Up!$F59&gt;0,A5_Chem_Look_Up!C59," ")</f>
        <v xml:space="preserve"> </v>
      </c>
      <c r="D65" s="1601">
        <f>IF(A5_Chem_Look_Up!$F59&gt;0,A5_Chem_Look_Up!D59,0)</f>
        <v>0</v>
      </c>
      <c r="E65" s="1586">
        <f>IF(A5_Chem_Look_Up!$F59&gt;0,A5_Chem_Look_Up!E59,0)</f>
        <v>0</v>
      </c>
      <c r="F65" s="1587">
        <f t="shared" si="3"/>
        <v>0</v>
      </c>
      <c r="G65" s="20"/>
    </row>
    <row r="66" spans="1:7" ht="12.95" customHeight="1" x14ac:dyDescent="0.35">
      <c r="A66" s="1584" t="str">
        <f>IF(A5_Chem_Look_Up!$F60&gt;0,A5_Chem_Look_Up!A60," ")</f>
        <v xml:space="preserve"> </v>
      </c>
      <c r="B66" s="1602" t="str">
        <f>IF(A5_Chem_Look_Up!$F60&gt;0,A5_Chem_Look_Up!B60," ")</f>
        <v xml:space="preserve"> </v>
      </c>
      <c r="C66" s="1605" t="str">
        <f>IF(A5_Chem_Look_Up!$F60&gt;0,A5_Chem_Look_Up!C60," ")</f>
        <v xml:space="preserve"> </v>
      </c>
      <c r="D66" s="1601">
        <f>IF(A5_Chem_Look_Up!$F60&gt;0,A5_Chem_Look_Up!D60,0)</f>
        <v>0</v>
      </c>
      <c r="E66" s="1586">
        <f>IF(A5_Chem_Look_Up!$F60&gt;0,A5_Chem_Look_Up!E60,0)</f>
        <v>0</v>
      </c>
      <c r="F66" s="1587">
        <f t="shared" si="3"/>
        <v>0</v>
      </c>
      <c r="G66" s="20"/>
    </row>
    <row r="67" spans="1:7" ht="12.95" customHeight="1" x14ac:dyDescent="0.35">
      <c r="A67" s="1584" t="str">
        <f>IF(A5_Chem_Look_Up!$F61&gt;0,A5_Chem_Look_Up!A61," ")</f>
        <v xml:space="preserve"> </v>
      </c>
      <c r="B67" s="1602" t="str">
        <f>IF(A5_Chem_Look_Up!$F61&gt;0,A5_Chem_Look_Up!B61," ")</f>
        <v xml:space="preserve"> </v>
      </c>
      <c r="C67" s="1605" t="str">
        <f>IF(A5_Chem_Look_Up!$F61&gt;0,A5_Chem_Look_Up!C61," ")</f>
        <v xml:space="preserve"> </v>
      </c>
      <c r="D67" s="1601">
        <f>IF(A5_Chem_Look_Up!$F61&gt;0,A5_Chem_Look_Up!D61,0)</f>
        <v>0</v>
      </c>
      <c r="E67" s="1586">
        <f>IF(A5_Chem_Look_Up!$F61&gt;0,A5_Chem_Look_Up!E61,0)</f>
        <v>0</v>
      </c>
      <c r="F67" s="1587">
        <f t="shared" si="3"/>
        <v>0</v>
      </c>
      <c r="G67" s="20"/>
    </row>
    <row r="68" spans="1:7" ht="12.95" customHeight="1" x14ac:dyDescent="0.35">
      <c r="A68" s="1588" t="s">
        <v>22</v>
      </c>
      <c r="B68" s="1588"/>
      <c r="C68" s="1588"/>
      <c r="D68" s="1589"/>
      <c r="E68" s="1590"/>
      <c r="F68" s="1591">
        <f>SUM(F61:F67)</f>
        <v>0</v>
      </c>
      <c r="G68" s="20"/>
    </row>
    <row r="69" spans="1:7" ht="12.95" customHeight="1" x14ac:dyDescent="0.35">
      <c r="A69" s="1593"/>
      <c r="B69" s="1593"/>
      <c r="C69" s="1593"/>
      <c r="D69" s="1606"/>
      <c r="E69" s="1594"/>
      <c r="F69" s="1606"/>
      <c r="G69" s="20"/>
    </row>
  </sheetData>
  <sheetProtection selectLockedCells="1"/>
  <mergeCells count="1">
    <mergeCell ref="A1:B1"/>
  </mergeCells>
  <hyperlinks>
    <hyperlink ref="A1" location="Budget!F1" display="Return to Budget Worksheet" xr:uid="{00000000-0004-0000-18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0"/>
  <sheetViews>
    <sheetView workbookViewId="0"/>
  </sheetViews>
  <sheetFormatPr defaultRowHeight="12.75" x14ac:dyDescent="0.35"/>
  <cols>
    <col min="1" max="1" width="32.73046875" customWidth="1"/>
    <col min="2" max="2" width="6.73046875" customWidth="1"/>
    <col min="3" max="3" width="1.73046875" customWidth="1"/>
    <col min="4" max="4" width="28.59765625" bestFit="1" customWidth="1"/>
    <col min="5" max="6" width="8.73046875" customWidth="1"/>
    <col min="7" max="7" width="9.86328125" customWidth="1"/>
    <col min="8" max="8" width="19.73046875" customWidth="1"/>
    <col min="9" max="10" width="6.86328125" customWidth="1"/>
    <col min="11" max="12" width="9.86328125" customWidth="1"/>
    <col min="13" max="13" width="14.265625" bestFit="1" customWidth="1"/>
    <col min="14" max="14" width="7.3984375" customWidth="1"/>
  </cols>
  <sheetData>
    <row r="1" spans="1:14" ht="14.25" thickBot="1" x14ac:dyDescent="0.45">
      <c r="A1" s="1858" t="s">
        <v>1012</v>
      </c>
      <c r="B1" s="3"/>
      <c r="C1" s="3"/>
      <c r="D1" s="3"/>
      <c r="E1" s="1862"/>
      <c r="F1" s="3"/>
      <c r="G1" s="3"/>
      <c r="H1" s="1856" t="s">
        <v>1036</v>
      </c>
      <c r="I1" s="3"/>
      <c r="J1" s="3"/>
      <c r="K1" s="3"/>
      <c r="L1" s="3"/>
      <c r="M1" s="3"/>
      <c r="N1" s="3"/>
    </row>
    <row r="2" spans="1:14" ht="13.9" x14ac:dyDescent="0.4">
      <c r="A2" s="1372" t="s">
        <v>139</v>
      </c>
      <c r="B2" s="1067">
        <f>A3_Production_Look_Up!B48</f>
        <v>1</v>
      </c>
      <c r="C2" s="1373"/>
      <c r="D2" s="1374" t="s">
        <v>274</v>
      </c>
      <c r="E2" s="1375"/>
      <c r="F2" s="1376"/>
      <c r="G2" s="1377"/>
      <c r="H2" s="852" t="s">
        <v>563</v>
      </c>
      <c r="I2" s="851"/>
      <c r="J2" s="852"/>
      <c r="K2" s="872"/>
      <c r="L2" s="865" t="s">
        <v>243</v>
      </c>
      <c r="M2" s="1328" t="s">
        <v>571</v>
      </c>
      <c r="N2" s="866" t="s">
        <v>243</v>
      </c>
    </row>
    <row r="3" spans="1:14" ht="13.9" x14ac:dyDescent="0.4">
      <c r="A3" s="475" t="s">
        <v>588</v>
      </c>
      <c r="B3" s="556"/>
      <c r="C3" s="1378"/>
      <c r="D3" s="854" t="s">
        <v>463</v>
      </c>
      <c r="E3" s="79"/>
      <c r="F3" s="79" t="s">
        <v>335</v>
      </c>
      <c r="G3" s="859"/>
      <c r="H3" s="853" t="s">
        <v>824</v>
      </c>
      <c r="I3" s="1379" t="s">
        <v>245</v>
      </c>
      <c r="J3" s="853" t="s">
        <v>117</v>
      </c>
      <c r="K3" s="1330" t="s">
        <v>119</v>
      </c>
      <c r="L3" s="1380" t="s">
        <v>114</v>
      </c>
      <c r="M3" s="80" t="s">
        <v>572</v>
      </c>
      <c r="N3" s="868" t="s">
        <v>119</v>
      </c>
    </row>
    <row r="4" spans="1:14" ht="13.9" x14ac:dyDescent="0.4">
      <c r="A4" s="476" t="s">
        <v>195</v>
      </c>
      <c r="B4" s="557"/>
      <c r="C4" s="1378"/>
      <c r="D4" s="560">
        <v>120</v>
      </c>
      <c r="E4" s="81"/>
      <c r="F4" s="862" t="s">
        <v>334</v>
      </c>
      <c r="G4" s="859"/>
      <c r="H4" s="81" t="s">
        <v>277</v>
      </c>
      <c r="I4" s="1517">
        <f>IF(AND(Budget!$B$3=1,Budget!$E$44=0),1,0)</f>
        <v>1</v>
      </c>
      <c r="J4" s="153">
        <v>40</v>
      </c>
      <c r="K4" s="1331">
        <f>'C2_Irrigation_Calculations'!H4</f>
        <v>0</v>
      </c>
      <c r="L4" s="1517">
        <f>IF(AND(Budget!$B$3=1,Budget!$E$44=0),1,0)</f>
        <v>1</v>
      </c>
      <c r="M4" s="560">
        <v>0</v>
      </c>
      <c r="N4" s="869">
        <f>'C2_Irrigation_Calculations'!K4*Budget!D$30</f>
        <v>0</v>
      </c>
    </row>
    <row r="5" spans="1:14" ht="13.9" x14ac:dyDescent="0.4">
      <c r="A5" s="477" t="s">
        <v>140</v>
      </c>
      <c r="B5" s="1864"/>
      <c r="C5" s="1378"/>
      <c r="D5" s="854" t="s">
        <v>276</v>
      </c>
      <c r="E5" s="81"/>
      <c r="F5" s="395">
        <v>20</v>
      </c>
      <c r="G5" s="859"/>
      <c r="H5" s="81" t="s">
        <v>273</v>
      </c>
      <c r="I5" s="1517">
        <f>IF(AND(Budget!$B$3=1,Budget!$E$44=0),1,0)</f>
        <v>1</v>
      </c>
      <c r="J5" s="153">
        <v>40</v>
      </c>
      <c r="K5" s="1331">
        <f>'C2_Irrigation_Calculations'!H5</f>
        <v>9.5864597009256336</v>
      </c>
      <c r="L5" s="1517">
        <f>IF(AND(Budget!$B$3=1,Budget!$E$44=0),1,0)</f>
        <v>1</v>
      </c>
      <c r="M5" s="560">
        <v>0</v>
      </c>
      <c r="N5" s="869">
        <f>'C2_Irrigation_Calculations'!K5*Budget!D$30</f>
        <v>0</v>
      </c>
    </row>
    <row r="6" spans="1:14" ht="13.9" x14ac:dyDescent="0.4">
      <c r="A6" s="1381"/>
      <c r="B6" s="1382"/>
      <c r="C6" s="1863"/>
      <c r="D6" s="561">
        <f>5280/4</f>
        <v>1320</v>
      </c>
      <c r="E6" s="81"/>
      <c r="F6" s="81"/>
      <c r="G6" s="859"/>
      <c r="H6" s="81" t="s">
        <v>272</v>
      </c>
      <c r="I6" s="1517">
        <f>IF(AND(Budget!$B$3=1,Budget!$E$44=0),1,0)</f>
        <v>1</v>
      </c>
      <c r="J6" s="139">
        <v>15</v>
      </c>
      <c r="K6" s="1331">
        <f>'C2_Irrigation_Calculations'!H6</f>
        <v>12.276660262270266</v>
      </c>
      <c r="L6" s="1517">
        <f>IF(AND(Budget!$B$3=1,Budget!$E$44=0),1,0)</f>
        <v>1</v>
      </c>
      <c r="M6" s="560">
        <v>1</v>
      </c>
      <c r="N6" s="869">
        <f>'C2_Irrigation_Calculations'!K6*Budget!D$30</f>
        <v>1.9791666666666665</v>
      </c>
    </row>
    <row r="7" spans="1:14" ht="13.9" x14ac:dyDescent="0.4">
      <c r="A7" s="478" t="s">
        <v>197</v>
      </c>
      <c r="B7" s="395">
        <v>1</v>
      </c>
      <c r="C7" s="1378"/>
      <c r="D7" s="81"/>
      <c r="E7" s="81"/>
      <c r="F7" s="81"/>
      <c r="G7" s="859"/>
      <c r="H7" s="81" t="s">
        <v>142</v>
      </c>
      <c r="I7" s="1517">
        <v>1</v>
      </c>
      <c r="J7" s="139">
        <v>15</v>
      </c>
      <c r="K7" s="1331">
        <f>'C2_Irrigation_Calculations'!H7</f>
        <v>11.084531936802442</v>
      </c>
      <c r="L7" s="1517">
        <v>1</v>
      </c>
      <c r="M7" s="560">
        <v>1</v>
      </c>
      <c r="N7" s="869">
        <f>'C2_Irrigation_Calculations'!K7*Budget!D$30</f>
        <v>1.7869791666666668</v>
      </c>
    </row>
    <row r="8" spans="1:14" ht="15" customHeight="1" x14ac:dyDescent="0.4">
      <c r="A8" s="475" t="s">
        <v>192</v>
      </c>
      <c r="B8" s="556"/>
      <c r="C8" s="1378"/>
      <c r="D8" s="855" t="s">
        <v>341</v>
      </c>
      <c r="E8" s="855"/>
      <c r="F8" s="855"/>
      <c r="G8" s="860"/>
      <c r="H8" s="81" t="s">
        <v>141</v>
      </c>
      <c r="I8" s="1517">
        <v>1</v>
      </c>
      <c r="J8" s="139">
        <v>15</v>
      </c>
      <c r="K8" s="1331">
        <f>'C2_Irrigation_Calculations'!H8</f>
        <v>0</v>
      </c>
      <c r="L8" s="1517">
        <v>1</v>
      </c>
      <c r="M8" s="560">
        <v>1</v>
      </c>
      <c r="N8" s="869">
        <f>'C2_Irrigation_Calculations'!K8*Budget!D$30</f>
        <v>0</v>
      </c>
    </row>
    <row r="9" spans="1:14" ht="15" customHeight="1" x14ac:dyDescent="0.4">
      <c r="A9" s="476" t="s">
        <v>301</v>
      </c>
      <c r="B9" s="1383"/>
      <c r="C9" s="1378"/>
      <c r="D9" s="856" t="s">
        <v>273</v>
      </c>
      <c r="E9" s="149">
        <v>16500</v>
      </c>
      <c r="F9" s="856"/>
      <c r="G9" s="861"/>
      <c r="H9" s="81" t="s">
        <v>143</v>
      </c>
      <c r="I9" s="1517">
        <f>IF(AND(Budget!$B$3=1,Budget!$E$44=0),1,0)</f>
        <v>1</v>
      </c>
      <c r="J9" s="139">
        <v>20</v>
      </c>
      <c r="K9" s="1331">
        <f>'C2_Irrigation_Calculations'!H9</f>
        <v>0</v>
      </c>
      <c r="L9" s="1517">
        <f>IF(AND(Budget!$B$3=1,Budget!$E$44=0),1,0)</f>
        <v>1</v>
      </c>
      <c r="M9" s="560">
        <v>1</v>
      </c>
      <c r="N9" s="869">
        <f>'C2_Irrigation_Calculations'!K9*Budget!D$30</f>
        <v>0</v>
      </c>
    </row>
    <row r="10" spans="1:14" ht="15.75" thickBot="1" x14ac:dyDescent="0.45">
      <c r="A10" s="476" t="s">
        <v>281</v>
      </c>
      <c r="B10" s="1383"/>
      <c r="C10" s="1378"/>
      <c r="D10" s="81" t="s">
        <v>296</v>
      </c>
      <c r="E10" s="149">
        <v>19000</v>
      </c>
      <c r="F10" s="81"/>
      <c r="G10" s="859"/>
      <c r="H10" s="1329" t="s">
        <v>22</v>
      </c>
      <c r="I10" s="858"/>
      <c r="J10" s="858"/>
      <c r="K10" s="870">
        <f>SUM(K4:K9)</f>
        <v>32.947651899998341</v>
      </c>
      <c r="L10" s="1384"/>
      <c r="M10" s="1329" t="s">
        <v>766</v>
      </c>
      <c r="N10" s="870">
        <f>SUM(N4:N9)</f>
        <v>3.7661458333333333</v>
      </c>
    </row>
    <row r="11" spans="1:14" ht="14.25" thickBot="1" x14ac:dyDescent="0.45">
      <c r="A11" s="476" t="s">
        <v>282</v>
      </c>
      <c r="B11" s="1383"/>
      <c r="C11" s="1378"/>
      <c r="D11" s="81" t="s">
        <v>581</v>
      </c>
      <c r="E11" s="149">
        <v>29400</v>
      </c>
      <c r="F11" s="81"/>
      <c r="G11" s="859"/>
      <c r="H11" s="81"/>
      <c r="I11" s="81"/>
      <c r="J11" s="81"/>
      <c r="K11" s="81"/>
      <c r="L11" s="81"/>
      <c r="M11" s="81"/>
      <c r="N11" s="81"/>
    </row>
    <row r="12" spans="1:14" ht="15.75" thickBot="1" x14ac:dyDescent="0.45">
      <c r="A12" s="476" t="s">
        <v>293</v>
      </c>
      <c r="B12" s="1383"/>
      <c r="C12" s="1378"/>
      <c r="D12" s="81" t="s">
        <v>297</v>
      </c>
      <c r="E12" s="149">
        <v>17155</v>
      </c>
      <c r="F12" s="81"/>
      <c r="G12" s="859"/>
      <c r="H12" s="871" t="s">
        <v>589</v>
      </c>
      <c r="I12" s="871"/>
      <c r="J12" s="872"/>
      <c r="K12" s="81"/>
      <c r="L12" s="81"/>
      <c r="M12" s="81"/>
      <c r="N12" s="81"/>
    </row>
    <row r="13" spans="1:14" ht="15.4" x14ac:dyDescent="0.4">
      <c r="A13" s="477" t="s">
        <v>291</v>
      </c>
      <c r="B13" s="1385"/>
      <c r="C13" s="1378"/>
      <c r="D13" s="81" t="s">
        <v>298</v>
      </c>
      <c r="E13" s="149">
        <v>21344</v>
      </c>
      <c r="F13" s="81"/>
      <c r="G13" s="859"/>
      <c r="H13" s="873" t="s">
        <v>139</v>
      </c>
      <c r="I13" s="873" t="s">
        <v>47</v>
      </c>
      <c r="J13" s="874" t="s">
        <v>587</v>
      </c>
      <c r="K13" s="854"/>
      <c r="L13" s="81"/>
      <c r="M13" s="926"/>
      <c r="N13" s="926"/>
    </row>
    <row r="14" spans="1:14" ht="13.9" x14ac:dyDescent="0.4">
      <c r="A14" s="478" t="s">
        <v>412</v>
      </c>
      <c r="B14" s="1874">
        <v>2.46</v>
      </c>
      <c r="C14" s="1378"/>
      <c r="D14" s="81" t="s">
        <v>275</v>
      </c>
      <c r="E14" s="149">
        <v>8750</v>
      </c>
      <c r="F14" s="81"/>
      <c r="G14" s="859"/>
      <c r="H14" s="81" t="s">
        <v>597</v>
      </c>
      <c r="I14" s="1536">
        <v>160</v>
      </c>
      <c r="J14" s="936">
        <v>12</v>
      </c>
      <c r="K14" s="854"/>
      <c r="L14" s="81"/>
      <c r="M14" s="926"/>
      <c r="N14" s="926"/>
    </row>
    <row r="15" spans="1:14" ht="14.25" thickBot="1" x14ac:dyDescent="0.45">
      <c r="A15" s="478" t="s">
        <v>204</v>
      </c>
      <c r="B15" s="1874">
        <v>1.3299999999999999E-2</v>
      </c>
      <c r="C15" s="1378"/>
      <c r="D15" s="81" t="s">
        <v>280</v>
      </c>
      <c r="E15" s="396">
        <v>50.45</v>
      </c>
      <c r="F15" s="81"/>
      <c r="G15" s="859"/>
      <c r="H15" s="858" t="s">
        <v>576</v>
      </c>
      <c r="I15" s="1537">
        <v>130</v>
      </c>
      <c r="J15" s="937">
        <v>12</v>
      </c>
      <c r="K15" s="972"/>
      <c r="L15" s="81"/>
      <c r="M15" s="926"/>
      <c r="N15" s="926"/>
    </row>
    <row r="16" spans="1:14" ht="15.75" x14ac:dyDescent="0.4">
      <c r="A16" s="478" t="s">
        <v>294</v>
      </c>
      <c r="B16" s="1874">
        <v>0.74</v>
      </c>
      <c r="C16" s="1378"/>
      <c r="D16" s="81" t="s">
        <v>299</v>
      </c>
      <c r="E16" s="149">
        <v>6100</v>
      </c>
      <c r="F16" s="81"/>
      <c r="G16" s="859"/>
      <c r="H16" s="875" t="s">
        <v>590</v>
      </c>
      <c r="I16" s="875"/>
      <c r="J16" s="876"/>
      <c r="K16" s="972"/>
      <c r="L16" s="81"/>
      <c r="M16" s="926"/>
      <c r="N16" s="926"/>
    </row>
    <row r="17" spans="1:10" ht="15.4" x14ac:dyDescent="0.4">
      <c r="A17" s="478" t="s">
        <v>1176</v>
      </c>
      <c r="B17" s="1874">
        <v>1.6</v>
      </c>
      <c r="C17" s="1378"/>
      <c r="D17" s="81" t="s">
        <v>528</v>
      </c>
      <c r="E17" s="81"/>
      <c r="F17" s="81"/>
      <c r="G17" s="859"/>
      <c r="H17" s="877" t="s">
        <v>591</v>
      </c>
      <c r="I17" s="877"/>
      <c r="J17" s="878"/>
    </row>
    <row r="18" spans="1:10" ht="15.75" thickBot="1" x14ac:dyDescent="0.45">
      <c r="A18" s="478" t="s">
        <v>292</v>
      </c>
      <c r="B18" s="1874">
        <v>2.6</v>
      </c>
      <c r="C18" s="1378"/>
      <c r="D18" s="81" t="s">
        <v>529</v>
      </c>
      <c r="E18" s="81"/>
      <c r="F18" s="81"/>
      <c r="G18" s="859"/>
      <c r="H18" s="879" t="s">
        <v>592</v>
      </c>
      <c r="I18" s="879"/>
      <c r="J18" s="880"/>
    </row>
    <row r="19" spans="1:10" ht="13.9" x14ac:dyDescent="0.4">
      <c r="A19" s="1381"/>
      <c r="B19" s="1382"/>
      <c r="C19" s="1378"/>
      <c r="D19" s="81" t="s">
        <v>336</v>
      </c>
      <c r="E19" s="81"/>
      <c r="F19" s="81"/>
      <c r="G19" s="859"/>
      <c r="H19" s="1328" t="s">
        <v>764</v>
      </c>
      <c r="I19" s="136">
        <v>1</v>
      </c>
      <c r="J19" s="1193" t="s">
        <v>768</v>
      </c>
    </row>
    <row r="20" spans="1:10" ht="15.4" x14ac:dyDescent="0.4">
      <c r="A20" s="478" t="s">
        <v>242</v>
      </c>
      <c r="B20" s="558">
        <v>1</v>
      </c>
      <c r="C20" s="1378"/>
      <c r="D20" s="81" t="s">
        <v>530</v>
      </c>
      <c r="E20" s="81"/>
      <c r="F20" s="81"/>
      <c r="G20" s="859"/>
      <c r="H20" s="854" t="s">
        <v>765</v>
      </c>
      <c r="I20" s="139">
        <v>0</v>
      </c>
      <c r="J20" s="81" t="s">
        <v>767</v>
      </c>
    </row>
    <row r="21" spans="1:10" ht="13.9" x14ac:dyDescent="0.4">
      <c r="A21" s="475" t="s">
        <v>278</v>
      </c>
      <c r="B21" s="556"/>
      <c r="C21" s="1378"/>
      <c r="D21" s="81" t="s">
        <v>333</v>
      </c>
      <c r="E21" s="81"/>
      <c r="F21" s="81"/>
      <c r="G21" s="859"/>
      <c r="H21" s="80" t="s">
        <v>763</v>
      </c>
      <c r="I21" s="139">
        <v>0</v>
      </c>
      <c r="J21" s="857" t="s">
        <v>817</v>
      </c>
    </row>
    <row r="22" spans="1:10" ht="14.25" thickBot="1" x14ac:dyDescent="0.45">
      <c r="A22" s="477" t="s">
        <v>241</v>
      </c>
      <c r="B22" s="559"/>
      <c r="C22" s="1378"/>
      <c r="D22" s="81" t="s">
        <v>289</v>
      </c>
      <c r="E22" s="81"/>
      <c r="F22" s="81"/>
      <c r="G22" s="859"/>
      <c r="H22" s="1338" t="s">
        <v>825</v>
      </c>
      <c r="I22" s="1518">
        <f>IF(AND(Budget!$B$3=1,Budget!$E$44=0),1,0)</f>
        <v>1</v>
      </c>
      <c r="J22" s="858"/>
    </row>
    <row r="23" spans="1:10" ht="13.9" x14ac:dyDescent="0.4">
      <c r="A23" s="1381"/>
      <c r="B23" s="1382"/>
      <c r="C23" s="1378"/>
      <c r="D23" s="81" t="s">
        <v>332</v>
      </c>
      <c r="E23" s="81"/>
      <c r="F23" s="81"/>
      <c r="G23" s="859"/>
      <c r="H23" s="855" t="s">
        <v>609</v>
      </c>
      <c r="I23" s="855"/>
      <c r="J23" s="860"/>
    </row>
    <row r="24" spans="1:10" ht="13.9" x14ac:dyDescent="0.4">
      <c r="A24" s="478" t="s">
        <v>157</v>
      </c>
      <c r="B24" s="558">
        <f>IF(AND(A2_Budget_Look_Up!C4&gt;=40,A2_Budget_Look_Up!C4&lt;=43),1,2)</f>
        <v>2</v>
      </c>
      <c r="C24" s="1378"/>
      <c r="D24" s="81" t="s">
        <v>338</v>
      </c>
      <c r="E24" s="81"/>
      <c r="F24" s="81"/>
      <c r="G24" s="859"/>
      <c r="H24" s="81" t="s">
        <v>610</v>
      </c>
      <c r="I24" s="81"/>
      <c r="J24" s="1315">
        <f>IF(AND(A2_Budget_Look_Up!C4&gt;=40,A2_Budget_Look_Up!C4&lt;=43),1,5)</f>
        <v>5</v>
      </c>
    </row>
    <row r="25" spans="1:10" ht="14.25" thickBot="1" x14ac:dyDescent="0.45">
      <c r="A25" s="475" t="s">
        <v>193</v>
      </c>
      <c r="B25" s="556"/>
      <c r="C25" s="1378"/>
      <c r="D25" s="81" t="s">
        <v>337</v>
      </c>
      <c r="E25" s="81"/>
      <c r="F25" s="81"/>
      <c r="G25" s="859"/>
      <c r="H25" s="858" t="s">
        <v>611</v>
      </c>
      <c r="I25" s="858"/>
      <c r="J25" s="1332">
        <v>10</v>
      </c>
    </row>
    <row r="26" spans="1:10" ht="13.9" x14ac:dyDescent="0.4">
      <c r="A26" s="477" t="s">
        <v>194</v>
      </c>
      <c r="B26" s="559"/>
      <c r="C26" s="1386"/>
      <c r="D26" s="1334"/>
      <c r="E26" s="81"/>
      <c r="F26" s="81"/>
      <c r="G26" s="859"/>
      <c r="H26" s="81"/>
      <c r="I26" s="81"/>
      <c r="J26" s="81"/>
    </row>
    <row r="27" spans="1:10" ht="13.9" x14ac:dyDescent="0.4">
      <c r="A27" s="1381"/>
      <c r="B27" s="1382"/>
      <c r="C27" s="1386"/>
      <c r="D27" s="1335" t="s">
        <v>454</v>
      </c>
      <c r="E27" s="1336"/>
      <c r="F27" s="1336"/>
      <c r="G27" s="1339"/>
      <c r="H27" s="81"/>
      <c r="I27" s="81"/>
      <c r="J27" s="81"/>
    </row>
    <row r="28" spans="1:10" ht="15.75" x14ac:dyDescent="0.4">
      <c r="A28" s="478" t="s">
        <v>1035</v>
      </c>
      <c r="B28" s="1383"/>
      <c r="C28" s="1386"/>
      <c r="D28" s="1337"/>
      <c r="E28" s="79"/>
      <c r="F28" s="79"/>
      <c r="G28" s="862" t="s">
        <v>477</v>
      </c>
      <c r="H28" s="81"/>
      <c r="I28" s="81"/>
      <c r="J28" s="81"/>
    </row>
    <row r="29" spans="1:10" ht="13.9" x14ac:dyDescent="0.4">
      <c r="A29" s="476" t="s">
        <v>145</v>
      </c>
      <c r="B29" s="558">
        <v>2</v>
      </c>
      <c r="C29" s="1386"/>
      <c r="D29" s="1337"/>
      <c r="E29" s="79"/>
      <c r="F29" s="854" t="s">
        <v>451</v>
      </c>
      <c r="G29" s="862" t="s">
        <v>478</v>
      </c>
      <c r="H29" s="81"/>
      <c r="I29" s="81"/>
      <c r="J29" s="81"/>
    </row>
    <row r="30" spans="1:10" ht="13.9" x14ac:dyDescent="0.4">
      <c r="A30" s="476" t="s">
        <v>124</v>
      </c>
      <c r="B30" s="558">
        <v>30</v>
      </c>
      <c r="C30" s="1386"/>
      <c r="D30" s="1337"/>
      <c r="E30" s="79" t="s">
        <v>456</v>
      </c>
      <c r="F30" s="854" t="s">
        <v>452</v>
      </c>
      <c r="G30" s="862" t="s">
        <v>243</v>
      </c>
      <c r="H30" s="81"/>
      <c r="I30" s="81"/>
      <c r="J30" s="81"/>
    </row>
    <row r="31" spans="1:10" ht="13.9" x14ac:dyDescent="0.4">
      <c r="A31" s="476"/>
      <c r="B31" s="1383"/>
      <c r="C31" s="1386"/>
      <c r="D31" s="1334" t="s">
        <v>457</v>
      </c>
      <c r="E31" s="149"/>
      <c r="F31" s="139"/>
      <c r="G31" s="1515">
        <v>0</v>
      </c>
      <c r="H31" s="81"/>
      <c r="I31" s="81"/>
      <c r="J31" s="81"/>
    </row>
    <row r="32" spans="1:10" ht="14.25" thickBot="1" x14ac:dyDescent="0.45">
      <c r="A32" s="840"/>
      <c r="B32" s="1387"/>
      <c r="C32" s="1388"/>
      <c r="D32" s="1333" t="s">
        <v>457</v>
      </c>
      <c r="E32" s="151"/>
      <c r="F32" s="144"/>
      <c r="G32" s="1516">
        <v>0</v>
      </c>
      <c r="H32" s="81"/>
      <c r="I32" s="81"/>
      <c r="J32" s="81"/>
    </row>
    <row r="34" spans="4:7" ht="14.25" thickBot="1" x14ac:dyDescent="0.45">
      <c r="D34" s="930" t="s">
        <v>629</v>
      </c>
      <c r="E34" s="931">
        <f>IF(B2&lt;3,IF(B2=2,I15,I14),0)</f>
        <v>160</v>
      </c>
      <c r="F34" s="932" t="s">
        <v>796</v>
      </c>
      <c r="G34" s="933"/>
    </row>
    <row r="35" spans="4:7" ht="13.9" x14ac:dyDescent="0.4">
      <c r="D35" s="922" t="s">
        <v>616</v>
      </c>
      <c r="E35" s="923"/>
      <c r="F35" s="923"/>
      <c r="G35" s="924"/>
    </row>
    <row r="36" spans="4:7" ht="13.9" x14ac:dyDescent="0.4">
      <c r="D36" s="863"/>
      <c r="E36" s="854" t="s">
        <v>7</v>
      </c>
      <c r="F36" s="854" t="s">
        <v>45</v>
      </c>
      <c r="G36" s="925"/>
    </row>
    <row r="37" spans="4:7" ht="13.9" x14ac:dyDescent="0.4">
      <c r="D37" s="867" t="s">
        <v>516</v>
      </c>
      <c r="E37" s="80" t="s">
        <v>612</v>
      </c>
      <c r="F37" s="80" t="s">
        <v>613</v>
      </c>
      <c r="G37" s="868" t="s">
        <v>22</v>
      </c>
    </row>
    <row r="38" spans="4:7" ht="13.9" x14ac:dyDescent="0.4">
      <c r="D38" s="863" t="s">
        <v>614</v>
      </c>
      <c r="E38" s="926">
        <f>Trips!B76*IF(B2=2,I15,I14)</f>
        <v>5357.3993039997349</v>
      </c>
      <c r="F38" s="926">
        <f>(SUM(Trips!B30:B31)+SUM(Trips!B33:B37))*IF(B2=2,I15,I14)</f>
        <v>765.84427170091112</v>
      </c>
      <c r="G38" s="927">
        <f t="shared" ref="G38:G43" si="0">SUM(E38:F38)</f>
        <v>6123.243575700646</v>
      </c>
    </row>
    <row r="39" spans="4:7" ht="13.9" x14ac:dyDescent="0.4">
      <c r="D39" s="863" t="s">
        <v>243</v>
      </c>
      <c r="E39" s="926">
        <f>Trips!C76*IF(B2=2,I15,I14)</f>
        <v>602.58333333333326</v>
      </c>
      <c r="F39" s="926">
        <f>(SUM(Trips!C30:C31)+SUM(Trips!C33:C37))*IF(B2=2,I15,I14)</f>
        <v>38.547106568044192</v>
      </c>
      <c r="G39" s="927">
        <f t="shared" si="0"/>
        <v>641.13043990137749</v>
      </c>
    </row>
    <row r="40" spans="4:7" ht="13.9" x14ac:dyDescent="0.4">
      <c r="D40" s="863" t="s">
        <v>615</v>
      </c>
      <c r="E40" s="926">
        <f>Trips!D76*IF(B2=2,I15,I14)</f>
        <v>4648.9319218045111</v>
      </c>
      <c r="F40" s="926">
        <f>(SUM(Trips!D30:D31)+SUM(Trips!D33:D37))*IF(B2=2,I15,I14)</f>
        <v>151.32597079303432</v>
      </c>
      <c r="G40" s="927">
        <f t="shared" si="0"/>
        <v>4800.2578925975458</v>
      </c>
    </row>
    <row r="41" spans="4:7" ht="13.9" x14ac:dyDescent="0.4">
      <c r="D41" s="863" t="s">
        <v>55</v>
      </c>
      <c r="E41" s="926">
        <f>Trips!E76*IF(B2=2,I15,I14)</f>
        <v>78.302400000000006</v>
      </c>
      <c r="F41" s="926">
        <f>(SUM(Trips!E30:E31)+SUM(Trips!E33:E37))*IF(B2=2,I15,I14)</f>
        <v>369.64376191560456</v>
      </c>
      <c r="G41" s="927">
        <f t="shared" si="0"/>
        <v>447.94616191560453</v>
      </c>
    </row>
    <row r="42" spans="4:7" ht="13.9" x14ac:dyDescent="0.4">
      <c r="D42" s="863" t="s">
        <v>625</v>
      </c>
      <c r="E42" s="926">
        <f>Budget!F31*IF(Irrigation!B2=2,Irrigation!I15,Irrigation!I14)</f>
        <v>2600</v>
      </c>
      <c r="F42" s="926">
        <v>0</v>
      </c>
      <c r="G42" s="927">
        <f t="shared" si="0"/>
        <v>2600</v>
      </c>
    </row>
    <row r="43" spans="4:7" ht="13.9" x14ac:dyDescent="0.4">
      <c r="D43" s="863" t="s">
        <v>491</v>
      </c>
      <c r="E43" s="926">
        <f>(Budget!E49*Program_Variables!H50)*IF(B2=2,I15,I14)</f>
        <v>0</v>
      </c>
      <c r="F43" s="926">
        <f>F38*Program_Variables!F50</f>
        <v>38.292213585045559</v>
      </c>
      <c r="G43" s="927">
        <f t="shared" si="0"/>
        <v>38.292213585045559</v>
      </c>
    </row>
    <row r="44" spans="4:7" ht="13.9" thickBot="1" x14ac:dyDescent="0.4">
      <c r="D44" s="504" t="s">
        <v>22</v>
      </c>
      <c r="E44" s="928">
        <f>SUM(E38:E43)</f>
        <v>13287.216959137579</v>
      </c>
      <c r="F44" s="928">
        <f>SUM(F38:F43)</f>
        <v>1363.6533245626399</v>
      </c>
      <c r="G44" s="929">
        <f>SUM(G38:G43)</f>
        <v>14650.870283700218</v>
      </c>
    </row>
    <row r="45" spans="4:7" ht="13.9" x14ac:dyDescent="0.4">
      <c r="D45" s="922" t="s">
        <v>630</v>
      </c>
      <c r="E45" s="935">
        <f>IF(B2&lt;3,Budget!D29,0)</f>
        <v>10</v>
      </c>
      <c r="F45" s="923" t="s">
        <v>617</v>
      </c>
      <c r="G45" s="924"/>
    </row>
    <row r="46" spans="4:7" ht="13.9" x14ac:dyDescent="0.4">
      <c r="D46" s="863"/>
      <c r="E46" s="854" t="s">
        <v>7</v>
      </c>
      <c r="F46" s="854" t="s">
        <v>45</v>
      </c>
      <c r="G46" s="925"/>
    </row>
    <row r="47" spans="4:7" ht="13.9" x14ac:dyDescent="0.4">
      <c r="D47" s="867" t="s">
        <v>516</v>
      </c>
      <c r="E47" s="80" t="s">
        <v>612</v>
      </c>
      <c r="F47" s="80" t="s">
        <v>613</v>
      </c>
      <c r="G47" s="868" t="s">
        <v>22</v>
      </c>
    </row>
    <row r="48" spans="4:7" ht="13.9" x14ac:dyDescent="0.4">
      <c r="D48" s="863" t="s">
        <v>614</v>
      </c>
      <c r="E48" s="82">
        <f t="shared" ref="E48:G54" si="1">IF($E$34&gt;0,E38/$E$34," ")</f>
        <v>33.48374564999834</v>
      </c>
      <c r="F48" s="82">
        <f t="shared" si="1"/>
        <v>4.7865266981306949</v>
      </c>
      <c r="G48" s="934">
        <f t="shared" si="1"/>
        <v>38.270272348129041</v>
      </c>
    </row>
    <row r="49" spans="4:7" ht="13.9" x14ac:dyDescent="0.4">
      <c r="D49" s="863" t="s">
        <v>243</v>
      </c>
      <c r="E49" s="82">
        <f t="shared" si="1"/>
        <v>3.7661458333333329</v>
      </c>
      <c r="F49" s="82">
        <f t="shared" si="1"/>
        <v>0.2409194160502762</v>
      </c>
      <c r="G49" s="934">
        <f t="shared" si="1"/>
        <v>4.0070652493836096</v>
      </c>
    </row>
    <row r="50" spans="4:7" ht="13.9" x14ac:dyDescent="0.4">
      <c r="D50" s="863" t="s">
        <v>615</v>
      </c>
      <c r="E50" s="82">
        <f t="shared" si="1"/>
        <v>29.055824511278196</v>
      </c>
      <c r="F50" s="82">
        <f t="shared" si="1"/>
        <v>0.94578731745646449</v>
      </c>
      <c r="G50" s="934">
        <f t="shared" si="1"/>
        <v>30.00161182873466</v>
      </c>
    </row>
    <row r="51" spans="4:7" ht="13.9" x14ac:dyDescent="0.4">
      <c r="D51" s="863" t="s">
        <v>55</v>
      </c>
      <c r="E51" s="82">
        <f t="shared" si="1"/>
        <v>0.48939000000000005</v>
      </c>
      <c r="F51" s="82">
        <f t="shared" si="1"/>
        <v>2.3102735119725284</v>
      </c>
      <c r="G51" s="934">
        <f t="shared" si="1"/>
        <v>2.7996635119725282</v>
      </c>
    </row>
    <row r="52" spans="4:7" ht="13.9" x14ac:dyDescent="0.4">
      <c r="D52" s="863" t="s">
        <v>625</v>
      </c>
      <c r="E52" s="82">
        <f t="shared" si="1"/>
        <v>16.25</v>
      </c>
      <c r="F52" s="82">
        <f t="shared" si="1"/>
        <v>0</v>
      </c>
      <c r="G52" s="934">
        <f t="shared" si="1"/>
        <v>16.25</v>
      </c>
    </row>
    <row r="53" spans="4:7" ht="13.9" x14ac:dyDescent="0.4">
      <c r="D53" s="863" t="s">
        <v>491</v>
      </c>
      <c r="E53" s="82">
        <f t="shared" si="1"/>
        <v>0</v>
      </c>
      <c r="F53" s="82">
        <f t="shared" si="1"/>
        <v>0.23932633490653474</v>
      </c>
      <c r="G53" s="934">
        <f t="shared" si="1"/>
        <v>0.23932633490653474</v>
      </c>
    </row>
    <row r="54" spans="4:7" ht="13.9" thickBot="1" x14ac:dyDescent="0.4">
      <c r="D54" s="504" t="s">
        <v>22</v>
      </c>
      <c r="E54" s="864">
        <f t="shared" si="1"/>
        <v>83.04510599460987</v>
      </c>
      <c r="F54" s="864">
        <f t="shared" si="1"/>
        <v>8.5228332785164991</v>
      </c>
      <c r="G54" s="870">
        <f t="shared" si="1"/>
        <v>91.56793927312637</v>
      </c>
    </row>
    <row r="55" spans="4:7" ht="13.9" x14ac:dyDescent="0.4">
      <c r="D55" s="922" t="s">
        <v>631</v>
      </c>
      <c r="E55" s="935">
        <f>E34</f>
        <v>160</v>
      </c>
      <c r="F55" s="923" t="s">
        <v>618</v>
      </c>
      <c r="G55" s="924"/>
    </row>
    <row r="56" spans="4:7" ht="13.9" x14ac:dyDescent="0.4">
      <c r="D56" s="863"/>
      <c r="E56" s="854" t="s">
        <v>7</v>
      </c>
      <c r="F56" s="854" t="s">
        <v>45</v>
      </c>
      <c r="G56" s="925"/>
    </row>
    <row r="57" spans="4:7" ht="13.9" x14ac:dyDescent="0.4">
      <c r="D57" s="867" t="s">
        <v>516</v>
      </c>
      <c r="E57" s="80" t="s">
        <v>612</v>
      </c>
      <c r="F57" s="80" t="s">
        <v>613</v>
      </c>
      <c r="G57" s="868" t="s">
        <v>22</v>
      </c>
    </row>
    <row r="58" spans="4:7" ht="13.9" x14ac:dyDescent="0.4">
      <c r="D58" s="863" t="s">
        <v>614</v>
      </c>
      <c r="E58" s="82">
        <f>IF(Budget!$D$29&gt;0,E38/Budget!$D$29,)</f>
        <v>535.73993039997345</v>
      </c>
      <c r="F58" s="82">
        <f>IF(Budget!$D$29&gt;0,F38/Budget!$D$29,)</f>
        <v>76.584427170091118</v>
      </c>
      <c r="G58" s="934">
        <f>IF(Budget!$D$29&gt;0,G38/Budget!$D$29,)</f>
        <v>612.32435757006465</v>
      </c>
    </row>
    <row r="59" spans="4:7" ht="13.9" x14ac:dyDescent="0.4">
      <c r="D59" s="863" t="s">
        <v>243</v>
      </c>
      <c r="E59" s="82">
        <f>IF(Budget!$D$29&gt;0,E39/Budget!$D$29,)</f>
        <v>60.258333333333326</v>
      </c>
      <c r="F59" s="82">
        <f>IF(Budget!$D$29&gt;0,F39/Budget!$D$29,)</f>
        <v>3.8547106568044192</v>
      </c>
      <c r="G59" s="934">
        <f>IF(Budget!$D$29&gt;0,G39/Budget!$D$29,)</f>
        <v>64.113043990137754</v>
      </c>
    </row>
    <row r="60" spans="4:7" ht="13.9" x14ac:dyDescent="0.4">
      <c r="D60" s="863" t="s">
        <v>615</v>
      </c>
      <c r="E60" s="82">
        <f>IF(Budget!$D$29&gt;0,E40/Budget!$D$29,)</f>
        <v>464.89319218045114</v>
      </c>
      <c r="F60" s="82">
        <f>IF(Budget!$D$29&gt;0,F40/Budget!$D$29,)</f>
        <v>15.132597079303432</v>
      </c>
      <c r="G60" s="934">
        <f>IF(Budget!$D$29&gt;0,G40/Budget!$D$29,)</f>
        <v>480.02578925975456</v>
      </c>
    </row>
    <row r="61" spans="4:7" ht="13.9" x14ac:dyDescent="0.4">
      <c r="D61" s="863" t="s">
        <v>55</v>
      </c>
      <c r="E61" s="82">
        <f>IF(Budget!$D$29&gt;0,E41/Budget!$D$29,)</f>
        <v>7.8302400000000008</v>
      </c>
      <c r="F61" s="82">
        <f>IF(Budget!$D$29&gt;0,F41/Budget!$D$29,)</f>
        <v>36.964376191560454</v>
      </c>
      <c r="G61" s="934">
        <f>IF(Budget!$D$29&gt;0,G41/Budget!$D$29,)</f>
        <v>44.794616191560451</v>
      </c>
    </row>
    <row r="62" spans="4:7" ht="13.9" x14ac:dyDescent="0.4">
      <c r="D62" s="863" t="s">
        <v>625</v>
      </c>
      <c r="E62" s="82">
        <f>IF(Budget!$D$29&gt;0,E42/Budget!$D$29,)</f>
        <v>260</v>
      </c>
      <c r="F62" s="82">
        <f>IF(Budget!$D$29&gt;0,F42/Budget!$D$29,)</f>
        <v>0</v>
      </c>
      <c r="G62" s="934">
        <f>IF(Budget!$D$29&gt;0,G42/Budget!$D$29,)</f>
        <v>260</v>
      </c>
    </row>
    <row r="63" spans="4:7" ht="13.9" x14ac:dyDescent="0.4">
      <c r="D63" s="863" t="s">
        <v>491</v>
      </c>
      <c r="E63" s="82">
        <f>IF(Budget!$D$29&gt;0,E43/Budget!$D$29,)</f>
        <v>0</v>
      </c>
      <c r="F63" s="82">
        <f>IF(Budget!$D$29&gt;0,F43/Budget!$D$29,)</f>
        <v>3.8292213585045558</v>
      </c>
      <c r="G63" s="934">
        <f>IF(Budget!$D$29&gt;0,G43/Budget!$D$29,)</f>
        <v>3.8292213585045558</v>
      </c>
    </row>
    <row r="64" spans="4:7" ht="13.9" thickBot="1" x14ac:dyDescent="0.4">
      <c r="D64" s="504" t="s">
        <v>22</v>
      </c>
      <c r="E64" s="864">
        <f>IF(Budget!$D$29&gt;0,E44/Budget!$D$29,)</f>
        <v>1328.7216959137579</v>
      </c>
      <c r="F64" s="864">
        <f>IF(Budget!$D$29&gt;0,F44/Budget!$D$29,)</f>
        <v>136.36533245626399</v>
      </c>
      <c r="G64" s="870">
        <f>IF(Budget!$D$29&gt;0,G44/Budget!$D$29,)</f>
        <v>1465.0870283700219</v>
      </c>
    </row>
    <row r="66" spans="4:7" ht="13.9" x14ac:dyDescent="0.4">
      <c r="D66" s="176" t="s">
        <v>627</v>
      </c>
      <c r="E66" s="177"/>
      <c r="F66" s="177"/>
      <c r="G66" s="1936"/>
    </row>
    <row r="67" spans="4:7" ht="13.9" x14ac:dyDescent="0.4">
      <c r="D67" s="175" t="s">
        <v>623</v>
      </c>
      <c r="E67" s="4"/>
      <c r="F67" s="4"/>
      <c r="G67" s="1766">
        <v>400</v>
      </c>
    </row>
    <row r="68" spans="4:7" ht="13.9" x14ac:dyDescent="0.4">
      <c r="D68" s="175" t="s">
        <v>622</v>
      </c>
      <c r="E68" s="4"/>
      <c r="F68" s="4"/>
      <c r="G68" s="1933">
        <v>0.6</v>
      </c>
    </row>
    <row r="69" spans="4:7" ht="13.9" x14ac:dyDescent="0.4">
      <c r="D69" s="175" t="s">
        <v>624</v>
      </c>
      <c r="E69" s="4"/>
      <c r="F69" s="4"/>
      <c r="G69" s="1934">
        <f>IF(A2_Budget_Look_Up!B10&lt;1,IF(B2&lt;3,((G67*G68*IF(B2=2,I15,I14))-G44),"NA"),"NA")</f>
        <v>23749.12971629978</v>
      </c>
    </row>
    <row r="70" spans="4:7" ht="14.25" thickBot="1" x14ac:dyDescent="0.45">
      <c r="D70" s="185" t="s">
        <v>621</v>
      </c>
      <c r="E70" s="186"/>
      <c r="F70" s="186"/>
      <c r="G70" s="1935">
        <f>IF(A2_Budget_Look_Up!B10&lt;1,IF(B2&lt;3,((G67*G68)-G54),"NA"),"NA")</f>
        <v>148.43206072687363</v>
      </c>
    </row>
  </sheetData>
  <sheetProtection selectLockedCells="1"/>
  <hyperlinks>
    <hyperlink ref="A1" location="Budget!H27" display="Return to Budget Worksheet" xr:uid="{00000000-0004-0000-1900-000000000000}"/>
    <hyperlink ref="H1" location="Links!G1" display="Goto Links Worksheet" xr:uid="{00000000-0004-0000-1900-000001000000}"/>
  </hyperlinks>
  <pageMargins left="0.7" right="0.7" top="0.75" bottom="0.75" header="0.3" footer="0.3"/>
  <pageSetup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86"/>
  <sheetViews>
    <sheetView zoomScaleNormal="100" workbookViewId="0"/>
  </sheetViews>
  <sheetFormatPr defaultRowHeight="12.75" x14ac:dyDescent="0.35"/>
  <cols>
    <col min="1" max="1" width="30.86328125" customWidth="1"/>
    <col min="2" max="2" width="9" customWidth="1"/>
    <col min="3" max="3" width="9.265625" customWidth="1"/>
    <col min="4" max="5" width="8.59765625" customWidth="1"/>
    <col min="6" max="6" width="12" customWidth="1"/>
    <col min="7" max="7" width="10.265625" customWidth="1"/>
    <col min="8" max="8" width="8.265625" customWidth="1"/>
    <col min="9" max="9" width="15.59765625" customWidth="1"/>
    <col min="10" max="10" width="3.73046875" customWidth="1"/>
    <col min="11" max="11" width="9.59765625" customWidth="1"/>
    <col min="12" max="13" width="7.73046875" customWidth="1"/>
    <col min="14" max="20" width="7.3984375" customWidth="1"/>
    <col min="21" max="21" width="8.59765625" customWidth="1"/>
    <col min="22" max="22" width="12" customWidth="1"/>
    <col min="23" max="23" width="9.86328125" customWidth="1"/>
    <col min="24" max="24" width="8.86328125" customWidth="1"/>
    <col min="25" max="25" width="9.59765625" customWidth="1"/>
    <col min="26" max="26" width="10.73046875" customWidth="1"/>
    <col min="27" max="27" width="9.73046875" customWidth="1"/>
    <col min="28" max="28" width="9.1328125" customWidth="1"/>
    <col min="29" max="29" width="12.1328125" customWidth="1"/>
    <col min="30" max="30" width="13.86328125" customWidth="1"/>
    <col min="31" max="31" width="9.1328125" customWidth="1"/>
    <col min="32" max="32" width="12" bestFit="1" customWidth="1"/>
    <col min="33" max="33" width="10.73046875" customWidth="1"/>
    <col min="34" max="34" width="10.1328125" customWidth="1"/>
    <col min="35" max="35" width="12.265625" customWidth="1"/>
    <col min="36" max="36" width="11.3984375" customWidth="1"/>
    <col min="37" max="37" width="9" customWidth="1"/>
    <col min="38" max="38" width="9.73046875" customWidth="1"/>
    <col min="39" max="39" width="12.1328125" customWidth="1"/>
    <col min="40" max="41" width="8" customWidth="1"/>
    <col min="42" max="42" width="12.1328125" customWidth="1"/>
    <col min="43" max="43" width="11.1328125" customWidth="1"/>
    <col min="44" max="44" width="9.1328125" customWidth="1"/>
    <col min="45" max="45" width="10.265625" customWidth="1"/>
    <col min="46" max="47" width="8.59765625" customWidth="1"/>
    <col min="48" max="48" width="10.73046875" customWidth="1"/>
    <col min="49" max="49" width="10.3984375" customWidth="1"/>
  </cols>
  <sheetData>
    <row r="1" spans="1:8" ht="15.75" customHeight="1" x14ac:dyDescent="0.4">
      <c r="A1" s="1859" t="s">
        <v>1012</v>
      </c>
      <c r="B1" s="1993" t="s">
        <v>1032</v>
      </c>
      <c r="C1" s="1993"/>
      <c r="D1" s="1993"/>
      <c r="E1" s="1993"/>
      <c r="F1" s="1993"/>
      <c r="G1" s="1865"/>
      <c r="H1" s="3"/>
    </row>
    <row r="2" spans="1:8" ht="15.75" customHeight="1" thickBot="1" x14ac:dyDescent="0.45">
      <c r="A2" s="1790" t="s">
        <v>1013</v>
      </c>
      <c r="B2" s="392"/>
      <c r="C2" s="392"/>
      <c r="D2" s="393"/>
      <c r="E2" s="391"/>
      <c r="F2" s="365"/>
      <c r="G2" s="365"/>
      <c r="H2" s="365"/>
    </row>
    <row r="3" spans="1:8" ht="13.9" x14ac:dyDescent="0.4">
      <c r="A3" s="355" t="s">
        <v>161</v>
      </c>
      <c r="B3" s="356"/>
      <c r="C3" s="357"/>
      <c r="D3" s="358"/>
      <c r="E3" s="391"/>
      <c r="F3" s="1370">
        <v>0.09</v>
      </c>
      <c r="G3" s="372" t="s">
        <v>520</v>
      </c>
      <c r="H3" s="372"/>
    </row>
    <row r="4" spans="1:8" ht="13.9" x14ac:dyDescent="0.4">
      <c r="A4" s="359" t="s">
        <v>189</v>
      </c>
      <c r="B4" s="360"/>
      <c r="C4" s="361"/>
      <c r="D4" s="362"/>
      <c r="E4" s="391"/>
      <c r="F4" s="1201">
        <v>0.2</v>
      </c>
      <c r="G4" s="1368" t="s">
        <v>770</v>
      </c>
      <c r="H4" s="1368"/>
    </row>
    <row r="5" spans="1:8" ht="13.9" x14ac:dyDescent="0.4">
      <c r="A5" s="363" t="s">
        <v>136</v>
      </c>
      <c r="B5" s="364"/>
      <c r="C5" s="365"/>
      <c r="D5" s="124">
        <v>8</v>
      </c>
      <c r="E5" s="391"/>
      <c r="F5" s="1519">
        <v>46</v>
      </c>
      <c r="G5" s="1368" t="s">
        <v>771</v>
      </c>
      <c r="H5" s="1369"/>
    </row>
    <row r="6" spans="1:8" ht="13.9" x14ac:dyDescent="0.4">
      <c r="A6" s="366" t="s">
        <v>94</v>
      </c>
      <c r="B6" s="367"/>
      <c r="C6" s="365"/>
      <c r="D6" s="125">
        <v>38</v>
      </c>
      <c r="E6" s="391"/>
      <c r="F6" s="364" t="s">
        <v>268</v>
      </c>
      <c r="G6" s="364"/>
      <c r="H6" s="364"/>
    </row>
    <row r="7" spans="1:8" ht="14.25" thickBot="1" x14ac:dyDescent="0.45">
      <c r="A7" s="368" t="s">
        <v>137</v>
      </c>
      <c r="B7" s="369"/>
      <c r="C7" s="370"/>
      <c r="D7" s="394">
        <f>(D5*D6)/12</f>
        <v>25.333333333333332</v>
      </c>
      <c r="E7" s="391"/>
      <c r="F7" s="364" t="s">
        <v>269</v>
      </c>
      <c r="G7" s="364"/>
      <c r="H7" s="364"/>
    </row>
    <row r="8" spans="1:8" ht="14.65" thickBot="1" x14ac:dyDescent="0.5">
      <c r="A8" s="1149" t="s">
        <v>739</v>
      </c>
      <c r="B8" s="1151"/>
      <c r="C8" s="1151"/>
      <c r="D8" s="1152">
        <v>1</v>
      </c>
      <c r="E8" s="1154"/>
      <c r="F8" s="364" t="s">
        <v>285</v>
      </c>
      <c r="G8" s="364"/>
      <c r="H8" s="364"/>
    </row>
    <row r="9" spans="1:8" ht="13.9" thickBot="1" x14ac:dyDescent="0.4">
      <c r="A9" s="1153"/>
      <c r="B9" s="1153"/>
      <c r="C9" s="370"/>
      <c r="D9" s="370"/>
      <c r="E9" s="1150"/>
      <c r="F9" s="373"/>
      <c r="G9" s="374"/>
      <c r="H9" s="375"/>
    </row>
    <row r="10" spans="1:8" ht="13.9" thickBot="1" x14ac:dyDescent="0.4">
      <c r="A10" s="984" t="s">
        <v>75</v>
      </c>
      <c r="B10" s="373" t="s">
        <v>78</v>
      </c>
      <c r="C10" s="1522"/>
      <c r="D10" s="1522"/>
      <c r="E10" s="1523"/>
      <c r="F10" s="373" t="s">
        <v>72</v>
      </c>
      <c r="G10" s="374"/>
      <c r="H10" s="375"/>
    </row>
    <row r="11" spans="1:8" ht="13.9" x14ac:dyDescent="0.4">
      <c r="A11" s="1568"/>
      <c r="B11" s="377"/>
      <c r="C11" s="381" t="s">
        <v>175</v>
      </c>
      <c r="D11" s="383"/>
      <c r="E11" s="382" t="s">
        <v>202</v>
      </c>
      <c r="F11" s="983" t="s">
        <v>344</v>
      </c>
      <c r="G11" s="376" t="s">
        <v>68</v>
      </c>
      <c r="H11" s="974" t="s">
        <v>52</v>
      </c>
    </row>
    <row r="12" spans="1:8" ht="13.9" x14ac:dyDescent="0.4">
      <c r="A12" s="1568" t="s">
        <v>210</v>
      </c>
      <c r="B12" s="377" t="s">
        <v>51</v>
      </c>
      <c r="C12" s="381" t="s">
        <v>343</v>
      </c>
      <c r="D12" s="383" t="s">
        <v>43</v>
      </c>
      <c r="E12" s="382" t="s">
        <v>203</v>
      </c>
      <c r="F12" s="983" t="s">
        <v>343</v>
      </c>
      <c r="G12" s="376" t="s">
        <v>59</v>
      </c>
      <c r="H12" s="974" t="s">
        <v>57</v>
      </c>
    </row>
    <row r="13" spans="1:8" ht="14.25" thickBot="1" x14ac:dyDescent="0.45">
      <c r="A13" s="1568" t="s">
        <v>158</v>
      </c>
      <c r="B13" s="377" t="s">
        <v>187</v>
      </c>
      <c r="C13" s="381" t="s">
        <v>342</v>
      </c>
      <c r="D13" s="383" t="s">
        <v>44</v>
      </c>
      <c r="E13" s="382" t="s">
        <v>201</v>
      </c>
      <c r="F13" s="381" t="s">
        <v>342</v>
      </c>
      <c r="G13" s="376" t="s">
        <v>188</v>
      </c>
      <c r="H13" s="974" t="s">
        <v>2</v>
      </c>
    </row>
    <row r="14" spans="1:8" ht="13.9" x14ac:dyDescent="0.4">
      <c r="A14" s="986" t="str">
        <f>EquipmentSpecs!A14</f>
        <v>Paratill</v>
      </c>
      <c r="B14" s="126">
        <f>A3_Production_Look_Up!B51</f>
        <v>0</v>
      </c>
      <c r="C14" s="987">
        <f>A6_Machine_Look_Up!B14</f>
        <v>17200</v>
      </c>
      <c r="D14" s="131">
        <f>A6_Machine_Look_Up!C14</f>
        <v>19</v>
      </c>
      <c r="E14" s="975">
        <f>A6_Machine_Look_Up!D14</f>
        <v>4</v>
      </c>
      <c r="F14" s="135">
        <f>A6_Machine_Look_Up!E14</f>
        <v>308000</v>
      </c>
      <c r="G14" s="136">
        <f>A6_Machine_Look_Up!F14</f>
        <v>4</v>
      </c>
      <c r="H14" s="137">
        <f>A6_Machine_Look_Up!G14</f>
        <v>230</v>
      </c>
    </row>
    <row r="15" spans="1:8" ht="13.9" x14ac:dyDescent="0.4">
      <c r="A15" s="479" t="str">
        <f>EquipmentSpecs!A15</f>
        <v>Subsoiler, 25 ft.</v>
      </c>
      <c r="B15" s="127">
        <f>A3_Production_Look_Up!B52</f>
        <v>0</v>
      </c>
      <c r="C15" s="976">
        <f>A6_Machine_Look_Up!B15</f>
        <v>20400</v>
      </c>
      <c r="D15" s="132">
        <f>A6_Machine_Look_Up!C15</f>
        <v>25</v>
      </c>
      <c r="E15" s="977">
        <f>A6_Machine_Look_Up!D15</f>
        <v>4</v>
      </c>
      <c r="F15" s="138">
        <f>A6_Machine_Look_Up!E15</f>
        <v>308000</v>
      </c>
      <c r="G15" s="139">
        <f>A6_Machine_Look_Up!F15</f>
        <v>4</v>
      </c>
      <c r="H15" s="140">
        <f>A6_Machine_Look_Up!G15</f>
        <v>230</v>
      </c>
    </row>
    <row r="16" spans="1:8" ht="13.9" x14ac:dyDescent="0.4">
      <c r="A16" s="479" t="str">
        <f>EquipmentSpecs!A16</f>
        <v>Subsoiler, 5 shank</v>
      </c>
      <c r="B16" s="127">
        <f>A3_Production_Look_Up!B53</f>
        <v>0</v>
      </c>
      <c r="C16" s="976">
        <f>A6_Machine_Look_Up!B16</f>
        <v>14000</v>
      </c>
      <c r="D16" s="132">
        <f>A6_Machine_Look_Up!C16</f>
        <v>12</v>
      </c>
      <c r="E16" s="977">
        <f>A6_Machine_Look_Up!D16</f>
        <v>4</v>
      </c>
      <c r="F16" s="138">
        <f>A6_Machine_Look_Up!E16</f>
        <v>308000</v>
      </c>
      <c r="G16" s="139">
        <f>A6_Machine_Look_Up!F16</f>
        <v>4</v>
      </c>
      <c r="H16" s="140">
        <f>A6_Machine_Look_Up!G16</f>
        <v>230</v>
      </c>
    </row>
    <row r="17" spans="1:8" ht="13.9" x14ac:dyDescent="0.4">
      <c r="A17" s="479" t="str">
        <f>EquipmentSpecs!A17</f>
        <v>Bedder, Rip/Disk</v>
      </c>
      <c r="B17" s="127">
        <f>A3_Production_Look_Up!B54</f>
        <v>0</v>
      </c>
      <c r="C17" s="976">
        <f>A6_Machine_Look_Up!B17</f>
        <v>55700</v>
      </c>
      <c r="D17" s="132">
        <f>A6_Machine_Look_Up!C17</f>
        <v>38</v>
      </c>
      <c r="E17" s="977">
        <f>A6_Machine_Look_Up!D17</f>
        <v>4</v>
      </c>
      <c r="F17" s="138">
        <f>A6_Machine_Look_Up!E17</f>
        <v>308000</v>
      </c>
      <c r="G17" s="139">
        <f>A6_Machine_Look_Up!F17</f>
        <v>4</v>
      </c>
      <c r="H17" s="140">
        <f>A6_Machine_Look_Up!G17</f>
        <v>230</v>
      </c>
    </row>
    <row r="18" spans="1:8" ht="13.9" x14ac:dyDescent="0.4">
      <c r="A18" s="479" t="str">
        <f>EquipmentSpecs!A18</f>
        <v>Bedder, Lister</v>
      </c>
      <c r="B18" s="127">
        <f>A3_Production_Look_Up!B55</f>
        <v>0</v>
      </c>
      <c r="C18" s="976">
        <f>A6_Machine_Look_Up!B18</f>
        <v>35285</v>
      </c>
      <c r="D18" s="132">
        <f>A6_Machine_Look_Up!C18</f>
        <v>38</v>
      </c>
      <c r="E18" s="977">
        <f>A6_Machine_Look_Up!D18</f>
        <v>4</v>
      </c>
      <c r="F18" s="138">
        <f>A6_Machine_Look_Up!E18</f>
        <v>308000</v>
      </c>
      <c r="G18" s="139">
        <f>A6_Machine_Look_Up!F18</f>
        <v>4</v>
      </c>
      <c r="H18" s="140">
        <f>A6_Machine_Look_Up!G18</f>
        <v>230</v>
      </c>
    </row>
    <row r="19" spans="1:8" ht="13.9" x14ac:dyDescent="0.4">
      <c r="A19" s="479" t="str">
        <f>EquipmentSpecs!A19</f>
        <v>Disk</v>
      </c>
      <c r="B19" s="127">
        <f>A3_Production_Look_Up!B56</f>
        <v>0</v>
      </c>
      <c r="C19" s="976">
        <f>A6_Machine_Look_Up!B19</f>
        <v>75000</v>
      </c>
      <c r="D19" s="132">
        <f>A6_Machine_Look_Up!C19</f>
        <v>32</v>
      </c>
      <c r="E19" s="977">
        <f>A6_Machine_Look_Up!D19</f>
        <v>5.5</v>
      </c>
      <c r="F19" s="138">
        <f>A6_Machine_Look_Up!E19</f>
        <v>308000</v>
      </c>
      <c r="G19" s="139">
        <f>A6_Machine_Look_Up!F19</f>
        <v>4</v>
      </c>
      <c r="H19" s="140">
        <f>A6_Machine_Look_Up!G19</f>
        <v>230</v>
      </c>
    </row>
    <row r="20" spans="1:8" ht="13.9" x14ac:dyDescent="0.4">
      <c r="A20" s="479" t="str">
        <f>EquipmentSpecs!A20</f>
        <v>Bedder, Hipper</v>
      </c>
      <c r="B20" s="127">
        <f>A3_Production_Look_Up!B57</f>
        <v>2</v>
      </c>
      <c r="C20" s="976">
        <f>A6_Machine_Look_Up!B20</f>
        <v>51700</v>
      </c>
      <c r="D20" s="132">
        <f>A6_Machine_Look_Up!C20</f>
        <v>38</v>
      </c>
      <c r="E20" s="977">
        <f>A6_Machine_Look_Up!D20</f>
        <v>4.5</v>
      </c>
      <c r="F20" s="138">
        <f>A6_Machine_Look_Up!E20</f>
        <v>308000</v>
      </c>
      <c r="G20" s="139">
        <f>A6_Machine_Look_Up!F20</f>
        <v>4</v>
      </c>
      <c r="H20" s="140">
        <f>A6_Machine_Look_Up!G20</f>
        <v>230</v>
      </c>
    </row>
    <row r="21" spans="1:8" ht="13.9" x14ac:dyDescent="0.4">
      <c r="A21" s="479" t="str">
        <f>EquipmentSpecs!A21</f>
        <v>Chisel Plow</v>
      </c>
      <c r="B21" s="127">
        <f>A3_Production_Look_Up!B58</f>
        <v>0</v>
      </c>
      <c r="C21" s="976">
        <f>A6_Machine_Look_Up!B21</f>
        <v>48400</v>
      </c>
      <c r="D21" s="132">
        <f>A6_Machine_Look_Up!C21</f>
        <v>32</v>
      </c>
      <c r="E21" s="977">
        <f>A6_Machine_Look_Up!D21</f>
        <v>5</v>
      </c>
      <c r="F21" s="138">
        <f>A6_Machine_Look_Up!E21</f>
        <v>308000</v>
      </c>
      <c r="G21" s="139">
        <f>A6_Machine_Look_Up!F21</f>
        <v>4</v>
      </c>
      <c r="H21" s="140">
        <f>A6_Machine_Look_Up!G21</f>
        <v>230</v>
      </c>
    </row>
    <row r="22" spans="1:8" ht="13.9" x14ac:dyDescent="0.4">
      <c r="A22" s="479" t="str">
        <f>EquipmentSpecs!A22</f>
        <v>Harrow</v>
      </c>
      <c r="B22" s="127">
        <f>A3_Production_Look_Up!B59</f>
        <v>0</v>
      </c>
      <c r="C22" s="976">
        <f>A6_Machine_Look_Up!B22</f>
        <v>41785</v>
      </c>
      <c r="D22" s="132">
        <f>A6_Machine_Look_Up!C22</f>
        <v>40</v>
      </c>
      <c r="E22" s="977">
        <f>A6_Machine_Look_Up!D22</f>
        <v>7</v>
      </c>
      <c r="F22" s="138">
        <f>A6_Machine_Look_Up!E22</f>
        <v>248000</v>
      </c>
      <c r="G22" s="139">
        <f>A6_Machine_Look_Up!F22</f>
        <v>4</v>
      </c>
      <c r="H22" s="140">
        <f>A6_Machine_Look_Up!G22</f>
        <v>195</v>
      </c>
    </row>
    <row r="23" spans="1:8" ht="13.9" x14ac:dyDescent="0.4">
      <c r="A23" s="479" t="str">
        <f>EquipmentSpecs!A23</f>
        <v>Roller</v>
      </c>
      <c r="B23" s="127">
        <f>A3_Production_Look_Up!B60</f>
        <v>0</v>
      </c>
      <c r="C23" s="976">
        <f>A6_Machine_Look_Up!B23</f>
        <v>21800</v>
      </c>
      <c r="D23" s="132">
        <f>A6_Machine_Look_Up!C23</f>
        <v>38</v>
      </c>
      <c r="E23" s="977">
        <f>A6_Machine_Look_Up!D23</f>
        <v>6</v>
      </c>
      <c r="F23" s="138">
        <f>A6_Machine_Look_Up!E23</f>
        <v>308000</v>
      </c>
      <c r="G23" s="139">
        <f>A6_Machine_Look_Up!F23</f>
        <v>4</v>
      </c>
      <c r="H23" s="140">
        <f>A6_Machine_Look_Up!G23</f>
        <v>230</v>
      </c>
    </row>
    <row r="24" spans="1:8" ht="13.9" x14ac:dyDescent="0.4">
      <c r="A24" s="479" t="str">
        <f>EquipmentSpecs!A24</f>
        <v>Bedder-Roller</v>
      </c>
      <c r="B24" s="127">
        <f>A3_Production_Look_Up!B61</f>
        <v>0</v>
      </c>
      <c r="C24" s="976">
        <f>A6_Machine_Look_Up!B24</f>
        <v>32500</v>
      </c>
      <c r="D24" s="132">
        <f>A6_Machine_Look_Up!C24</f>
        <v>38</v>
      </c>
      <c r="E24" s="977">
        <f>A6_Machine_Look_Up!D24</f>
        <v>5</v>
      </c>
      <c r="F24" s="138">
        <f>A6_Machine_Look_Up!E24</f>
        <v>308000</v>
      </c>
      <c r="G24" s="139">
        <f>A6_Machine_Look_Up!F24</f>
        <v>4</v>
      </c>
      <c r="H24" s="140">
        <f>A6_Machine_Look_Up!G24</f>
        <v>230</v>
      </c>
    </row>
    <row r="25" spans="1:8" ht="13.9" x14ac:dyDescent="0.4">
      <c r="A25" s="479" t="str">
        <f>EquipmentSpecs!A25</f>
        <v>Ditcher</v>
      </c>
      <c r="B25" s="127">
        <f>A3_Production_Look_Up!B62</f>
        <v>0</v>
      </c>
      <c r="C25" s="129">
        <f>A6_Machine_Look_Up!B25</f>
        <v>7800</v>
      </c>
      <c r="D25" s="1941">
        <f>A6_Machine_Look_Up!C25</f>
        <v>1</v>
      </c>
      <c r="E25" s="1942">
        <f>A6_Machine_Look_Up!D25</f>
        <v>10</v>
      </c>
      <c r="F25" s="138">
        <f>A6_Machine_Look_Up!E25</f>
        <v>148000</v>
      </c>
      <c r="G25" s="139">
        <f>A6_Machine_Look_Up!F25</f>
        <v>4</v>
      </c>
      <c r="H25" s="140">
        <f>A6_Machine_Look_Up!G25</f>
        <v>175</v>
      </c>
    </row>
    <row r="26" spans="1:8" ht="13.9" x14ac:dyDescent="0.4">
      <c r="A26" s="479" t="str">
        <f>EquipmentSpecs!A26</f>
        <v>Turbo Tiller</v>
      </c>
      <c r="B26" s="127">
        <f>A3_Production_Look_Up!B63</f>
        <v>0</v>
      </c>
      <c r="C26" s="129">
        <f>A6_Machine_Look_Up!B26</f>
        <v>92900</v>
      </c>
      <c r="D26" s="132">
        <f>A6_Machine_Look_Up!C26</f>
        <v>30</v>
      </c>
      <c r="E26" s="133">
        <f>A6_Machine_Look_Up!D26</f>
        <v>7</v>
      </c>
      <c r="F26" s="138">
        <f>A6_Machine_Look_Up!E26</f>
        <v>308000</v>
      </c>
      <c r="G26" s="139">
        <f>A6_Machine_Look_Up!F26</f>
        <v>4</v>
      </c>
      <c r="H26" s="140">
        <f>A6_Machine_Look_Up!G26</f>
        <v>230</v>
      </c>
    </row>
    <row r="27" spans="1:8" ht="13.9" x14ac:dyDescent="0.4">
      <c r="A27" s="479" t="str">
        <f>EquipmentSpecs!A27</f>
        <v>Rotary Harrow (ex. Phillips)</v>
      </c>
      <c r="B27" s="127">
        <f>A3_Production_Look_Up!B64</f>
        <v>0</v>
      </c>
      <c r="C27" s="129">
        <f>A6_Machine_Look_Up!B27</f>
        <v>34900</v>
      </c>
      <c r="D27" s="132">
        <f>A6_Machine_Look_Up!C27</f>
        <v>45</v>
      </c>
      <c r="E27" s="133">
        <f>A6_Machine_Look_Up!D27</f>
        <v>7</v>
      </c>
      <c r="F27" s="138">
        <f>A6_Machine_Look_Up!E27</f>
        <v>308000</v>
      </c>
      <c r="G27" s="139">
        <f>A6_Machine_Look_Up!F27</f>
        <v>4</v>
      </c>
      <c r="H27" s="140">
        <f>A6_Machine_Look_Up!G27</f>
        <v>230</v>
      </c>
    </row>
    <row r="28" spans="1:8" ht="13.9" x14ac:dyDescent="0.4">
      <c r="A28" s="479" t="str">
        <f>EquipmentSpecs!A28</f>
        <v>Field Cultivator</v>
      </c>
      <c r="B28" s="127">
        <f>A3_Production_Look_Up!B65</f>
        <v>0</v>
      </c>
      <c r="C28" s="129">
        <f>A6_Machine_Look_Up!B28</f>
        <v>76800</v>
      </c>
      <c r="D28" s="132">
        <f>A6_Machine_Look_Up!C28</f>
        <v>42</v>
      </c>
      <c r="E28" s="133">
        <f>A6_Machine_Look_Up!D28</f>
        <v>7</v>
      </c>
      <c r="F28" s="138">
        <f>A6_Machine_Look_Up!E28</f>
        <v>308000</v>
      </c>
      <c r="G28" s="139">
        <f>A6_Machine_Look_Up!F28</f>
        <v>4</v>
      </c>
      <c r="H28" s="140">
        <f>A6_Machine_Look_Up!G28</f>
        <v>230</v>
      </c>
    </row>
    <row r="29" spans="1:8" ht="13.9" x14ac:dyDescent="0.4">
      <c r="A29" s="479" t="str">
        <f>EquipmentSpecs!A29</f>
        <v>Row Crop Cultivator, Row Middles</v>
      </c>
      <c r="B29" s="127">
        <f>A3_Production_Look_Up!B66</f>
        <v>1</v>
      </c>
      <c r="C29" s="129">
        <f>A6_Machine_Look_Up!B29</f>
        <v>29200</v>
      </c>
      <c r="D29" s="132">
        <f>A6_Machine_Look_Up!C29</f>
        <v>38</v>
      </c>
      <c r="E29" s="133">
        <f>A6_Machine_Look_Up!D29</f>
        <v>7</v>
      </c>
      <c r="F29" s="138">
        <f>A6_Machine_Look_Up!E29</f>
        <v>308000</v>
      </c>
      <c r="G29" s="139">
        <f>A6_Machine_Look_Up!F29</f>
        <v>4</v>
      </c>
      <c r="H29" s="140">
        <f>A6_Machine_Look_Up!G29</f>
        <v>230</v>
      </c>
    </row>
    <row r="30" spans="1:8" ht="13.9" x14ac:dyDescent="0.4">
      <c r="A30" s="479" t="str">
        <f>EquipmentSpecs!A30</f>
        <v>Sprayer, Tractor Mounted (ft)</v>
      </c>
      <c r="B30" s="127">
        <f>A3_Production_Look_Up!B67</f>
        <v>0</v>
      </c>
      <c r="C30" s="129">
        <f>A6_Machine_Look_Up!B30</f>
        <v>13000</v>
      </c>
      <c r="D30" s="132">
        <f>A6_Machine_Look_Up!C30</f>
        <v>60</v>
      </c>
      <c r="E30" s="133">
        <f>A6_Machine_Look_Up!D30</f>
        <v>12</v>
      </c>
      <c r="F30" s="138">
        <f>A6_Machine_Look_Up!E30</f>
        <v>148000</v>
      </c>
      <c r="G30" s="139">
        <f>A6_Machine_Look_Up!F30</f>
        <v>4</v>
      </c>
      <c r="H30" s="140">
        <f>A6_Machine_Look_Up!G30</f>
        <v>175</v>
      </c>
    </row>
    <row r="31" spans="1:8" ht="13.9" x14ac:dyDescent="0.4">
      <c r="A31" s="479" t="str">
        <f>EquipmentSpecs!A31</f>
        <v>Sprayer, Tractor Mounted (row)</v>
      </c>
      <c r="B31" s="127">
        <f>A3_Production_Look_Up!B68</f>
        <v>0</v>
      </c>
      <c r="C31" s="129">
        <f>A6_Machine_Look_Up!B31</f>
        <v>17000</v>
      </c>
      <c r="D31" s="132">
        <f>A6_Machine_Look_Up!C31</f>
        <v>38</v>
      </c>
      <c r="E31" s="133">
        <f>A6_Machine_Look_Up!D31</f>
        <v>12</v>
      </c>
      <c r="F31" s="138">
        <f>A6_Machine_Look_Up!E31</f>
        <v>148000</v>
      </c>
      <c r="G31" s="139">
        <f>A6_Machine_Look_Up!F31</f>
        <v>4</v>
      </c>
      <c r="H31" s="140">
        <f>A6_Machine_Look_Up!G31</f>
        <v>175</v>
      </c>
    </row>
    <row r="32" spans="1:8" ht="13.9" x14ac:dyDescent="0.4">
      <c r="A32" s="479" t="str">
        <f>EquipmentSpecs!A32</f>
        <v>Land Plane</v>
      </c>
      <c r="B32" s="127">
        <f>A3_Production_Look_Up!B69</f>
        <v>0</v>
      </c>
      <c r="C32" s="129">
        <f>A6_Machine_Look_Up!B32</f>
        <v>8333</v>
      </c>
      <c r="D32" s="132">
        <f>A6_Machine_Look_Up!C32</f>
        <v>17</v>
      </c>
      <c r="E32" s="133">
        <f>A6_Machine_Look_Up!D32</f>
        <v>8.5</v>
      </c>
      <c r="F32" s="138">
        <f>A6_Machine_Look_Up!E32</f>
        <v>248000</v>
      </c>
      <c r="G32" s="139">
        <f>A6_Machine_Look_Up!F32</f>
        <v>4</v>
      </c>
      <c r="H32" s="140">
        <f>A6_Machine_Look_Up!G32</f>
        <v>195</v>
      </c>
    </row>
    <row r="33" spans="1:8" ht="13.9" x14ac:dyDescent="0.4">
      <c r="A33" s="479" t="str">
        <f>EquipmentSpecs!A33</f>
        <v>Fertilizer, Broadcast Spreader</v>
      </c>
      <c r="B33" s="127">
        <f>A3_Production_Look_Up!B70</f>
        <v>0</v>
      </c>
      <c r="C33" s="129">
        <f>A6_Machine_Look_Up!B33</f>
        <v>13733</v>
      </c>
      <c r="D33" s="132">
        <f>A6_Machine_Look_Up!C33</f>
        <v>30</v>
      </c>
      <c r="E33" s="133">
        <f>A6_Machine_Look_Up!D33</f>
        <v>10</v>
      </c>
      <c r="F33" s="138">
        <f>A6_Machine_Look_Up!E33</f>
        <v>248000</v>
      </c>
      <c r="G33" s="139">
        <f>A6_Machine_Look_Up!F33</f>
        <v>4</v>
      </c>
      <c r="H33" s="140">
        <f>A6_Machine_Look_Up!G33</f>
        <v>195</v>
      </c>
    </row>
    <row r="34" spans="1:8" ht="13.9" x14ac:dyDescent="0.4">
      <c r="A34" s="479" t="str">
        <f>EquipmentSpecs!A34</f>
        <v>Do All, Seedbed Finisher</v>
      </c>
      <c r="B34" s="127">
        <f>A3_Production_Look_Up!B71</f>
        <v>1</v>
      </c>
      <c r="C34" s="129">
        <f>A6_Machine_Look_Up!B34</f>
        <v>25700</v>
      </c>
      <c r="D34" s="132">
        <f>A6_Machine_Look_Up!C34</f>
        <v>38</v>
      </c>
      <c r="E34" s="133">
        <f>A6_Machine_Look_Up!D34</f>
        <v>7</v>
      </c>
      <c r="F34" s="138">
        <f>A6_Machine_Look_Up!E34</f>
        <v>308000</v>
      </c>
      <c r="G34" s="139">
        <f>A6_Machine_Look_Up!F34</f>
        <v>4</v>
      </c>
      <c r="H34" s="140">
        <f>A6_Machine_Look_Up!G34</f>
        <v>230</v>
      </c>
    </row>
    <row r="35" spans="1:8" ht="13.9" x14ac:dyDescent="0.4">
      <c r="A35" s="479" t="str">
        <f>EquipmentSpecs!A35</f>
        <v>Planter</v>
      </c>
      <c r="B35" s="127">
        <f>A3_Production_Look_Up!B72</f>
        <v>1</v>
      </c>
      <c r="C35" s="129">
        <f>A6_Machine_Look_Up!B35</f>
        <v>90000</v>
      </c>
      <c r="D35" s="132">
        <f>A6_Machine_Look_Up!C35</f>
        <v>36</v>
      </c>
      <c r="E35" s="133">
        <f>A6_Machine_Look_Up!D35</f>
        <v>6</v>
      </c>
      <c r="F35" s="138">
        <f>A6_Machine_Look_Up!E35</f>
        <v>248000</v>
      </c>
      <c r="G35" s="139">
        <f>A6_Machine_Look_Up!F35</f>
        <v>4</v>
      </c>
      <c r="H35" s="140">
        <f>A6_Machine_Look_Up!G35</f>
        <v>195</v>
      </c>
    </row>
    <row r="36" spans="1:8" ht="13.9" x14ac:dyDescent="0.4">
      <c r="A36" s="479" t="str">
        <f>EquipmentSpecs!A36</f>
        <v>Planter Twin Row</v>
      </c>
      <c r="B36" s="127">
        <f>A3_Production_Look_Up!B73</f>
        <v>0</v>
      </c>
      <c r="C36" s="129">
        <f>A6_Machine_Look_Up!B36</f>
        <v>150000</v>
      </c>
      <c r="D36" s="132">
        <f>A6_Machine_Look_Up!C36</f>
        <v>36</v>
      </c>
      <c r="E36" s="133">
        <f>A6_Machine_Look_Up!D36</f>
        <v>6</v>
      </c>
      <c r="F36" s="138">
        <f>A6_Machine_Look_Up!E36</f>
        <v>308000</v>
      </c>
      <c r="G36" s="139">
        <f>A6_Machine_Look_Up!F36</f>
        <v>4</v>
      </c>
      <c r="H36" s="140">
        <f>A6_Machine_Look_Up!G36</f>
        <v>230</v>
      </c>
    </row>
    <row r="37" spans="1:8" ht="13.9" x14ac:dyDescent="0.4">
      <c r="A37" s="479" t="str">
        <f>EquipmentSpecs!A37</f>
        <v>Plant Grain Drill</v>
      </c>
      <c r="B37" s="127">
        <f>A3_Production_Look_Up!B74</f>
        <v>0</v>
      </c>
      <c r="C37" s="129">
        <f>A6_Machine_Look_Up!B37</f>
        <v>106000</v>
      </c>
      <c r="D37" s="132">
        <f>A6_Machine_Look_Up!C37</f>
        <v>30</v>
      </c>
      <c r="E37" s="133">
        <f>A6_Machine_Look_Up!D37</f>
        <v>5.5</v>
      </c>
      <c r="F37" s="138">
        <f>A6_Machine_Look_Up!E37</f>
        <v>308000</v>
      </c>
      <c r="G37" s="139">
        <f>A6_Machine_Look_Up!F37</f>
        <v>4</v>
      </c>
      <c r="H37" s="140">
        <f>A6_Machine_Look_Up!G37</f>
        <v>230</v>
      </c>
    </row>
    <row r="38" spans="1:8" ht="13.9" x14ac:dyDescent="0.4">
      <c r="A38" s="479" t="str">
        <f>EquipmentSpecs!A38</f>
        <v>Plant No-Till Air Drill</v>
      </c>
      <c r="B38" s="127">
        <f>A3_Production_Look_Up!B75</f>
        <v>0</v>
      </c>
      <c r="C38" s="129">
        <f>A6_Machine_Look_Up!B38</f>
        <v>208000</v>
      </c>
      <c r="D38" s="132">
        <f>A6_Machine_Look_Up!C38</f>
        <v>42</v>
      </c>
      <c r="E38" s="133">
        <f>A6_Machine_Look_Up!D38</f>
        <v>7</v>
      </c>
      <c r="F38" s="138">
        <f>A6_Machine_Look_Up!E38</f>
        <v>308000</v>
      </c>
      <c r="G38" s="139">
        <f>A6_Machine_Look_Up!F38</f>
        <v>4</v>
      </c>
      <c r="H38" s="140">
        <f>A6_Machine_Look_Up!G38</f>
        <v>230</v>
      </c>
    </row>
    <row r="39" spans="1:8" ht="13.9" x14ac:dyDescent="0.4">
      <c r="A39" s="479" t="str">
        <f>EquipmentSpecs!A39</f>
        <v>Liquid Fertilizer Applicator</v>
      </c>
      <c r="B39" s="127">
        <f>A3_Production_Look_Up!B76</f>
        <v>0</v>
      </c>
      <c r="C39" s="129">
        <f>A6_Machine_Look_Up!B39</f>
        <v>19500</v>
      </c>
      <c r="D39" s="132">
        <f>A6_Machine_Look_Up!C39</f>
        <v>38</v>
      </c>
      <c r="E39" s="133">
        <f>A6_Machine_Look_Up!D39</f>
        <v>10</v>
      </c>
      <c r="F39" s="138">
        <f>A6_Machine_Look_Up!E39</f>
        <v>308000</v>
      </c>
      <c r="G39" s="139">
        <f>A6_Machine_Look_Up!F39</f>
        <v>4</v>
      </c>
      <c r="H39" s="140">
        <f>A6_Machine_Look_Up!G39</f>
        <v>230</v>
      </c>
    </row>
    <row r="40" spans="1:8" ht="13.9" x14ac:dyDescent="0.4">
      <c r="A40" s="479" t="str">
        <f>EquipmentSpecs!A40</f>
        <v>Fertilizer, Knife Rig 12 Row</v>
      </c>
      <c r="B40" s="127">
        <f>A3_Production_Look_Up!B77</f>
        <v>0</v>
      </c>
      <c r="C40" s="129">
        <f>A6_Machine_Look_Up!B40</f>
        <v>46000</v>
      </c>
      <c r="D40" s="132">
        <f>A6_Machine_Look_Up!C40</f>
        <v>38</v>
      </c>
      <c r="E40" s="133">
        <f>A6_Machine_Look_Up!D40</f>
        <v>7</v>
      </c>
      <c r="F40" s="138">
        <f>A6_Machine_Look_Up!E40</f>
        <v>308000</v>
      </c>
      <c r="G40" s="139">
        <f>A6_Machine_Look_Up!F40</f>
        <v>4</v>
      </c>
      <c r="H40" s="140">
        <f>A6_Machine_Look_Up!G40</f>
        <v>230</v>
      </c>
    </row>
    <row r="41" spans="1:8" ht="13.9" x14ac:dyDescent="0.4">
      <c r="A41" s="479" t="str">
        <f>EquipmentSpecs!A41</f>
        <v>Polypipe; Roll Out, Punch, Take Up</v>
      </c>
      <c r="B41" s="127">
        <f>A3_Production_Look_Up!B78</f>
        <v>1</v>
      </c>
      <c r="C41" s="129">
        <f>A6_Machine_Look_Up!B41</f>
        <v>8100</v>
      </c>
      <c r="D41" s="1941">
        <f>A6_Machine_Look_Up!C41</f>
        <v>1</v>
      </c>
      <c r="E41" s="1942">
        <f>A6_Machine_Look_Up!D41</f>
        <v>2.5</v>
      </c>
      <c r="F41" s="138">
        <f>A6_Machine_Look_Up!E41</f>
        <v>148000</v>
      </c>
      <c r="G41" s="139">
        <f>A6_Machine_Look_Up!F41</f>
        <v>4</v>
      </c>
      <c r="H41" s="140">
        <f>A6_Machine_Look_Up!G41</f>
        <v>175</v>
      </c>
    </row>
    <row r="42" spans="1:8" ht="13.9" x14ac:dyDescent="0.4">
      <c r="A42" s="479" t="str">
        <f>EquipmentSpecs!A42</f>
        <v>Hooded Sprayer</v>
      </c>
      <c r="B42" s="127">
        <f>A3_Production_Look_Up!B79</f>
        <v>0</v>
      </c>
      <c r="C42" s="129">
        <f>A6_Machine_Look_Up!B42</f>
        <v>25100</v>
      </c>
      <c r="D42" s="132">
        <f>A6_Machine_Look_Up!C42</f>
        <v>38</v>
      </c>
      <c r="E42" s="133">
        <f>A6_Machine_Look_Up!D42</f>
        <v>7</v>
      </c>
      <c r="F42" s="138">
        <f>A6_Machine_Look_Up!E42</f>
        <v>148000</v>
      </c>
      <c r="G42" s="139">
        <f>A6_Machine_Look_Up!F42</f>
        <v>4</v>
      </c>
      <c r="H42" s="140">
        <f>A6_Machine_Look_Up!G42</f>
        <v>175</v>
      </c>
    </row>
    <row r="43" spans="1:8" ht="13.9" x14ac:dyDescent="0.4">
      <c r="A43" s="479" t="str">
        <f>EquipmentSpecs!A43</f>
        <v>Levee Pull</v>
      </c>
      <c r="B43" s="127">
        <f>A3_Production_Look_Up!B80</f>
        <v>0</v>
      </c>
      <c r="C43" s="129">
        <f>A6_Machine_Look_Up!B43</f>
        <v>8760</v>
      </c>
      <c r="D43" s="1941">
        <f>A6_Machine_Look_Up!C43</f>
        <v>1</v>
      </c>
      <c r="E43" s="1942">
        <f>A6_Machine_Look_Up!D43</f>
        <v>2.5</v>
      </c>
      <c r="F43" s="138">
        <f>A6_Machine_Look_Up!E43</f>
        <v>148000</v>
      </c>
      <c r="G43" s="139">
        <f>A6_Machine_Look_Up!F43</f>
        <v>4</v>
      </c>
      <c r="H43" s="140">
        <f>A6_Machine_Look_Up!G43</f>
        <v>175</v>
      </c>
    </row>
    <row r="44" spans="1:8" ht="13.9" x14ac:dyDescent="0.4">
      <c r="A44" s="479" t="str">
        <f>EquipmentSpecs!A44</f>
        <v>Levee Pull, Planter/Incorporate</v>
      </c>
      <c r="B44" s="127">
        <f>A3_Production_Look_Up!B81</f>
        <v>0</v>
      </c>
      <c r="C44" s="129">
        <f>A6_Machine_Look_Up!B44</f>
        <v>12000</v>
      </c>
      <c r="D44" s="1941">
        <f>A6_Machine_Look_Up!C44</f>
        <v>1</v>
      </c>
      <c r="E44" s="1942">
        <f>A6_Machine_Look_Up!D44</f>
        <v>2.5</v>
      </c>
      <c r="F44" s="138">
        <f>A6_Machine_Look_Up!E44</f>
        <v>148000</v>
      </c>
      <c r="G44" s="139">
        <f>A6_Machine_Look_Up!F44</f>
        <v>4</v>
      </c>
      <c r="H44" s="140">
        <f>A6_Machine_Look_Up!G44</f>
        <v>175</v>
      </c>
    </row>
    <row r="45" spans="1:8" ht="13.9" x14ac:dyDescent="0.4">
      <c r="A45" s="479" t="str">
        <f>EquipmentSpecs!A45</f>
        <v>Levee Roller-Packer-Shaper</v>
      </c>
      <c r="B45" s="127">
        <f>A3_Production_Look_Up!B82</f>
        <v>0</v>
      </c>
      <c r="C45" s="129">
        <f>A6_Machine_Look_Up!B45</f>
        <v>6190</v>
      </c>
      <c r="D45" s="1941">
        <f>A6_Machine_Look_Up!C45</f>
        <v>1</v>
      </c>
      <c r="E45" s="1942">
        <f>A6_Machine_Look_Up!D45</f>
        <v>2.5</v>
      </c>
      <c r="F45" s="138">
        <f>A6_Machine_Look_Up!E45</f>
        <v>148000</v>
      </c>
      <c r="G45" s="139">
        <f>A6_Machine_Look_Up!F45</f>
        <v>4</v>
      </c>
      <c r="H45" s="140">
        <f>A6_Machine_Look_Up!G45</f>
        <v>175</v>
      </c>
    </row>
    <row r="46" spans="1:8" ht="13.9" x14ac:dyDescent="0.4">
      <c r="A46" s="479" t="str">
        <f>EquipmentSpecs!A46</f>
        <v>Install Gates &amp; Remove</v>
      </c>
      <c r="B46" s="127">
        <f>A3_Production_Look_Up!B83</f>
        <v>0</v>
      </c>
      <c r="C46" s="129">
        <f>A6_Machine_Look_Up!B46</f>
        <v>3860</v>
      </c>
      <c r="D46" s="1941">
        <f>A6_Machine_Look_Up!C46</f>
        <v>1</v>
      </c>
      <c r="E46" s="1942">
        <f>A6_Machine_Look_Up!D46</f>
        <v>2.5</v>
      </c>
      <c r="F46" s="138">
        <f>A6_Machine_Look_Up!E46</f>
        <v>148000</v>
      </c>
      <c r="G46" s="139">
        <f>A6_Machine_Look_Up!F46</f>
        <v>4</v>
      </c>
      <c r="H46" s="140">
        <f>A6_Machine_Look_Up!G46</f>
        <v>175</v>
      </c>
    </row>
    <row r="47" spans="1:8" ht="13.9" x14ac:dyDescent="0.4">
      <c r="A47" s="479" t="str">
        <f>EquipmentSpecs!A47</f>
        <v>Take Down Levees</v>
      </c>
      <c r="B47" s="1943">
        <f>SUM(B43:B44)</f>
        <v>0</v>
      </c>
      <c r="C47" s="129">
        <f>A6_Machine_Look_Up!B47</f>
        <v>8270</v>
      </c>
      <c r="D47" s="1944">
        <f>A6_Machine_Look_Up!C47</f>
        <v>1</v>
      </c>
      <c r="E47" s="1945">
        <f>A6_Machine_Look_Up!D47</f>
        <v>2.5</v>
      </c>
      <c r="F47" s="141">
        <f>A6_Machine_Look_Up!E47</f>
        <v>148000</v>
      </c>
      <c r="G47" s="139">
        <f>A6_Machine_Look_Up!F47</f>
        <v>4</v>
      </c>
      <c r="H47" s="142">
        <f>A6_Machine_Look_Up!G47</f>
        <v>175</v>
      </c>
    </row>
    <row r="48" spans="1:8" ht="13.9" x14ac:dyDescent="0.4">
      <c r="A48" s="479" t="str">
        <f>EquipmentSpecs!A48</f>
        <v>Peanut Digger/Inverter</v>
      </c>
      <c r="B48" s="127">
        <f>A3_Production_Look_Up!B85</f>
        <v>0</v>
      </c>
      <c r="C48" s="149">
        <f>A6_Machine_Look_Up!B48</f>
        <v>48000</v>
      </c>
      <c r="D48" s="132">
        <f>A6_Machine_Look_Up!C48</f>
        <v>19</v>
      </c>
      <c r="E48" s="133">
        <f>A6_Machine_Look_Up!D48</f>
        <v>3</v>
      </c>
      <c r="F48" s="138">
        <f>A6_Machine_Look_Up!E48</f>
        <v>248000</v>
      </c>
      <c r="G48" s="139">
        <f>A6_Machine_Look_Up!F48</f>
        <v>4</v>
      </c>
      <c r="H48" s="140">
        <f>A6_Machine_Look_Up!G48</f>
        <v>195</v>
      </c>
    </row>
    <row r="49" spans="1:11" ht="13.9" x14ac:dyDescent="0.4">
      <c r="A49" s="479" t="str">
        <f>EquipmentSpecs!A49</f>
        <v>Peanut Conditioner</v>
      </c>
      <c r="B49" s="127">
        <f>A3_Production_Look_Up!B86</f>
        <v>0</v>
      </c>
      <c r="C49" s="149">
        <f>A6_Machine_Look_Up!B49</f>
        <v>18900</v>
      </c>
      <c r="D49" s="132">
        <f>A6_Machine_Look_Up!C49</f>
        <v>19</v>
      </c>
      <c r="E49" s="133">
        <f>A6_Machine_Look_Up!D49</f>
        <v>3</v>
      </c>
      <c r="F49" s="138">
        <f>A6_Machine_Look_Up!E49</f>
        <v>248000</v>
      </c>
      <c r="G49" s="139">
        <f>A6_Machine_Look_Up!F49</f>
        <v>4</v>
      </c>
      <c r="H49" s="140">
        <f>A6_Machine_Look_Up!G49</f>
        <v>195</v>
      </c>
      <c r="I49" s="367"/>
      <c r="J49" s="367"/>
      <c r="K49" s="365"/>
    </row>
    <row r="50" spans="1:11" ht="13.9" x14ac:dyDescent="0.4">
      <c r="A50" s="479" t="str">
        <f>EquipmentSpecs!A50</f>
        <v>Peanut Conditiner &amp; Lifter</v>
      </c>
      <c r="B50" s="127">
        <f>A3_Production_Look_Up!B87</f>
        <v>0</v>
      </c>
      <c r="C50" s="149">
        <f>A6_Machine_Look_Up!B50</f>
        <v>15600</v>
      </c>
      <c r="D50" s="132">
        <f>A6_Machine_Look_Up!C50</f>
        <v>19</v>
      </c>
      <c r="E50" s="133">
        <f>A6_Machine_Look_Up!D50</f>
        <v>3</v>
      </c>
      <c r="F50" s="138">
        <f>A6_Machine_Look_Up!E50</f>
        <v>248000</v>
      </c>
      <c r="G50" s="139">
        <f>A6_Machine_Look_Up!F50</f>
        <v>4</v>
      </c>
      <c r="H50" s="140">
        <f>A6_Machine_Look_Up!G50</f>
        <v>195</v>
      </c>
      <c r="I50" s="367"/>
      <c r="J50" s="367"/>
      <c r="K50" s="365"/>
    </row>
    <row r="51" spans="1:11" ht="13.9" x14ac:dyDescent="0.4">
      <c r="A51" s="479" t="str">
        <f>EquipmentSpecs!A51</f>
        <v>Mower, Stalk Shredder</v>
      </c>
      <c r="B51" s="539">
        <f>A3_Production_Look_Up!B88</f>
        <v>0</v>
      </c>
      <c r="C51" s="129">
        <f>A6_Machine_Look_Up!B51</f>
        <v>33100</v>
      </c>
      <c r="D51" s="538">
        <f>A6_Machine_Look_Up!C51</f>
        <v>20</v>
      </c>
      <c r="E51" s="723">
        <f>A6_Machine_Look_Up!D51</f>
        <v>7</v>
      </c>
      <c r="F51" s="141">
        <f>A6_Machine_Look_Up!E51</f>
        <v>248000</v>
      </c>
      <c r="G51" s="139">
        <f>A6_Machine_Look_Up!F51</f>
        <v>4</v>
      </c>
      <c r="H51" s="142">
        <f>A6_Machine_Look_Up!G51</f>
        <v>195</v>
      </c>
      <c r="I51" s="364"/>
      <c r="J51" s="364"/>
      <c r="K51" s="365"/>
    </row>
    <row r="52" spans="1:11" ht="13.9" x14ac:dyDescent="0.4">
      <c r="A52" s="479" t="str">
        <f>EquipmentSpecs!A52</f>
        <v>Stubble Roller</v>
      </c>
      <c r="B52" s="127">
        <f>A3_Production_Look_Up!B89</f>
        <v>0</v>
      </c>
      <c r="C52" s="128">
        <f>A6_Machine_Look_Up!B52</f>
        <v>27300</v>
      </c>
      <c r="D52" s="132">
        <f>A6_Machine_Look_Up!C52</f>
        <v>32</v>
      </c>
      <c r="E52" s="133">
        <f>A6_Machine_Look_Up!D52</f>
        <v>6</v>
      </c>
      <c r="F52" s="138">
        <f>A6_Machine_Look_Up!E52</f>
        <v>308000</v>
      </c>
      <c r="G52" s="153">
        <f>A6_Machine_Look_Up!F52</f>
        <v>4</v>
      </c>
      <c r="H52" s="140">
        <f>A6_Machine_Look_Up!G52</f>
        <v>230</v>
      </c>
      <c r="I52" s="364"/>
      <c r="J52" s="364"/>
      <c r="K52" s="365"/>
    </row>
    <row r="53" spans="1:11" ht="13.9" x14ac:dyDescent="0.4">
      <c r="A53" s="479" t="str">
        <f>EquipmentSpecs!A53</f>
        <v>Other Equipment</v>
      </c>
      <c r="B53" s="127">
        <f>A3_Production_Look_Up!B90</f>
        <v>0</v>
      </c>
      <c r="C53" s="129">
        <f>A6_Machine_Look_Up!B53</f>
        <v>0</v>
      </c>
      <c r="D53" s="132">
        <f>A6_Machine_Look_Up!C53</f>
        <v>1</v>
      </c>
      <c r="E53" s="133">
        <f>A6_Machine_Look_Up!D53</f>
        <v>1</v>
      </c>
      <c r="F53" s="138">
        <f>A6_Machine_Look_Up!E53</f>
        <v>308000</v>
      </c>
      <c r="G53" s="139">
        <f>A6_Machine_Look_Up!F53</f>
        <v>4</v>
      </c>
      <c r="H53" s="140">
        <f>A6_Machine_Look_Up!G53</f>
        <v>230</v>
      </c>
      <c r="I53" s="364"/>
      <c r="J53" s="364"/>
      <c r="K53" s="365"/>
    </row>
    <row r="54" spans="1:11" ht="14.25" thickBot="1" x14ac:dyDescent="0.45">
      <c r="A54" s="480" t="str">
        <f>EquipmentSpecs!A54</f>
        <v>Other Equipment</v>
      </c>
      <c r="B54" s="130">
        <f>A3_Production_Look_Up!B91</f>
        <v>0</v>
      </c>
      <c r="C54" s="733">
        <f>A6_Machine_Look_Up!B54</f>
        <v>0</v>
      </c>
      <c r="D54" s="134">
        <f>A6_Machine_Look_Up!C54</f>
        <v>1</v>
      </c>
      <c r="E54" s="734">
        <f>A6_Machine_Look_Up!D54</f>
        <v>1</v>
      </c>
      <c r="F54" s="143">
        <f>A6_Machine_Look_Up!E54</f>
        <v>308000</v>
      </c>
      <c r="G54" s="144">
        <f>A6_Machine_Look_Up!F54</f>
        <v>4</v>
      </c>
      <c r="H54" s="145">
        <f>A6_Machine_Look_Up!G54</f>
        <v>230</v>
      </c>
      <c r="I54" s="364"/>
      <c r="J54" s="364"/>
      <c r="K54" s="365"/>
    </row>
    <row r="55" spans="1:11" ht="13.9" x14ac:dyDescent="0.4">
      <c r="A55" s="352"/>
      <c r="B55" s="353"/>
      <c r="C55" s="354"/>
      <c r="D55" s="354"/>
      <c r="E55" s="354"/>
      <c r="F55" s="354"/>
      <c r="G55" s="354"/>
      <c r="H55" s="354"/>
      <c r="I55" s="364"/>
      <c r="J55" s="364"/>
      <c r="K55" s="364"/>
    </row>
    <row r="56" spans="1:11" ht="13.9" x14ac:dyDescent="0.4">
      <c r="A56" s="365"/>
      <c r="B56" s="371"/>
      <c r="C56" s="365"/>
      <c r="D56" s="365"/>
      <c r="E56" s="365"/>
      <c r="F56" s="365"/>
      <c r="G56" s="365"/>
      <c r="H56" s="365"/>
      <c r="I56" s="364"/>
      <c r="J56" s="364"/>
      <c r="K56" s="364"/>
    </row>
    <row r="57" spans="1:11" ht="14.25" thickBot="1" x14ac:dyDescent="0.45">
      <c r="A57" s="372" t="s">
        <v>74</v>
      </c>
      <c r="B57" s="371"/>
      <c r="C57" s="365"/>
      <c r="D57" s="364"/>
      <c r="E57" s="364"/>
      <c r="F57" s="370"/>
      <c r="G57" s="365"/>
      <c r="H57" s="365"/>
      <c r="I57" s="364"/>
      <c r="J57" s="364"/>
      <c r="K57" s="364"/>
    </row>
    <row r="58" spans="1:11" ht="13.9" x14ac:dyDescent="0.4">
      <c r="A58" s="986" t="str">
        <f>EquipmentSpecs!A58</f>
        <v>Self-Propelled Sprayer</v>
      </c>
      <c r="B58" s="126">
        <f>A3_Production_Look_Up!B95</f>
        <v>0</v>
      </c>
      <c r="C58" s="147">
        <f>A6_Machine_Look_Up!B58</f>
        <v>348000</v>
      </c>
      <c r="D58" s="131">
        <f>A6_Machine_Look_Up!C58</f>
        <v>90</v>
      </c>
      <c r="E58" s="1965">
        <f>A6_Machine_Look_Up!D58</f>
        <v>12</v>
      </c>
      <c r="F58" s="1774">
        <f>A6_Machine_Look_Up!E58</f>
        <v>0</v>
      </c>
      <c r="G58" s="1968">
        <f>A6_Machine_Look_Up!F58</f>
        <v>0</v>
      </c>
      <c r="H58" s="137">
        <f>A6_Machine_Look_Up!G58</f>
        <v>250</v>
      </c>
      <c r="I58" s="364"/>
      <c r="J58" s="364"/>
      <c r="K58" s="364"/>
    </row>
    <row r="59" spans="1:11" ht="13.9" x14ac:dyDescent="0.4">
      <c r="A59" s="479" t="str">
        <f>EquipmentSpecs!A59</f>
        <v>ATV with  Spot, Levee Sprayer</v>
      </c>
      <c r="B59" s="127">
        <f>A3_Production_Look_Up!B96</f>
        <v>0</v>
      </c>
      <c r="C59" s="129">
        <f>A6_Machine_Look_Up!B59</f>
        <v>16900</v>
      </c>
      <c r="D59" s="1941">
        <f>A6_Machine_Look_Up!C59</f>
        <v>1</v>
      </c>
      <c r="E59" s="1966">
        <f>A6_Machine_Look_Up!D59</f>
        <v>2.5</v>
      </c>
      <c r="F59" s="1765">
        <f>A6_Machine_Look_Up!E59</f>
        <v>0</v>
      </c>
      <c r="G59" s="1897">
        <f>A6_Machine_Look_Up!F59</f>
        <v>0</v>
      </c>
      <c r="H59" s="1946">
        <f>A6_Machine_Look_Up!G59</f>
        <v>50</v>
      </c>
      <c r="I59" s="364"/>
      <c r="J59" s="364"/>
      <c r="K59" s="364"/>
    </row>
    <row r="60" spans="1:11" ht="14.25" thickBot="1" x14ac:dyDescent="0.45">
      <c r="A60" s="480" t="str">
        <f>EquipmentSpecs!A60</f>
        <v>Dry Box Spreader</v>
      </c>
      <c r="B60" s="540">
        <f>A3_Production_Look_Up!B97</f>
        <v>0</v>
      </c>
      <c r="C60" s="151">
        <f>A6_Machine_Look_Up!B60</f>
        <v>464900</v>
      </c>
      <c r="D60" s="741">
        <f>A6_Machine_Look_Up!C60</f>
        <v>80</v>
      </c>
      <c r="E60" s="1967">
        <f>A6_Machine_Look_Up!D60</f>
        <v>12</v>
      </c>
      <c r="F60" s="1776">
        <f>A6_Machine_Look_Up!E60</f>
        <v>0</v>
      </c>
      <c r="G60" s="1969">
        <f>A6_Machine_Look_Up!F60</f>
        <v>0</v>
      </c>
      <c r="H60" s="155">
        <f>A6_Machine_Look_Up!G60</f>
        <v>250</v>
      </c>
      <c r="I60" s="364"/>
      <c r="J60" s="364"/>
      <c r="K60" s="364"/>
    </row>
    <row r="61" spans="1:11" ht="13.9" x14ac:dyDescent="0.4">
      <c r="A61" s="352"/>
      <c r="B61" s="353"/>
      <c r="C61" s="354"/>
      <c r="D61" s="354"/>
      <c r="E61" s="354"/>
      <c r="F61" s="354"/>
      <c r="G61" s="354"/>
      <c r="H61" s="354"/>
      <c r="I61" s="364"/>
      <c r="J61" s="364"/>
      <c r="K61" s="364"/>
    </row>
    <row r="62" spans="1:11" ht="13.9" x14ac:dyDescent="0.4">
      <c r="A62" s="365"/>
      <c r="B62" s="371"/>
      <c r="C62" s="365"/>
      <c r="D62" s="365"/>
      <c r="E62" s="365"/>
      <c r="F62" s="365"/>
      <c r="G62" s="365"/>
      <c r="H62" s="365"/>
      <c r="I62" s="364"/>
      <c r="J62" s="364"/>
      <c r="K62" s="364"/>
    </row>
    <row r="63" spans="1:11" ht="14.25" thickBot="1" x14ac:dyDescent="0.45">
      <c r="A63" s="372" t="s">
        <v>79</v>
      </c>
      <c r="B63" s="371"/>
      <c r="C63" s="365"/>
      <c r="D63" s="364"/>
      <c r="E63" s="364"/>
      <c r="F63" s="365"/>
      <c r="G63" s="365"/>
      <c r="H63" s="365"/>
      <c r="I63" s="364"/>
      <c r="J63" s="364"/>
      <c r="K63" s="364"/>
    </row>
    <row r="64" spans="1:11" ht="13.9" x14ac:dyDescent="0.4">
      <c r="A64" s="986" t="str">
        <f>EquipmentSpecs!A64</f>
        <v>Cotton Picker</v>
      </c>
      <c r="B64" s="146">
        <f>A3_Production_Look_Up!B101</f>
        <v>0</v>
      </c>
      <c r="C64" s="147">
        <f>A6_Machine_Look_Up!B64</f>
        <v>478000</v>
      </c>
      <c r="D64" s="131">
        <f>A6_Machine_Look_Up!C64</f>
        <v>19</v>
      </c>
      <c r="E64" s="152">
        <f>A6_Machine_Look_Up!D64</f>
        <v>3.5</v>
      </c>
      <c r="F64" s="1912">
        <f>A6_Machine_Look_Up!E64</f>
        <v>0</v>
      </c>
      <c r="G64" s="1937">
        <f>A6_Machine_Look_Up!F64</f>
        <v>0</v>
      </c>
      <c r="H64" s="137">
        <f>A6_Machine_Look_Up!G64</f>
        <v>355</v>
      </c>
      <c r="I64" s="608" t="s">
        <v>566</v>
      </c>
      <c r="J64" s="609"/>
      <c r="K64" s="609"/>
    </row>
    <row r="65" spans="1:11" ht="13.9" x14ac:dyDescent="0.4">
      <c r="A65" s="479" t="str">
        <f>EquipmentSpecs!A65</f>
        <v>Boll Buggy with Tractor</v>
      </c>
      <c r="B65" s="148">
        <f>A3_Production_Look_Up!B102</f>
        <v>0</v>
      </c>
      <c r="C65" s="149">
        <f>A6_Machine_Look_Up!B65</f>
        <v>30500</v>
      </c>
      <c r="D65" s="1941">
        <f>A6_Machine_Look_Up!C65</f>
        <v>19</v>
      </c>
      <c r="E65" s="1947">
        <f>A6_Machine_Look_Up!D65</f>
        <v>3.5</v>
      </c>
      <c r="F65" s="128">
        <f>A6_Machine_Look_Up!E65</f>
        <v>248000</v>
      </c>
      <c r="G65" s="153">
        <f>A6_Machine_Look_Up!F65</f>
        <v>4</v>
      </c>
      <c r="H65" s="154">
        <f>A6_Machine_Look_Up!G65</f>
        <v>195</v>
      </c>
      <c r="I65" s="608" t="s">
        <v>568</v>
      </c>
      <c r="J65" s="568"/>
      <c r="K65" s="805" t="s">
        <v>45</v>
      </c>
    </row>
    <row r="66" spans="1:11" ht="13.9" x14ac:dyDescent="0.4">
      <c r="A66" s="483" t="str">
        <f>EquipmentSpecs!A66</f>
        <v>Module Builder with Tractor</v>
      </c>
      <c r="B66" s="148">
        <f>A3_Production_Look_Up!B103</f>
        <v>0</v>
      </c>
      <c r="C66" s="149">
        <f>A6_Machine_Look_Up!B66</f>
        <v>34700</v>
      </c>
      <c r="D66" s="1944">
        <f>A6_Machine_Look_Up!C66</f>
        <v>19</v>
      </c>
      <c r="E66" s="1970">
        <f>A6_Machine_Look_Up!D66</f>
        <v>3.5</v>
      </c>
      <c r="F66" s="149">
        <f>A6_Machine_Look_Up!E66</f>
        <v>248000</v>
      </c>
      <c r="G66" s="139">
        <f>A6_Machine_Look_Up!F66</f>
        <v>4</v>
      </c>
      <c r="H66" s="154">
        <f>A6_Machine_Look_Up!G66</f>
        <v>195</v>
      </c>
      <c r="I66" s="608" t="s">
        <v>567</v>
      </c>
      <c r="J66" s="568"/>
      <c r="K66" s="805" t="s">
        <v>46</v>
      </c>
    </row>
    <row r="67" spans="1:11" ht="15" customHeight="1" x14ac:dyDescent="0.4">
      <c r="A67" s="985" t="str">
        <f>EquipmentSpecs!A67</f>
        <v>Cotton Picker: Module-Building</v>
      </c>
      <c r="B67" s="148">
        <f>A3_Production_Look_Up!B104</f>
        <v>0</v>
      </c>
      <c r="C67" s="149">
        <f>A6_Machine_Look_Up!B67</f>
        <v>960000</v>
      </c>
      <c r="D67" s="132">
        <f>A6_Machine_Look_Up!C67</f>
        <v>19</v>
      </c>
      <c r="E67" s="1971">
        <f>A6_Machine_Look_Up!D67</f>
        <v>3.7</v>
      </c>
      <c r="F67" s="1765">
        <f>A6_Machine_Look_Up!E67</f>
        <v>0</v>
      </c>
      <c r="G67" s="553">
        <f>A6_Machine_Look_Up!F67</f>
        <v>0</v>
      </c>
      <c r="H67" s="140">
        <f>A6_Machine_Look_Up!G67</f>
        <v>560</v>
      </c>
      <c r="I67" s="318" t="s">
        <v>267</v>
      </c>
      <c r="J67" s="139">
        <v>1</v>
      </c>
      <c r="K67" s="806">
        <v>0.85</v>
      </c>
    </row>
    <row r="68" spans="1:11" ht="15" customHeight="1" x14ac:dyDescent="0.4">
      <c r="A68" s="483" t="str">
        <f>EquipmentSpecs!A68</f>
        <v>Module Handler with Tractor</v>
      </c>
      <c r="B68" s="148">
        <f>A3_Production_Look_Up!B105</f>
        <v>0</v>
      </c>
      <c r="C68" s="149">
        <f>A6_Machine_Look_Up!B68</f>
        <v>13750</v>
      </c>
      <c r="D68" s="1944">
        <f>A6_Machine_Look_Up!C68</f>
        <v>1</v>
      </c>
      <c r="E68" s="1970">
        <f>A6_Machine_Look_Up!D68</f>
        <v>3.7</v>
      </c>
      <c r="F68" s="149">
        <f>A6_Machine_Look_Up!E68</f>
        <v>248000</v>
      </c>
      <c r="G68" s="139">
        <f>A6_Machine_Look_Up!F68</f>
        <v>4</v>
      </c>
      <c r="H68" s="140">
        <f>A6_Machine_Look_Up!G68</f>
        <v>195</v>
      </c>
      <c r="I68" s="726" t="s">
        <v>570</v>
      </c>
      <c r="J68" s="139">
        <v>0</v>
      </c>
      <c r="K68" s="806">
        <v>0.8</v>
      </c>
    </row>
    <row r="69" spans="1:11" ht="15" customHeight="1" x14ac:dyDescent="0.45">
      <c r="A69" s="479" t="str">
        <f>EquipmentSpecs!A69</f>
        <v>Combine</v>
      </c>
      <c r="B69" s="150">
        <f>A3_Production_Look_Up!B106</f>
        <v>1</v>
      </c>
      <c r="C69" s="149">
        <f>A6_Machine_Look_Up!B69</f>
        <v>739000</v>
      </c>
      <c r="D69" s="1944">
        <f>A6_Machine_Look_Up!C69</f>
        <v>30</v>
      </c>
      <c r="E69" s="1970">
        <f>A6_Machine_Look_Up!D69</f>
        <v>3.5</v>
      </c>
      <c r="F69" s="1765">
        <f>A6_Machine_Look_Up!E69</f>
        <v>0</v>
      </c>
      <c r="G69" s="553">
        <f>A6_Machine_Look_Up!F69</f>
        <v>0</v>
      </c>
      <c r="H69" s="142">
        <f>A6_Machine_Look_Up!G69</f>
        <v>325</v>
      </c>
      <c r="I69" s="1939" t="str">
        <f>'C1_Messages_Indicators'!B37</f>
        <v xml:space="preserve"> </v>
      </c>
      <c r="J69" s="365"/>
      <c r="K69" s="365"/>
    </row>
    <row r="70" spans="1:11" ht="15" customHeight="1" x14ac:dyDescent="0.45">
      <c r="A70" s="479" t="str">
        <f>EquipmentSpecs!A70</f>
        <v>Corn Head</v>
      </c>
      <c r="B70" s="150">
        <f>A3_Production_Look_Up!B107</f>
        <v>0</v>
      </c>
      <c r="C70" s="149">
        <f>A6_Machine_Look_Up!B70</f>
        <v>67900</v>
      </c>
      <c r="D70" s="1520">
        <f>A6_Machine_Look_Up!C70</f>
        <v>25</v>
      </c>
      <c r="E70" s="1972">
        <f>A6_Machine_Look_Up!D70</f>
        <v>3.5</v>
      </c>
      <c r="F70" s="1765">
        <f>A6_Machine_Look_Up!E70</f>
        <v>0</v>
      </c>
      <c r="G70" s="553">
        <f>A6_Machine_Look_Up!F70</f>
        <v>0</v>
      </c>
      <c r="H70" s="1913">
        <f>A6_Machine_Look_Up!G70</f>
        <v>0</v>
      </c>
      <c r="I70" s="1939" t="str">
        <f>'C1_Messages_Indicators'!B38</f>
        <v xml:space="preserve"> </v>
      </c>
      <c r="J70" s="365"/>
      <c r="K70" s="365"/>
    </row>
    <row r="71" spans="1:11" ht="15" customHeight="1" x14ac:dyDescent="0.45">
      <c r="A71" s="479" t="str">
        <f>EquipmentSpecs!A71</f>
        <v>Soybean Head</v>
      </c>
      <c r="B71" s="150">
        <f>A3_Production_Look_Up!B108</f>
        <v>0</v>
      </c>
      <c r="C71" s="149">
        <f>A6_Machine_Look_Up!B71</f>
        <v>43800</v>
      </c>
      <c r="D71" s="1520">
        <f>A6_Machine_Look_Up!C71</f>
        <v>30</v>
      </c>
      <c r="E71" s="1972">
        <f>A6_Machine_Look_Up!D71</f>
        <v>4.5</v>
      </c>
      <c r="F71" s="1765">
        <f>A6_Machine_Look_Up!E71</f>
        <v>0</v>
      </c>
      <c r="G71" s="553">
        <f>A6_Machine_Look_Up!F71</f>
        <v>0</v>
      </c>
      <c r="H71" s="1913">
        <f>A6_Machine_Look_Up!G71</f>
        <v>0</v>
      </c>
      <c r="I71" s="1940" t="str">
        <f>'C1_Messages_Indicators'!B39</f>
        <v xml:space="preserve"> </v>
      </c>
      <c r="J71" s="365"/>
      <c r="K71" s="365"/>
    </row>
    <row r="72" spans="1:11" ht="15" customHeight="1" x14ac:dyDescent="0.45">
      <c r="A72" s="479" t="str">
        <f>EquipmentSpecs!A72</f>
        <v>Rice Head</v>
      </c>
      <c r="B72" s="150">
        <f>A3_Production_Look_Up!B109</f>
        <v>0</v>
      </c>
      <c r="C72" s="149">
        <f>A6_Machine_Look_Up!B72</f>
        <v>78600</v>
      </c>
      <c r="D72" s="1520">
        <f>A6_Machine_Look_Up!C72</f>
        <v>30</v>
      </c>
      <c r="E72" s="1972">
        <f>A6_Machine_Look_Up!D72</f>
        <v>2.5</v>
      </c>
      <c r="F72" s="1765">
        <f>A6_Machine_Look_Up!E72</f>
        <v>0</v>
      </c>
      <c r="G72" s="553">
        <f>A6_Machine_Look_Up!F72</f>
        <v>0</v>
      </c>
      <c r="H72" s="1913">
        <f>A6_Machine_Look_Up!G72</f>
        <v>0</v>
      </c>
      <c r="I72" s="1939" t="str">
        <f>'C1_Messages_Indicators'!B40</f>
        <v xml:space="preserve"> </v>
      </c>
      <c r="J72" s="365"/>
      <c r="K72" s="365"/>
    </row>
    <row r="73" spans="1:11" ht="15" customHeight="1" x14ac:dyDescent="0.4">
      <c r="A73" s="479" t="str">
        <f>EquipmentSpecs!A73</f>
        <v>Wheat/Sorghum Head</v>
      </c>
      <c r="B73" s="150">
        <f>A3_Production_Look_Up!B110</f>
        <v>1</v>
      </c>
      <c r="C73" s="149">
        <f>A6_Machine_Look_Up!B73</f>
        <v>29100</v>
      </c>
      <c r="D73" s="1520">
        <f>A6_Machine_Look_Up!C73</f>
        <v>30</v>
      </c>
      <c r="E73" s="1972">
        <f>A6_Machine_Look_Up!D73</f>
        <v>3.5</v>
      </c>
      <c r="F73" s="1765">
        <f>A6_Machine_Look_Up!E73</f>
        <v>0</v>
      </c>
      <c r="G73" s="553">
        <f>A6_Machine_Look_Up!F73</f>
        <v>0</v>
      </c>
      <c r="H73" s="1913">
        <f>A6_Machine_Look_Up!G73</f>
        <v>0</v>
      </c>
      <c r="I73" s="365"/>
      <c r="J73" s="365"/>
      <c r="K73" s="365"/>
    </row>
    <row r="74" spans="1:11" ht="15" customHeight="1" x14ac:dyDescent="0.4">
      <c r="A74" s="483" t="str">
        <f>EquipmentSpecs!A74</f>
        <v>Grain Cart with Tractor</v>
      </c>
      <c r="B74" s="539">
        <f>A3_Production_Look_Up!B111</f>
        <v>1</v>
      </c>
      <c r="C74" s="149">
        <f>A6_Machine_Look_Up!B74</f>
        <v>58400</v>
      </c>
      <c r="D74" s="1944">
        <f>A6_Machine_Look_Up!C74</f>
        <v>30</v>
      </c>
      <c r="E74" s="1970">
        <f>A6_Machine_Look_Up!D74</f>
        <v>3.5</v>
      </c>
      <c r="F74" s="149">
        <f>A6_Machine_Look_Up!E74</f>
        <v>248000</v>
      </c>
      <c r="G74" s="139">
        <f>A6_Machine_Look_Up!F74</f>
        <v>4</v>
      </c>
      <c r="H74" s="142">
        <f>A6_Machine_Look_Up!G74</f>
        <v>195</v>
      </c>
      <c r="I74" s="365"/>
      <c r="J74" s="365"/>
      <c r="K74" s="365"/>
    </row>
    <row r="75" spans="1:11" ht="15" customHeight="1" x14ac:dyDescent="0.4">
      <c r="A75" s="479" t="str">
        <f>EquipmentSpecs!A75</f>
        <v>Other Harvest</v>
      </c>
      <c r="B75" s="539">
        <f>A3_Production_Look_Up!B112</f>
        <v>0</v>
      </c>
      <c r="C75" s="149">
        <f>A6_Machine_Look_Up!B75</f>
        <v>0</v>
      </c>
      <c r="D75" s="538">
        <f>A6_Machine_Look_Up!C75</f>
        <v>19</v>
      </c>
      <c r="E75" s="723">
        <f>A6_Machine_Look_Up!D75</f>
        <v>2.5</v>
      </c>
      <c r="F75" s="1773">
        <f>A6_Machine_Look_Up!E75</f>
        <v>0</v>
      </c>
      <c r="G75" s="1938">
        <f>A6_Machine_Look_Up!F75</f>
        <v>0</v>
      </c>
      <c r="H75" s="142">
        <f>A6_Machine_Look_Up!G75</f>
        <v>230</v>
      </c>
      <c r="I75" s="365"/>
      <c r="J75" s="365"/>
      <c r="K75" s="365"/>
    </row>
    <row r="76" spans="1:11" ht="15" customHeight="1" x14ac:dyDescent="0.4">
      <c r="A76" s="479" t="str">
        <f>EquipmentSpecs!A76</f>
        <v>Peanut Harvester, with Tractor</v>
      </c>
      <c r="B76" s="539">
        <f>A3_Production_Look_Up!B113</f>
        <v>0</v>
      </c>
      <c r="C76" s="149">
        <f>A6_Machine_Look_Up!B76</f>
        <v>179000</v>
      </c>
      <c r="D76" s="538">
        <f>A6_Machine_Look_Up!C76</f>
        <v>19</v>
      </c>
      <c r="E76" s="723">
        <f>A6_Machine_Look_Up!D76</f>
        <v>2</v>
      </c>
      <c r="F76" s="128">
        <f>A6_Machine_Look_Up!E76</f>
        <v>308000</v>
      </c>
      <c r="G76" s="139">
        <f>A6_Machine_Look_Up!F76</f>
        <v>4</v>
      </c>
      <c r="H76" s="142">
        <f>A6_Machine_Look_Up!G76</f>
        <v>230</v>
      </c>
      <c r="I76" s="365"/>
      <c r="J76" s="365"/>
      <c r="K76" s="365"/>
    </row>
    <row r="77" spans="1:11" ht="15" customHeight="1" x14ac:dyDescent="0.4">
      <c r="A77" s="479" t="str">
        <f>EquipmentSpecs!A77</f>
        <v>Peanut Dump Cart with Tractor</v>
      </c>
      <c r="B77" s="539">
        <f>A3_Production_Look_Up!B114</f>
        <v>0</v>
      </c>
      <c r="C77" s="149">
        <f>A6_Machine_Look_Up!B77</f>
        <v>57500</v>
      </c>
      <c r="D77" s="1944">
        <f>A6_Machine_Look_Up!C77</f>
        <v>19</v>
      </c>
      <c r="E77" s="1947">
        <f>A6_Machine_Look_Up!D77</f>
        <v>2</v>
      </c>
      <c r="F77" s="980">
        <f>A6_Machine_Look_Up!E77</f>
        <v>248000</v>
      </c>
      <c r="G77" s="736">
        <f>A6_Machine_Look_Up!F77</f>
        <v>4</v>
      </c>
      <c r="H77" s="142">
        <f>A6_Machine_Look_Up!G77</f>
        <v>195</v>
      </c>
      <c r="I77" s="365"/>
      <c r="J77" s="365"/>
      <c r="K77" s="365"/>
    </row>
    <row r="78" spans="1:11" ht="15" customHeight="1" x14ac:dyDescent="0.4">
      <c r="A78" s="483" t="str">
        <f>EquipmentSpecs!A78</f>
        <v>Peanut Wagon, 28 ft., with Tractor</v>
      </c>
      <c r="B78" s="539">
        <f>A3_Production_Look_Up!B115</f>
        <v>0</v>
      </c>
      <c r="C78" s="149">
        <f>A6_Machine_Look_Up!B78</f>
        <v>7800</v>
      </c>
      <c r="D78" s="1944">
        <f>A6_Machine_Look_Up!C78</f>
        <v>19</v>
      </c>
      <c r="E78" s="1947">
        <f>A6_Machine_Look_Up!D78</f>
        <v>2</v>
      </c>
      <c r="F78" s="981">
        <f>A6_Machine_Look_Up!E78</f>
        <v>248000</v>
      </c>
      <c r="G78" s="153">
        <f>A6_Machine_Look_Up!F78</f>
        <v>4</v>
      </c>
      <c r="H78" s="142">
        <f>A6_Machine_Look_Up!G78</f>
        <v>195</v>
      </c>
      <c r="I78" s="365"/>
      <c r="J78" s="365"/>
      <c r="K78" s="365"/>
    </row>
    <row r="79" spans="1:11" ht="15" customHeight="1" x14ac:dyDescent="0.4">
      <c r="A79" s="479" t="str">
        <f>EquipmentSpecs!A79</f>
        <v>Other Harvest</v>
      </c>
      <c r="B79" s="127">
        <f>A3_Production_Look_Up!B116</f>
        <v>0</v>
      </c>
      <c r="C79" s="737">
        <f>A6_Machine_Look_Up!B79</f>
        <v>0</v>
      </c>
      <c r="D79" s="738">
        <f>A6_Machine_Look_Up!C79</f>
        <v>1</v>
      </c>
      <c r="E79" s="317">
        <f>A6_Machine_Look_Up!D79</f>
        <v>1</v>
      </c>
      <c r="F79" s="1773">
        <f>A6_Machine_Look_Up!E79</f>
        <v>0</v>
      </c>
      <c r="G79" s="619">
        <f>A6_Machine_Look_Up!F79</f>
        <v>0</v>
      </c>
      <c r="H79" s="140">
        <f>A6_Machine_Look_Up!G79</f>
        <v>325</v>
      </c>
      <c r="I79" s="662"/>
      <c r="J79" s="364"/>
      <c r="K79" s="364"/>
    </row>
    <row r="80" spans="1:11" ht="15" customHeight="1" x14ac:dyDescent="0.4">
      <c r="A80" s="479" t="str">
        <f>EquipmentSpecs!A80</f>
        <v>Other Harvest</v>
      </c>
      <c r="B80" s="148">
        <f>A3_Production_Look_Up!B117</f>
        <v>0</v>
      </c>
      <c r="C80" s="149">
        <f>A6_Machine_Look_Up!B80</f>
        <v>0</v>
      </c>
      <c r="D80" s="1941">
        <f>A6_Machine_Look_Up!C80</f>
        <v>1</v>
      </c>
      <c r="E80" s="1947">
        <f>A6_Machine_Look_Up!D80</f>
        <v>1</v>
      </c>
      <c r="F80" s="128">
        <f>A6_Machine_Look_Up!E80</f>
        <v>248000</v>
      </c>
      <c r="G80" s="153">
        <f>A6_Machine_Look_Up!F80</f>
        <v>4</v>
      </c>
      <c r="H80" s="154">
        <f>A6_Machine_Look_Up!G80</f>
        <v>195</v>
      </c>
      <c r="I80" s="662"/>
      <c r="J80" s="364"/>
      <c r="K80" s="364"/>
    </row>
    <row r="81" spans="1:11" ht="15" customHeight="1" thickBot="1" x14ac:dyDescent="0.45">
      <c r="A81" s="988" t="str">
        <f>EquipmentSpecs!A81</f>
        <v>Other Harvest</v>
      </c>
      <c r="B81" s="739">
        <f>A3_Production_Look_Up!B118</f>
        <v>0</v>
      </c>
      <c r="C81" s="151">
        <f>A6_Machine_Look_Up!B81</f>
        <v>0</v>
      </c>
      <c r="D81" s="1948">
        <f>A6_Machine_Look_Up!C81</f>
        <v>1</v>
      </c>
      <c r="E81" s="1949">
        <f>A6_Machine_Look_Up!D81</f>
        <v>1</v>
      </c>
      <c r="F81" s="982">
        <f>A6_Machine_Look_Up!E81</f>
        <v>248000</v>
      </c>
      <c r="G81" s="535">
        <f>A6_Machine_Look_Up!F81</f>
        <v>4</v>
      </c>
      <c r="H81" s="740">
        <f>A6_Machine_Look_Up!G81</f>
        <v>195</v>
      </c>
      <c r="I81" s="662"/>
      <c r="J81" s="364"/>
      <c r="K81" s="364"/>
    </row>
    <row r="82" spans="1:11" ht="14.25" thickBot="1" x14ac:dyDescent="0.45">
      <c r="A82" s="352"/>
      <c r="B82" s="354"/>
      <c r="C82" s="354"/>
      <c r="D82" s="354"/>
      <c r="E82" s="354"/>
      <c r="F82" s="354"/>
      <c r="G82" s="354"/>
      <c r="H82" s="354"/>
      <c r="I82" s="365"/>
      <c r="J82" s="365"/>
      <c r="K82" s="365"/>
    </row>
    <row r="83" spans="1:11" ht="15" customHeight="1" x14ac:dyDescent="0.45">
      <c r="A83" s="41"/>
      <c r="B83" s="42" t="s">
        <v>177</v>
      </c>
      <c r="C83" s="42" t="s">
        <v>178</v>
      </c>
      <c r="D83" s="42" t="s">
        <v>179</v>
      </c>
      <c r="E83" s="42" t="s">
        <v>185</v>
      </c>
      <c r="F83" s="42" t="s">
        <v>182</v>
      </c>
      <c r="G83" s="42" t="s">
        <v>181</v>
      </c>
      <c r="H83" s="43" t="s">
        <v>308</v>
      </c>
      <c r="I83" s="365"/>
      <c r="J83" s="365"/>
      <c r="K83" s="365"/>
    </row>
    <row r="84" spans="1:11" ht="15" customHeight="1" thickBot="1" x14ac:dyDescent="0.5">
      <c r="A84" s="541" t="s">
        <v>434</v>
      </c>
      <c r="B84" s="44">
        <v>3.5</v>
      </c>
      <c r="C84" s="45">
        <v>3.5</v>
      </c>
      <c r="D84" s="45">
        <v>4.5</v>
      </c>
      <c r="E84" s="45">
        <v>2.5</v>
      </c>
      <c r="F84" s="45">
        <v>3.5</v>
      </c>
      <c r="G84" s="45">
        <v>3.5</v>
      </c>
      <c r="H84" s="46">
        <v>2.5</v>
      </c>
      <c r="I84" s="365"/>
      <c r="J84" s="365"/>
      <c r="K84" s="365"/>
    </row>
    <row r="85" spans="1:11" ht="15" customHeight="1" x14ac:dyDescent="0.45">
      <c r="A85" s="321" t="s">
        <v>271</v>
      </c>
      <c r="B85" s="321"/>
      <c r="C85" s="319">
        <f>C86*1.05</f>
        <v>3.6750000000000003</v>
      </c>
      <c r="D85" s="365"/>
      <c r="E85" s="365"/>
      <c r="F85" s="365"/>
      <c r="G85" s="365"/>
      <c r="H85" s="365"/>
      <c r="I85" s="400"/>
      <c r="J85" s="400"/>
      <c r="K85" s="400"/>
    </row>
    <row r="86" spans="1:11" ht="15" customHeight="1" x14ac:dyDescent="0.45">
      <c r="A86" s="322" t="s">
        <v>569</v>
      </c>
      <c r="B86" s="322"/>
      <c r="C86" s="319">
        <v>3.5</v>
      </c>
      <c r="D86" s="365"/>
      <c r="E86" s="365"/>
      <c r="F86" s="365"/>
      <c r="G86" s="365"/>
      <c r="H86" s="365"/>
      <c r="I86" s="400"/>
      <c r="J86" s="400"/>
      <c r="K86" s="400"/>
    </row>
  </sheetData>
  <sheetProtection selectLockedCells="1"/>
  <mergeCells count="1">
    <mergeCell ref="B1:F1"/>
  </mergeCells>
  <hyperlinks>
    <hyperlink ref="A1" location="Budget!H46" display="Return to Budget Worksheet" xr:uid="{00000000-0004-0000-1A00-000000000000}"/>
    <hyperlink ref="B1:F1" location="Field_Activities!A1" display="Goto Machinery and Equipment Applied in this Budget" xr:uid="{00000000-0004-0000-1A00-000001000000}"/>
  </hyperlinks>
  <pageMargins left="0.7" right="0.7" top="0.75" bottom="0.75" header="0.3" footer="0.3"/>
  <pageSetup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76"/>
  <sheetViews>
    <sheetView topLeftCell="A40" workbookViewId="0">
      <selection activeCell="B45" sqref="B45"/>
    </sheetView>
  </sheetViews>
  <sheetFormatPr defaultRowHeight="12.75" x14ac:dyDescent="0.35"/>
  <cols>
    <col min="1" max="1" width="28.1328125" customWidth="1"/>
    <col min="2" max="2" width="8.265625" customWidth="1"/>
    <col min="3" max="3" width="7.1328125" customWidth="1"/>
    <col min="4" max="4" width="6.1328125" customWidth="1"/>
    <col min="5" max="5" width="5.3984375" customWidth="1"/>
    <col min="6" max="6" width="6.3984375" customWidth="1"/>
    <col min="7" max="7" width="8.265625" customWidth="1"/>
    <col min="8" max="8" width="7.1328125" customWidth="1"/>
    <col min="9" max="9" width="6.1328125" customWidth="1"/>
    <col min="10" max="10" width="5.3984375" customWidth="1"/>
    <col min="11" max="11" width="6.3984375" customWidth="1"/>
  </cols>
  <sheetData>
    <row r="1" spans="1:13" ht="13.15" x14ac:dyDescent="0.4">
      <c r="A1" s="399"/>
      <c r="B1" s="60" t="s">
        <v>207</v>
      </c>
      <c r="C1" s="50"/>
      <c r="D1" s="50"/>
      <c r="E1" s="50"/>
      <c r="F1" s="51"/>
      <c r="G1" s="60" t="s">
        <v>206</v>
      </c>
      <c r="H1" s="50"/>
      <c r="I1" s="50"/>
      <c r="J1" s="50"/>
      <c r="K1" s="51"/>
      <c r="L1" s="64" t="s">
        <v>47</v>
      </c>
      <c r="M1" s="67" t="s">
        <v>48</v>
      </c>
    </row>
    <row r="2" spans="1:13" ht="13.15" x14ac:dyDescent="0.4">
      <c r="A2" s="64" t="s">
        <v>217</v>
      </c>
      <c r="B2" s="65" t="s">
        <v>772</v>
      </c>
      <c r="C2" s="66"/>
      <c r="D2" s="66"/>
      <c r="E2" s="66"/>
      <c r="F2" s="67"/>
      <c r="G2" s="65" t="s">
        <v>772</v>
      </c>
      <c r="H2" s="66"/>
      <c r="I2" s="66"/>
      <c r="J2" s="66"/>
      <c r="K2" s="67"/>
      <c r="L2" s="636" t="s">
        <v>88</v>
      </c>
      <c r="M2" s="637" t="s">
        <v>41</v>
      </c>
    </row>
    <row r="3" spans="1:13" ht="13.15" x14ac:dyDescent="0.4">
      <c r="A3" s="63" t="s">
        <v>158</v>
      </c>
      <c r="B3" s="61" t="s">
        <v>14</v>
      </c>
      <c r="C3" s="47" t="s">
        <v>205</v>
      </c>
      <c r="D3" s="47" t="s">
        <v>523</v>
      </c>
      <c r="E3" s="47" t="s">
        <v>55</v>
      </c>
      <c r="F3" s="52" t="s">
        <v>22</v>
      </c>
      <c r="G3" s="61" t="s">
        <v>14</v>
      </c>
      <c r="H3" s="47" t="s">
        <v>205</v>
      </c>
      <c r="I3" s="47" t="s">
        <v>523</v>
      </c>
      <c r="J3" s="47" t="s">
        <v>55</v>
      </c>
      <c r="K3" s="52" t="s">
        <v>22</v>
      </c>
      <c r="L3" s="63" t="s">
        <v>42</v>
      </c>
      <c r="M3" s="52" t="s">
        <v>4</v>
      </c>
    </row>
    <row r="4" spans="1:13" ht="13.15" x14ac:dyDescent="0.4">
      <c r="A4" s="54" t="str">
        <f>Machine!A14</f>
        <v>Paratill</v>
      </c>
      <c r="B4" s="74">
        <f>Z1_Equipment_Calculations!Z14</f>
        <v>0</v>
      </c>
      <c r="C4" s="75">
        <f>Z1_Equipment_Calculations!AC14+Z1_Equipment_Calculations!AF14</f>
        <v>0</v>
      </c>
      <c r="D4" s="75">
        <f>Z1_Equipment_Calculations!AJ14</f>
        <v>0</v>
      </c>
      <c r="E4" s="75">
        <f>Z1_Equipment_Calculations!AM14</f>
        <v>0</v>
      </c>
      <c r="F4" s="76">
        <f>SUM(B4:E4)</f>
        <v>0</v>
      </c>
      <c r="G4" s="74" t="str">
        <f>IF(Machine!$B14&gt;0,B4/Machine!$B14," ")</f>
        <v xml:space="preserve"> </v>
      </c>
      <c r="H4" s="75" t="str">
        <f>IF(Machine!$B14&gt;0,C4/Machine!$B14," ")</f>
        <v xml:space="preserve"> </v>
      </c>
      <c r="I4" s="75" t="str">
        <f>IF(Machine!$B14&gt;0,D4/Machine!$B14," ")</f>
        <v xml:space="preserve"> </v>
      </c>
      <c r="J4" s="75" t="str">
        <f>IF(Machine!$B14&gt;0,E4/Machine!$B14," ")</f>
        <v xml:space="preserve"> </v>
      </c>
      <c r="K4" s="76" t="str">
        <f>IF(Machine!$B14&gt;0,F4/Machine!$B14," ")</f>
        <v xml:space="preserve"> </v>
      </c>
      <c r="L4" s="638">
        <f>Z1_Equipment_Calculations!N14</f>
        <v>7.8303030303030292</v>
      </c>
      <c r="M4" s="639">
        <f>Z1_Equipment_Calculations!O14</f>
        <v>0.12770897832817341</v>
      </c>
    </row>
    <row r="5" spans="1:13" ht="13.15" x14ac:dyDescent="0.4">
      <c r="A5" s="55" t="str">
        <f>Machine!A15</f>
        <v>Subsoiler, 25 ft.</v>
      </c>
      <c r="B5" s="62">
        <f>Z1_Equipment_Calculations!Z15</f>
        <v>0</v>
      </c>
      <c r="C5" s="48">
        <f>Z1_Equipment_Calculations!AC15+Z1_Equipment_Calculations!AF15</f>
        <v>0</v>
      </c>
      <c r="D5" s="48">
        <f>Z1_Equipment_Calculations!AJ15</f>
        <v>0</v>
      </c>
      <c r="E5" s="48">
        <f>Z1_Equipment_Calculations!AM15</f>
        <v>0</v>
      </c>
      <c r="F5" s="53">
        <f>SUM(B5:E5)</f>
        <v>0</v>
      </c>
      <c r="G5" s="62" t="str">
        <f>IF(Machine!$B15&gt;0,B5/Machine!$B15," ")</f>
        <v xml:space="preserve"> </v>
      </c>
      <c r="H5" s="48" t="str">
        <f>IF(Machine!$B15&gt;0,C5/Machine!$B15," ")</f>
        <v xml:space="preserve"> </v>
      </c>
      <c r="I5" s="48" t="str">
        <f>IF(Machine!$B15&gt;0,D5/Machine!$B15," ")</f>
        <v xml:space="preserve"> </v>
      </c>
      <c r="J5" s="48" t="str">
        <f>IF(Machine!$B15&gt;0,E5/Machine!$B15," ")</f>
        <v xml:space="preserve"> </v>
      </c>
      <c r="K5" s="53" t="str">
        <f>IF(Machine!$B15&gt;0,F5/Machine!$B15," ")</f>
        <v xml:space="preserve"> </v>
      </c>
      <c r="L5" s="640">
        <f>Z1_Equipment_Calculations!N15</f>
        <v>10.303030303030303</v>
      </c>
      <c r="M5" s="641">
        <f>Z1_Equipment_Calculations!O15</f>
        <v>9.7058823529411767E-2</v>
      </c>
    </row>
    <row r="6" spans="1:13" ht="13.15" x14ac:dyDescent="0.4">
      <c r="A6" s="55" t="str">
        <f>Machine!A16</f>
        <v>Subsoiler, 5 shank</v>
      </c>
      <c r="B6" s="62">
        <f>Z1_Equipment_Calculations!Z16</f>
        <v>0</v>
      </c>
      <c r="C6" s="48">
        <f>Z1_Equipment_Calculations!AC16+Z1_Equipment_Calculations!AF16</f>
        <v>0</v>
      </c>
      <c r="D6" s="48">
        <f>Z1_Equipment_Calculations!AJ16</f>
        <v>0</v>
      </c>
      <c r="E6" s="48">
        <f>Z1_Equipment_Calculations!AM16</f>
        <v>0</v>
      </c>
      <c r="F6" s="53">
        <f>SUM(B6:E6)</f>
        <v>0</v>
      </c>
      <c r="G6" s="62" t="str">
        <f>IF(Machine!$B16&gt;0,B6/Machine!$B16," ")</f>
        <v xml:space="preserve"> </v>
      </c>
      <c r="H6" s="48" t="str">
        <f>IF(Machine!$B16&gt;0,C6/Machine!$B16," ")</f>
        <v xml:space="preserve"> </v>
      </c>
      <c r="I6" s="48" t="str">
        <f>IF(Machine!$B16&gt;0,D6/Machine!$B16," ")</f>
        <v xml:space="preserve"> </v>
      </c>
      <c r="J6" s="48" t="str">
        <f>IF(Machine!$B16&gt;0,E6/Machine!$B16," ")</f>
        <v xml:space="preserve"> </v>
      </c>
      <c r="K6" s="53" t="str">
        <f>IF(Machine!$B16&gt;0,F6/Machine!$B16," ")</f>
        <v xml:space="preserve"> </v>
      </c>
      <c r="L6" s="640">
        <f>Z1_Equipment_Calculations!N16</f>
        <v>4.9454545454545453</v>
      </c>
      <c r="M6" s="641">
        <f>Z1_Equipment_Calculations!O16</f>
        <v>0.20220588235294118</v>
      </c>
    </row>
    <row r="7" spans="1:13" ht="13.15" x14ac:dyDescent="0.4">
      <c r="A7" s="55" t="str">
        <f>Machine!A17</f>
        <v>Bedder, Rip/Disk</v>
      </c>
      <c r="B7" s="62">
        <f>Z1_Equipment_Calculations!Z17</f>
        <v>0</v>
      </c>
      <c r="C7" s="48">
        <f>Z1_Equipment_Calculations!AC17+Z1_Equipment_Calculations!AF17</f>
        <v>0</v>
      </c>
      <c r="D7" s="48">
        <f>Z1_Equipment_Calculations!AJ17</f>
        <v>0</v>
      </c>
      <c r="E7" s="48">
        <f>Z1_Equipment_Calculations!AM17</f>
        <v>0</v>
      </c>
      <c r="F7" s="53">
        <f>SUM(B7:E7)</f>
        <v>0</v>
      </c>
      <c r="G7" s="62" t="str">
        <f>IF(Machine!$B17&gt;0,B7/Machine!$B17," ")</f>
        <v xml:space="preserve"> </v>
      </c>
      <c r="H7" s="48" t="str">
        <f>IF(Machine!$B17&gt;0,C7/Machine!$B17," ")</f>
        <v xml:space="preserve"> </v>
      </c>
      <c r="I7" s="48" t="str">
        <f>IF(Machine!$B17&gt;0,D7/Machine!$B17," ")</f>
        <v xml:space="preserve"> </v>
      </c>
      <c r="J7" s="48" t="str">
        <f>IF(Machine!$B17&gt;0,E7/Machine!$B17," ")</f>
        <v xml:space="preserve"> </v>
      </c>
      <c r="K7" s="53" t="str">
        <f>IF(Machine!$B17&gt;0,F7/Machine!$B17," ")</f>
        <v xml:space="preserve"> </v>
      </c>
      <c r="L7" s="640">
        <f>Z1_Equipment_Calculations!N17</f>
        <v>15.660606060606058</v>
      </c>
      <c r="M7" s="641">
        <f>Z1_Equipment_Calculations!O17</f>
        <v>6.3854489164086703E-2</v>
      </c>
    </row>
    <row r="8" spans="1:13" ht="13.15" x14ac:dyDescent="0.4">
      <c r="A8" s="55" t="str">
        <f>Machine!A18</f>
        <v>Bedder, Lister</v>
      </c>
      <c r="B8" s="62">
        <f>Z1_Equipment_Calculations!Z18</f>
        <v>0</v>
      </c>
      <c r="C8" s="48">
        <f>Z1_Equipment_Calculations!AC18+Z1_Equipment_Calculations!AF18</f>
        <v>0</v>
      </c>
      <c r="D8" s="48">
        <f>Z1_Equipment_Calculations!AJ18</f>
        <v>0</v>
      </c>
      <c r="E8" s="48">
        <f>Z1_Equipment_Calculations!AM18</f>
        <v>0</v>
      </c>
      <c r="F8" s="53">
        <f>SUM(B8:E8)</f>
        <v>0</v>
      </c>
      <c r="G8" s="62" t="str">
        <f>IF(Machine!$B18&gt;0,B8/Machine!$B18," ")</f>
        <v xml:space="preserve"> </v>
      </c>
      <c r="H8" s="48" t="str">
        <f>IF(Machine!$B18&gt;0,C8/Machine!$B18," ")</f>
        <v xml:space="preserve"> </v>
      </c>
      <c r="I8" s="48" t="str">
        <f>IF(Machine!$B18&gt;0,D8/Machine!$B18," ")</f>
        <v xml:space="preserve"> </v>
      </c>
      <c r="J8" s="48" t="str">
        <f>IF(Machine!$B18&gt;0,E8/Machine!$B18," ")</f>
        <v xml:space="preserve"> </v>
      </c>
      <c r="K8" s="53" t="str">
        <f>IF(Machine!$B18&gt;0,F8/Machine!$B18," ")</f>
        <v xml:space="preserve"> </v>
      </c>
      <c r="L8" s="640">
        <f>Z1_Equipment_Calculations!N18</f>
        <v>15.660606060606058</v>
      </c>
      <c r="M8" s="641">
        <f>Z1_Equipment_Calculations!O18</f>
        <v>6.3854489164086703E-2</v>
      </c>
    </row>
    <row r="9" spans="1:13" ht="13.15" x14ac:dyDescent="0.4">
      <c r="A9" s="55" t="str">
        <f>Machine!A19</f>
        <v>Disk</v>
      </c>
      <c r="B9" s="62">
        <f>Z1_Equipment_Calculations!Z19</f>
        <v>0</v>
      </c>
      <c r="C9" s="48">
        <f>Z1_Equipment_Calculations!AC19+Z1_Equipment_Calculations!AF19</f>
        <v>0</v>
      </c>
      <c r="D9" s="48">
        <f>Z1_Equipment_Calculations!AJ19</f>
        <v>0</v>
      </c>
      <c r="E9" s="48">
        <f>Z1_Equipment_Calculations!AM19</f>
        <v>0</v>
      </c>
      <c r="F9" s="53">
        <f t="shared" ref="F9:F18" si="0">SUM(B9:E9)</f>
        <v>0</v>
      </c>
      <c r="G9" s="62" t="str">
        <f>IF(Machine!$B19&gt;0,B9/Machine!$B19," ")</f>
        <v xml:space="preserve"> </v>
      </c>
      <c r="H9" s="48" t="str">
        <f>IF(Machine!$B19&gt;0,C9/Machine!$B19," ")</f>
        <v xml:space="preserve"> </v>
      </c>
      <c r="I9" s="48" t="str">
        <f>IF(Machine!$B19&gt;0,D9/Machine!$B19," ")</f>
        <v xml:space="preserve"> </v>
      </c>
      <c r="J9" s="48" t="str">
        <f>IF(Machine!$B19&gt;0,E9/Machine!$B19," ")</f>
        <v xml:space="preserve"> </v>
      </c>
      <c r="K9" s="53" t="str">
        <f>IF(Machine!$B19&gt;0,F9/Machine!$B19," ")</f>
        <v xml:space="preserve"> </v>
      </c>
      <c r="L9" s="640">
        <f>Z1_Equipment_Calculations!N19</f>
        <v>18.133333333333333</v>
      </c>
      <c r="M9" s="641">
        <f>Z1_Equipment_Calculations!O19</f>
        <v>5.514705882352941E-2</v>
      </c>
    </row>
    <row r="10" spans="1:13" ht="13.15" x14ac:dyDescent="0.4">
      <c r="A10" s="55" t="str">
        <f>Machine!A20</f>
        <v>Bedder, Hipper</v>
      </c>
      <c r="B10" s="62">
        <f>Z1_Equipment_Calculations!Z20</f>
        <v>17.151718084809918</v>
      </c>
      <c r="C10" s="48">
        <f>Z1_Equipment_Calculations!AC20+Z1_Equipment_Calculations!AF20</f>
        <v>2.1693782921213138</v>
      </c>
      <c r="D10" s="48">
        <f>Z1_Equipment_Calculations!AJ20</f>
        <v>3.0027105263157892</v>
      </c>
      <c r="E10" s="48">
        <f>Z1_Equipment_Calculations!AM20</f>
        <v>1.8602543859649123</v>
      </c>
      <c r="F10" s="53">
        <f t="shared" si="0"/>
        <v>24.184061289211929</v>
      </c>
      <c r="G10" s="62">
        <f>IF(Machine!$B20&gt;0,B10/Machine!$B20," ")</f>
        <v>8.575859042404959</v>
      </c>
      <c r="H10" s="48">
        <f>IF(Machine!$B20&gt;0,C10/Machine!$B20," ")</f>
        <v>1.0846891460606569</v>
      </c>
      <c r="I10" s="48">
        <f>IF(Machine!$B20&gt;0,D10/Machine!$B20," ")</f>
        <v>1.5013552631578946</v>
      </c>
      <c r="J10" s="48">
        <f>IF(Machine!$B20&gt;0,E10/Machine!$B20," ")</f>
        <v>0.93012719298245616</v>
      </c>
      <c r="K10" s="53">
        <f>IF(Machine!$B20&gt;0,F10/Machine!$B20," ")</f>
        <v>12.092030644605964</v>
      </c>
      <c r="L10" s="640">
        <f>Z1_Equipment_Calculations!N20</f>
        <v>16.581818181818182</v>
      </c>
      <c r="M10" s="641">
        <f>Z1_Equipment_Calculations!O20</f>
        <v>6.0307017543859649E-2</v>
      </c>
    </row>
    <row r="11" spans="1:13" ht="13.15" x14ac:dyDescent="0.4">
      <c r="A11" s="55" t="str">
        <f>Machine!A21</f>
        <v>Chisel Plow</v>
      </c>
      <c r="B11" s="62">
        <f>Z1_Equipment_Calculations!Z21</f>
        <v>0</v>
      </c>
      <c r="C11" s="48">
        <f>Z1_Equipment_Calculations!AC21+Z1_Equipment_Calculations!AF21</f>
        <v>0</v>
      </c>
      <c r="D11" s="48">
        <f>Z1_Equipment_Calculations!AJ21</f>
        <v>0</v>
      </c>
      <c r="E11" s="48">
        <f>Z1_Equipment_Calculations!AM21</f>
        <v>0</v>
      </c>
      <c r="F11" s="53">
        <f t="shared" si="0"/>
        <v>0</v>
      </c>
      <c r="G11" s="62" t="str">
        <f>IF(Machine!$B21&gt;0,B11/Machine!$B21," ")</f>
        <v xml:space="preserve"> </v>
      </c>
      <c r="H11" s="48" t="str">
        <f>IF(Machine!$B21&gt;0,C11/Machine!$B21," ")</f>
        <v xml:space="preserve"> </v>
      </c>
      <c r="I11" s="48" t="str">
        <f>IF(Machine!$B21&gt;0,D11/Machine!$B21," ")</f>
        <v xml:space="preserve"> </v>
      </c>
      <c r="J11" s="48" t="str">
        <f>IF(Machine!$B21&gt;0,E11/Machine!$B21," ")</f>
        <v xml:space="preserve"> </v>
      </c>
      <c r="K11" s="53" t="str">
        <f>IF(Machine!$B21&gt;0,F11/Machine!$B21," ")</f>
        <v xml:space="preserve"> </v>
      </c>
      <c r="L11" s="640">
        <f>Z1_Equipment_Calculations!N21</f>
        <v>16.484848484848484</v>
      </c>
      <c r="M11" s="641">
        <f>Z1_Equipment_Calculations!O21</f>
        <v>6.0661764705882353E-2</v>
      </c>
    </row>
    <row r="12" spans="1:13" ht="13.15" x14ac:dyDescent="0.4">
      <c r="A12" s="55" t="str">
        <f>Machine!A22</f>
        <v>Harrow</v>
      </c>
      <c r="B12" s="62">
        <f>Z1_Equipment_Calculations!Z22</f>
        <v>0</v>
      </c>
      <c r="C12" s="48">
        <f>Z1_Equipment_Calculations!AC22+Z1_Equipment_Calculations!AF22</f>
        <v>0</v>
      </c>
      <c r="D12" s="48">
        <f>Z1_Equipment_Calculations!AJ22</f>
        <v>0</v>
      </c>
      <c r="E12" s="48">
        <f>Z1_Equipment_Calculations!AM22</f>
        <v>0</v>
      </c>
      <c r="F12" s="53">
        <f>SUM(B12:E12)</f>
        <v>0</v>
      </c>
      <c r="G12" s="62" t="str">
        <f>IF(Machine!$B22&gt;0,B12/Machine!$B22," ")</f>
        <v xml:space="preserve"> </v>
      </c>
      <c r="H12" s="48" t="str">
        <f>IF(Machine!$B22&gt;0,C12/Machine!$B22," ")</f>
        <v xml:space="preserve"> </v>
      </c>
      <c r="I12" s="48" t="str">
        <f>IF(Machine!$B22&gt;0,D12/Machine!$B22," ")</f>
        <v xml:space="preserve"> </v>
      </c>
      <c r="J12" s="48" t="str">
        <f>IF(Machine!$B22&gt;0,E12/Machine!$B22," ")</f>
        <v xml:space="preserve"> </v>
      </c>
      <c r="K12" s="53" t="str">
        <f>IF(Machine!$B22&gt;0,F12/Machine!$B22," ")</f>
        <v xml:space="preserve"> </v>
      </c>
      <c r="L12" s="640">
        <f>Z1_Equipment_Calculations!N22</f>
        <v>28.848484848484848</v>
      </c>
      <c r="M12" s="641">
        <f>Z1_Equipment_Calculations!O22</f>
        <v>3.4663865546218489E-2</v>
      </c>
    </row>
    <row r="13" spans="1:13" ht="13.15" x14ac:dyDescent="0.4">
      <c r="A13" s="55" t="str">
        <f>Machine!A23</f>
        <v>Roller</v>
      </c>
      <c r="B13" s="62">
        <f>Z1_Equipment_Calculations!Z23</f>
        <v>0</v>
      </c>
      <c r="C13" s="48">
        <f>Z1_Equipment_Calculations!AC23+Z1_Equipment_Calculations!AF23</f>
        <v>0</v>
      </c>
      <c r="D13" s="48">
        <f>Z1_Equipment_Calculations!AJ23</f>
        <v>0</v>
      </c>
      <c r="E13" s="48">
        <f>Z1_Equipment_Calculations!AM23</f>
        <v>0</v>
      </c>
      <c r="F13" s="53">
        <f t="shared" si="0"/>
        <v>0</v>
      </c>
      <c r="G13" s="62" t="str">
        <f>IF(Machine!$B23&gt;0,B13/Machine!$B23," ")</f>
        <v xml:space="preserve"> </v>
      </c>
      <c r="H13" s="48" t="str">
        <f>IF(Machine!$B23&gt;0,C13/Machine!$B23," ")</f>
        <v xml:space="preserve"> </v>
      </c>
      <c r="I13" s="48" t="str">
        <f>IF(Machine!$B23&gt;0,D13/Machine!$B23," ")</f>
        <v xml:space="preserve"> </v>
      </c>
      <c r="J13" s="48" t="str">
        <f>IF(Machine!$B23&gt;0,E13/Machine!$B23," ")</f>
        <v xml:space="preserve"> </v>
      </c>
      <c r="K13" s="53" t="str">
        <f>IF(Machine!$B23&gt;0,F13/Machine!$B23," ")</f>
        <v xml:space="preserve"> </v>
      </c>
      <c r="L13" s="640">
        <f>Z1_Equipment_Calculations!N23</f>
        <v>23.490909090909089</v>
      </c>
      <c r="M13" s="641">
        <f>Z1_Equipment_Calculations!O23</f>
        <v>4.2569659442724464E-2</v>
      </c>
    </row>
    <row r="14" spans="1:13" ht="13.15" x14ac:dyDescent="0.4">
      <c r="A14" s="55" t="str">
        <f>Machine!A24</f>
        <v>Bedder-Roller</v>
      </c>
      <c r="B14" s="62">
        <f>Z1_Equipment_Calculations!Z24</f>
        <v>0</v>
      </c>
      <c r="C14" s="48">
        <f>Z1_Equipment_Calculations!AC24+Z1_Equipment_Calculations!AF24</f>
        <v>0</v>
      </c>
      <c r="D14" s="48">
        <f>Z1_Equipment_Calculations!AJ24</f>
        <v>0</v>
      </c>
      <c r="E14" s="48">
        <f>Z1_Equipment_Calculations!AM24</f>
        <v>0</v>
      </c>
      <c r="F14" s="53">
        <f>SUM(B14:E14)</f>
        <v>0</v>
      </c>
      <c r="G14" s="62" t="str">
        <f>IF(Machine!$B24&gt;0,B14/Machine!$B24," ")</f>
        <v xml:space="preserve"> </v>
      </c>
      <c r="H14" s="48" t="str">
        <f>IF(Machine!$B24&gt;0,C14/Machine!$B24," ")</f>
        <v xml:space="preserve"> </v>
      </c>
      <c r="I14" s="48" t="str">
        <f>IF(Machine!$B24&gt;0,D14/Machine!$B24," ")</f>
        <v xml:space="preserve"> </v>
      </c>
      <c r="J14" s="48" t="str">
        <f>IF(Machine!$B24&gt;0,E14/Machine!$B24," ")</f>
        <v xml:space="preserve"> </v>
      </c>
      <c r="K14" s="53" t="str">
        <f>IF(Machine!$B24&gt;0,F14/Machine!$B24," ")</f>
        <v xml:space="preserve"> </v>
      </c>
      <c r="L14" s="640">
        <f>Z1_Equipment_Calculations!N24</f>
        <v>19.575757575757574</v>
      </c>
      <c r="M14" s="641">
        <f>Z1_Equipment_Calculations!O24</f>
        <v>5.1083591331269357E-2</v>
      </c>
    </row>
    <row r="15" spans="1:13" ht="13.15" x14ac:dyDescent="0.4">
      <c r="A15" s="55" t="str">
        <f>Machine!A25</f>
        <v>Ditcher</v>
      </c>
      <c r="B15" s="62">
        <f>Z1_Equipment_Calculations!Z25</f>
        <v>0</v>
      </c>
      <c r="C15" s="48">
        <f>Z1_Equipment_Calculations!AC25+Z1_Equipment_Calculations!AF25</f>
        <v>0</v>
      </c>
      <c r="D15" s="48">
        <f>Z1_Equipment_Calculations!AJ25</f>
        <v>0</v>
      </c>
      <c r="E15" s="48">
        <f>Z1_Equipment_Calculations!AM25</f>
        <v>0</v>
      </c>
      <c r="F15" s="53">
        <f t="shared" si="0"/>
        <v>0</v>
      </c>
      <c r="G15" s="62" t="str">
        <f>IF(Machine!$B25&gt;0,B15/Machine!$B25," ")</f>
        <v xml:space="preserve"> </v>
      </c>
      <c r="H15" s="48" t="str">
        <f>IF(Machine!$B25&gt;0,C15/Machine!$B25," ")</f>
        <v xml:space="preserve"> </v>
      </c>
      <c r="I15" s="48" t="str">
        <f>IF(Machine!$B25&gt;0,D15/Machine!$B25," ")</f>
        <v xml:space="preserve"> </v>
      </c>
      <c r="J15" s="48" t="str">
        <f>IF(Machine!$B25&gt;0,E15/Machine!$B25," ")</f>
        <v xml:space="preserve"> </v>
      </c>
      <c r="K15" s="53" t="str">
        <f>IF(Machine!$B25&gt;0,F15/Machine!$B25," ")</f>
        <v xml:space="preserve"> </v>
      </c>
      <c r="L15" s="640"/>
      <c r="M15" s="1367"/>
    </row>
    <row r="16" spans="1:13" ht="13.15" x14ac:dyDescent="0.4">
      <c r="A16" s="55" t="str">
        <f>Machine!A26</f>
        <v>Turbo Tiller</v>
      </c>
      <c r="B16" s="62">
        <f>Z1_Equipment_Calculations!Z26</f>
        <v>0</v>
      </c>
      <c r="C16" s="48">
        <f>Z1_Equipment_Calculations!AC26+Z1_Equipment_Calculations!AF26</f>
        <v>0</v>
      </c>
      <c r="D16" s="48">
        <f>Z1_Equipment_Calculations!AJ26</f>
        <v>0</v>
      </c>
      <c r="E16" s="48">
        <f>Z1_Equipment_Calculations!AM26</f>
        <v>0</v>
      </c>
      <c r="F16" s="53">
        <f>SUM(B16:E16)</f>
        <v>0</v>
      </c>
      <c r="G16" s="62" t="str">
        <f>IF(Machine!$B26&gt;0,B16/Machine!$B26," ")</f>
        <v xml:space="preserve"> </v>
      </c>
      <c r="H16" s="48" t="str">
        <f>IF(Machine!$B26&gt;0,C16/Machine!$B26," ")</f>
        <v xml:space="preserve"> </v>
      </c>
      <c r="I16" s="48" t="str">
        <f>IF(Machine!$B26&gt;0,D16/Machine!$B26," ")</f>
        <v xml:space="preserve"> </v>
      </c>
      <c r="J16" s="48" t="str">
        <f>IF(Machine!$B26&gt;0,E16/Machine!$B26," ")</f>
        <v xml:space="preserve"> </v>
      </c>
      <c r="K16" s="53" t="str">
        <f>IF(Machine!$B26&gt;0,F16/Machine!$B26," ")</f>
        <v xml:space="preserve"> </v>
      </c>
      <c r="L16" s="640">
        <f>Z1_Equipment_Calculations!N26</f>
        <v>20.363636363636363</v>
      </c>
      <c r="M16" s="641">
        <f>Z1_Equipment_Calculations!O26</f>
        <v>4.9107142857142856E-2</v>
      </c>
    </row>
    <row r="17" spans="1:13" ht="13.15" x14ac:dyDescent="0.4">
      <c r="A17" s="55" t="str">
        <f>Machine!A27</f>
        <v>Rotary Harrow (ex. Phillips)</v>
      </c>
      <c r="B17" s="62">
        <f>Z1_Equipment_Calculations!Z27</f>
        <v>0</v>
      </c>
      <c r="C17" s="48">
        <f>Z1_Equipment_Calculations!AC27+Z1_Equipment_Calculations!AF27</f>
        <v>0</v>
      </c>
      <c r="D17" s="48">
        <f>Z1_Equipment_Calculations!AJ27</f>
        <v>0</v>
      </c>
      <c r="E17" s="48">
        <f>Z1_Equipment_Calculations!AM27</f>
        <v>0</v>
      </c>
      <c r="F17" s="53">
        <f>SUM(B17:E17)</f>
        <v>0</v>
      </c>
      <c r="G17" s="62" t="str">
        <f>IF(Machine!$B27&gt;0,B17/Machine!$B27," ")</f>
        <v xml:space="preserve"> </v>
      </c>
      <c r="H17" s="48" t="str">
        <f>IF(Machine!$B27&gt;0,C17/Machine!$B27," ")</f>
        <v xml:space="preserve"> </v>
      </c>
      <c r="I17" s="48" t="str">
        <f>IF(Machine!$B27&gt;0,D17/Machine!$B27," ")</f>
        <v xml:space="preserve"> </v>
      </c>
      <c r="J17" s="48" t="str">
        <f>IF(Machine!$B27&gt;0,E17/Machine!$B27," ")</f>
        <v xml:space="preserve"> </v>
      </c>
      <c r="K17" s="53" t="str">
        <f>IF(Machine!$B27&gt;0,F17/Machine!$B27," ")</f>
        <v xml:space="preserve"> </v>
      </c>
      <c r="L17" s="640">
        <f>Z1_Equipment_Calculations!N27</f>
        <v>30.545454545454547</v>
      </c>
      <c r="M17" s="641">
        <f>Z1_Equipment_Calculations!O27</f>
        <v>3.273809523809524E-2</v>
      </c>
    </row>
    <row r="18" spans="1:13" ht="13.15" x14ac:dyDescent="0.4">
      <c r="A18" s="55" t="str">
        <f>Machine!A28</f>
        <v>Field Cultivator</v>
      </c>
      <c r="B18" s="62">
        <f>Z1_Equipment_Calculations!Z28</f>
        <v>0</v>
      </c>
      <c r="C18" s="48">
        <f>Z1_Equipment_Calculations!AC28+Z1_Equipment_Calculations!AF28</f>
        <v>0</v>
      </c>
      <c r="D18" s="48">
        <f>Z1_Equipment_Calculations!AJ28</f>
        <v>0</v>
      </c>
      <c r="E18" s="48">
        <f>Z1_Equipment_Calculations!AM28</f>
        <v>0</v>
      </c>
      <c r="F18" s="53">
        <f t="shared" si="0"/>
        <v>0</v>
      </c>
      <c r="G18" s="62" t="str">
        <f>IF(Machine!$B28&gt;0,B18/Machine!$B28," ")</f>
        <v xml:space="preserve"> </v>
      </c>
      <c r="H18" s="48" t="str">
        <f>IF(Machine!$B28&gt;0,C18/Machine!$B28," ")</f>
        <v xml:space="preserve"> </v>
      </c>
      <c r="I18" s="48" t="str">
        <f>IF(Machine!$B28&gt;0,D18/Machine!$B28," ")</f>
        <v xml:space="preserve"> </v>
      </c>
      <c r="J18" s="48" t="str">
        <f>IF(Machine!$B28&gt;0,E18/Machine!$B28," ")</f>
        <v xml:space="preserve"> </v>
      </c>
      <c r="K18" s="53" t="str">
        <f>IF(Machine!$B28&gt;0,F18/Machine!$B28," ")</f>
        <v xml:space="preserve"> </v>
      </c>
      <c r="L18" s="640">
        <f>Z1_Equipment_Calculations!N28</f>
        <v>30.290909090909093</v>
      </c>
      <c r="M18" s="641">
        <f>Z1_Equipment_Calculations!O28</f>
        <v>3.3013205282112844E-2</v>
      </c>
    </row>
    <row r="19" spans="1:13" ht="13.15" x14ac:dyDescent="0.4">
      <c r="A19" s="55" t="str">
        <f>Machine!A29</f>
        <v>Row Crop Cultivator, Row Middles</v>
      </c>
      <c r="B19" s="62">
        <f>Z1_Equipment_Calculations!Z29</f>
        <v>4.9857054040011874</v>
      </c>
      <c r="C19" s="48">
        <f>Z1_Equipment_Calculations!AC29+Z1_Equipment_Calculations!AF29</f>
        <v>0.45171120485025068</v>
      </c>
      <c r="D19" s="48">
        <f>Z1_Equipment_Calculations!AJ29</f>
        <v>0.96515695488721776</v>
      </c>
      <c r="E19" s="48">
        <f>Z1_Equipment_Calculations!AM29</f>
        <v>0.59793890977443598</v>
      </c>
      <c r="F19" s="53">
        <f>SUM(B19:E19)</f>
        <v>7.0005124735130924</v>
      </c>
      <c r="G19" s="62">
        <f>IF(Machine!$B29&gt;0,B19/Machine!$B29," ")</f>
        <v>4.9857054040011874</v>
      </c>
      <c r="H19" s="48">
        <f>IF(Machine!$B29&gt;0,C19/Machine!$B29," ")</f>
        <v>0.45171120485025068</v>
      </c>
      <c r="I19" s="48">
        <f>IF(Machine!$B29&gt;0,D19/Machine!$B29," ")</f>
        <v>0.96515695488721776</v>
      </c>
      <c r="J19" s="48">
        <f>IF(Machine!$B29&gt;0,E19/Machine!$B29," ")</f>
        <v>0.59793890977443598</v>
      </c>
      <c r="K19" s="53">
        <f>IF(Machine!$B29&gt;0,F19/Machine!$B29," ")</f>
        <v>7.0005124735130924</v>
      </c>
      <c r="L19" s="640">
        <f>Z1_Equipment_Calculations!N29</f>
        <v>25.793939393939397</v>
      </c>
      <c r="M19" s="641">
        <f>Z1_Equipment_Calculations!O29</f>
        <v>3.8768796992481196E-2</v>
      </c>
    </row>
    <row r="20" spans="1:13" ht="13.15" x14ac:dyDescent="0.4">
      <c r="A20" s="55" t="str">
        <f>Machine!A30</f>
        <v>Sprayer, Tractor Mounted (ft)</v>
      </c>
      <c r="B20" s="62">
        <f>Z1_Equipment_Calculations!Z30</f>
        <v>0</v>
      </c>
      <c r="C20" s="48">
        <f>Z1_Equipment_Calculations!AC30+Z1_Equipment_Calculations!AF30</f>
        <v>0</v>
      </c>
      <c r="D20" s="48">
        <f>Z1_Equipment_Calculations!AJ30</f>
        <v>0</v>
      </c>
      <c r="E20" s="48">
        <f>Z1_Equipment_Calculations!AM30</f>
        <v>0</v>
      </c>
      <c r="F20" s="53">
        <f t="shared" ref="F20:F41" si="1">SUM(B20:E20)</f>
        <v>0</v>
      </c>
      <c r="G20" s="62" t="str">
        <f>IF(Machine!$B30&gt;0,B20/Machine!$B30," ")</f>
        <v xml:space="preserve"> </v>
      </c>
      <c r="H20" s="48" t="str">
        <f>IF(Machine!$B30&gt;0,C20/Machine!$B30," ")</f>
        <v xml:space="preserve"> </v>
      </c>
      <c r="I20" s="48" t="str">
        <f>IF(Machine!$B30&gt;0,D20/Machine!$B30," ")</f>
        <v xml:space="preserve"> </v>
      </c>
      <c r="J20" s="48" t="str">
        <f>IF(Machine!$B30&gt;0,E20/Machine!$B30," ")</f>
        <v xml:space="preserve"> </v>
      </c>
      <c r="K20" s="53" t="str">
        <f>IF(Machine!$B30&gt;0,F20/Machine!$B30," ")</f>
        <v xml:space="preserve"> </v>
      </c>
      <c r="L20" s="640">
        <f>Z1_Equipment_Calculations!N30</f>
        <v>56.727272727272727</v>
      </c>
      <c r="M20" s="641">
        <f>Z1_Equipment_Calculations!O30</f>
        <v>1.7628205128205128E-2</v>
      </c>
    </row>
    <row r="21" spans="1:13" ht="13.15" x14ac:dyDescent="0.4">
      <c r="A21" s="55" t="str">
        <f>Machine!A31</f>
        <v>Sprayer, Tractor Mounted (row)</v>
      </c>
      <c r="B21" s="62">
        <f>Z1_Equipment_Calculations!Z31</f>
        <v>0</v>
      </c>
      <c r="C21" s="48">
        <f>Z1_Equipment_Calculations!AC31+Z1_Equipment_Calculations!AF31</f>
        <v>0</v>
      </c>
      <c r="D21" s="48">
        <f>Z1_Equipment_Calculations!AJ31</f>
        <v>0</v>
      </c>
      <c r="E21" s="48">
        <f>Z1_Equipment_Calculations!AM31</f>
        <v>0</v>
      </c>
      <c r="F21" s="53">
        <f t="shared" si="1"/>
        <v>0</v>
      </c>
      <c r="G21" s="62" t="str">
        <f>IF(Machine!$B31&gt;0,B21/Machine!$B31," ")</f>
        <v xml:space="preserve"> </v>
      </c>
      <c r="H21" s="48" t="str">
        <f>IF(Machine!$B31&gt;0,C21/Machine!$B31," ")</f>
        <v xml:space="preserve"> </v>
      </c>
      <c r="I21" s="48" t="str">
        <f>IF(Machine!$B31&gt;0,D21/Machine!$B31," ")</f>
        <v xml:space="preserve"> </v>
      </c>
      <c r="J21" s="48" t="str">
        <f>IF(Machine!$B31&gt;0,E21/Machine!$B31," ")</f>
        <v xml:space="preserve"> </v>
      </c>
      <c r="K21" s="53" t="str">
        <f>IF(Machine!$B31&gt;0,F21/Machine!$B31," ")</f>
        <v xml:space="preserve"> </v>
      </c>
      <c r="L21" s="640">
        <f>Z1_Equipment_Calculations!N31</f>
        <v>35.927272727272729</v>
      </c>
      <c r="M21" s="641">
        <f>Z1_Equipment_Calculations!O31</f>
        <v>2.7834008097165991E-2</v>
      </c>
    </row>
    <row r="22" spans="1:13" ht="13.15" x14ac:dyDescent="0.4">
      <c r="A22" s="55" t="str">
        <f>Machine!A32</f>
        <v>Land Plane</v>
      </c>
      <c r="B22" s="62">
        <f>Z1_Equipment_Calculations!Z32</f>
        <v>0</v>
      </c>
      <c r="C22" s="48">
        <f>Z1_Equipment_Calculations!AC32+Z1_Equipment_Calculations!AF32</f>
        <v>0</v>
      </c>
      <c r="D22" s="48">
        <f>Z1_Equipment_Calculations!AJ32</f>
        <v>0</v>
      </c>
      <c r="E22" s="48">
        <f>Z1_Equipment_Calculations!AM32</f>
        <v>0</v>
      </c>
      <c r="F22" s="53">
        <f t="shared" si="1"/>
        <v>0</v>
      </c>
      <c r="G22" s="62" t="str">
        <f>IF(Machine!$B32&gt;0,B22/Machine!$B32," ")</f>
        <v xml:space="preserve"> </v>
      </c>
      <c r="H22" s="48" t="str">
        <f>IF(Machine!$B32&gt;0,C22/Machine!$B32," ")</f>
        <v xml:space="preserve"> </v>
      </c>
      <c r="I22" s="48" t="str">
        <f>IF(Machine!$B32&gt;0,D22/Machine!$B32," ")</f>
        <v xml:space="preserve"> </v>
      </c>
      <c r="J22" s="48" t="str">
        <f>IF(Machine!$B32&gt;0,E22/Machine!$B32," ")</f>
        <v xml:space="preserve"> </v>
      </c>
      <c r="K22" s="53" t="str">
        <f>IF(Machine!$B32&gt;0,F22/Machine!$B32," ")</f>
        <v xml:space="preserve"> </v>
      </c>
      <c r="L22" s="640">
        <f>Z1_Equipment_Calculations!N32</f>
        <v>14.887878787878789</v>
      </c>
      <c r="M22" s="641">
        <f>Z1_Equipment_Calculations!O32</f>
        <v>6.7168736006513324E-2</v>
      </c>
    </row>
    <row r="23" spans="1:13" ht="13.15" x14ac:dyDescent="0.4">
      <c r="A23" s="55" t="str">
        <f>Machine!A33</f>
        <v>Fertilizer, Broadcast Spreader</v>
      </c>
      <c r="B23" s="62">
        <f>Z1_Equipment_Calculations!Z33</f>
        <v>0</v>
      </c>
      <c r="C23" s="48">
        <f>Z1_Equipment_Calculations!AC33+Z1_Equipment_Calculations!AF33</f>
        <v>0</v>
      </c>
      <c r="D23" s="48">
        <f>Z1_Equipment_Calculations!AJ33</f>
        <v>0</v>
      </c>
      <c r="E23" s="48">
        <f>Z1_Equipment_Calculations!AM33</f>
        <v>0</v>
      </c>
      <c r="F23" s="53">
        <f t="shared" si="1"/>
        <v>0</v>
      </c>
      <c r="G23" s="62" t="str">
        <f>IF(Machine!$B33&gt;0,B23/Machine!$B33," ")</f>
        <v xml:space="preserve"> </v>
      </c>
      <c r="H23" s="48" t="str">
        <f>IF(Machine!$B33&gt;0,C23/Machine!$B33," ")</f>
        <v xml:space="preserve"> </v>
      </c>
      <c r="I23" s="48" t="str">
        <f>IF(Machine!$B33&gt;0,D23/Machine!$B33," ")</f>
        <v xml:space="preserve"> </v>
      </c>
      <c r="J23" s="48" t="str">
        <f>IF(Machine!$B33&gt;0,E23/Machine!$B33," ")</f>
        <v xml:space="preserve"> </v>
      </c>
      <c r="K23" s="53" t="str">
        <f>IF(Machine!$B33&gt;0,F23/Machine!$B33," ")</f>
        <v xml:space="preserve"> </v>
      </c>
      <c r="L23" s="640">
        <f>Z1_Equipment_Calculations!N33</f>
        <v>25.454545454545453</v>
      </c>
      <c r="M23" s="641">
        <f>Z1_Equipment_Calculations!O33</f>
        <v>3.9285714285714285E-2</v>
      </c>
    </row>
    <row r="24" spans="1:13" ht="13.15" x14ac:dyDescent="0.4">
      <c r="A24" s="55" t="str">
        <f>Machine!A34</f>
        <v>Do All, Seedbed Finisher</v>
      </c>
      <c r="B24" s="62">
        <f>Z1_Equipment_Calculations!Z34</f>
        <v>4.1824183654847626</v>
      </c>
      <c r="C24" s="48">
        <f>Z1_Equipment_Calculations!AC34+Z1_Equipment_Calculations!AF34</f>
        <v>0.5321405183449972</v>
      </c>
      <c r="D24" s="48">
        <f>Z1_Equipment_Calculations!AJ34</f>
        <v>0.90838301636444041</v>
      </c>
      <c r="E24" s="48">
        <f>Z1_Equipment_Calculations!AM34</f>
        <v>0.56276603272888104</v>
      </c>
      <c r="F24" s="53">
        <f t="shared" si="1"/>
        <v>6.1857079329230809</v>
      </c>
      <c r="G24" s="62">
        <f>IF(Machine!$B34&gt;0,B24/Machine!$B34," ")</f>
        <v>4.1824183654847626</v>
      </c>
      <c r="H24" s="48">
        <f>IF(Machine!$B34&gt;0,C24/Machine!$B34," ")</f>
        <v>0.5321405183449972</v>
      </c>
      <c r="I24" s="48">
        <f>IF(Machine!$B34&gt;0,D24/Machine!$B34," ")</f>
        <v>0.90838301636444041</v>
      </c>
      <c r="J24" s="48">
        <f>IF(Machine!$B34&gt;0,E24/Machine!$B34," ")</f>
        <v>0.56276603272888104</v>
      </c>
      <c r="K24" s="53">
        <f>IF(Machine!$B34&gt;0,F24/Machine!$B34," ")</f>
        <v>6.1857079329230809</v>
      </c>
      <c r="L24" s="640">
        <f>Z1_Equipment_Calculations!N34</f>
        <v>27.406060606060606</v>
      </c>
      <c r="M24" s="641">
        <f>Z1_Equipment_Calculations!O34</f>
        <v>3.648827952233525E-2</v>
      </c>
    </row>
    <row r="25" spans="1:13" ht="13.15" x14ac:dyDescent="0.4">
      <c r="A25" s="55" t="str">
        <f>Machine!A35</f>
        <v>Planter</v>
      </c>
      <c r="B25" s="62">
        <f>Z1_Equipment_Calculations!Z35</f>
        <v>9.5302699588514628</v>
      </c>
      <c r="C25" s="48">
        <f>Z1_Equipment_Calculations!AC35+Z1_Equipment_Calculations!AF35</f>
        <v>2.554164181520203</v>
      </c>
      <c r="D25" s="48">
        <f>Z1_Equipment_Calculations!AJ35</f>
        <v>1.2402499999999999</v>
      </c>
      <c r="E25" s="48">
        <f>Z1_Equipment_Calculations!AM35</f>
        <v>1.0108482905982903</v>
      </c>
      <c r="F25" s="53">
        <f t="shared" si="1"/>
        <v>14.335532430969955</v>
      </c>
      <c r="G25" s="62">
        <f>IF(Machine!$B35&gt;0,B25/Machine!$B35," ")</f>
        <v>9.5302699588514628</v>
      </c>
      <c r="H25" s="48">
        <f>IF(Machine!$B35&gt;0,C25/Machine!$B35," ")</f>
        <v>2.554164181520203</v>
      </c>
      <c r="I25" s="48">
        <f>IF(Machine!$B35&gt;0,D25/Machine!$B35," ")</f>
        <v>1.2402499999999999</v>
      </c>
      <c r="J25" s="48">
        <f>IF(Machine!$B35&gt;0,E25/Machine!$B35," ")</f>
        <v>1.0108482905982903</v>
      </c>
      <c r="K25" s="53">
        <f>IF(Machine!$B35&gt;0,F25/Machine!$B35," ")</f>
        <v>14.335532430969955</v>
      </c>
      <c r="L25" s="640">
        <f>Z1_Equipment_Calculations!N35</f>
        <v>17.018181818181819</v>
      </c>
      <c r="M25" s="641">
        <f>Z1_Equipment_Calculations!O35</f>
        <v>5.8760683760683753E-2</v>
      </c>
    </row>
    <row r="26" spans="1:13" ht="13.15" x14ac:dyDescent="0.4">
      <c r="A26" s="55" t="str">
        <f>Machine!A36</f>
        <v>Planter Twin Row</v>
      </c>
      <c r="B26" s="62">
        <f>Z1_Equipment_Calculations!Z36</f>
        <v>0</v>
      </c>
      <c r="C26" s="48">
        <f>Z1_Equipment_Calculations!AC36+Z1_Equipment_Calculations!AF36</f>
        <v>0</v>
      </c>
      <c r="D26" s="48">
        <f>Z1_Equipment_Calculations!AJ36</f>
        <v>0</v>
      </c>
      <c r="E26" s="48">
        <f>Z1_Equipment_Calculations!AM36</f>
        <v>0</v>
      </c>
      <c r="F26" s="53">
        <f t="shared" si="1"/>
        <v>0</v>
      </c>
      <c r="G26" s="62" t="str">
        <f>IF(Machine!$B36&gt;0,B26/Machine!$B36," ")</f>
        <v xml:space="preserve"> </v>
      </c>
      <c r="H26" s="48" t="str">
        <f>IF(Machine!$B36&gt;0,C26/Machine!$B36," ")</f>
        <v xml:space="preserve"> </v>
      </c>
      <c r="I26" s="48" t="str">
        <f>IF(Machine!$B36&gt;0,D26/Machine!$B36," ")</f>
        <v xml:space="preserve"> </v>
      </c>
      <c r="J26" s="48" t="str">
        <f>IF(Machine!$B36&gt;0,E26/Machine!$B36," ")</f>
        <v xml:space="preserve"> </v>
      </c>
      <c r="K26" s="53" t="str">
        <f>IF(Machine!$B36&gt;0,F26/Machine!$B36," ")</f>
        <v xml:space="preserve"> </v>
      </c>
      <c r="L26" s="640">
        <f>Z1_Equipment_Calculations!N36</f>
        <v>17.018181818181819</v>
      </c>
      <c r="M26" s="641">
        <f>Z1_Equipment_Calculations!O36</f>
        <v>5.8760683760683753E-2</v>
      </c>
    </row>
    <row r="27" spans="1:13" ht="13.15" x14ac:dyDescent="0.4">
      <c r="A27" s="55" t="str">
        <f>Machine!A37</f>
        <v>Plant Grain Drill</v>
      </c>
      <c r="B27" s="62">
        <f>Z1_Equipment_Calculations!Z37</f>
        <v>0</v>
      </c>
      <c r="C27" s="48">
        <f>Z1_Equipment_Calculations!AC37+Z1_Equipment_Calculations!AF37</f>
        <v>0</v>
      </c>
      <c r="D27" s="48">
        <f>Z1_Equipment_Calculations!AJ37</f>
        <v>0</v>
      </c>
      <c r="E27" s="48">
        <f>Z1_Equipment_Calculations!AM37</f>
        <v>0</v>
      </c>
      <c r="F27" s="53">
        <f t="shared" si="1"/>
        <v>0</v>
      </c>
      <c r="G27" s="62" t="str">
        <f>IF(Machine!$B37&gt;0,B27/Machine!$B37," ")</f>
        <v xml:space="preserve"> </v>
      </c>
      <c r="H27" s="48" t="str">
        <f>IF(Machine!$B37&gt;0,C27/Machine!$B37," ")</f>
        <v xml:space="preserve"> </v>
      </c>
      <c r="I27" s="48" t="str">
        <f>IF(Machine!$B37&gt;0,D27/Machine!$B37," ")</f>
        <v xml:space="preserve"> </v>
      </c>
      <c r="J27" s="48" t="str">
        <f>IF(Machine!$B37&gt;0,E27/Machine!$B37," ")</f>
        <v xml:space="preserve"> </v>
      </c>
      <c r="K27" s="53" t="str">
        <f>IF(Machine!$B37&gt;0,F27/Machine!$B37," ")</f>
        <v xml:space="preserve"> </v>
      </c>
      <c r="L27" s="640">
        <f>Z1_Equipment_Calculations!N37</f>
        <v>13.999999999999998</v>
      </c>
      <c r="M27" s="641">
        <f>Z1_Equipment_Calculations!O37</f>
        <v>7.1428571428571438E-2</v>
      </c>
    </row>
    <row r="28" spans="1:13" ht="13.15" x14ac:dyDescent="0.4">
      <c r="A28" s="55" t="str">
        <f>Machine!A38</f>
        <v>Plant No-Till Air Drill</v>
      </c>
      <c r="B28" s="62">
        <f>Z1_Equipment_Calculations!Z38</f>
        <v>0</v>
      </c>
      <c r="C28" s="48">
        <f>Z1_Equipment_Calculations!AC38+Z1_Equipment_Calculations!AF38</f>
        <v>0</v>
      </c>
      <c r="D28" s="48">
        <f>Z1_Equipment_Calculations!AJ38</f>
        <v>0</v>
      </c>
      <c r="E28" s="48">
        <f>Z1_Equipment_Calculations!AM38</f>
        <v>0</v>
      </c>
      <c r="F28" s="53">
        <f t="shared" si="1"/>
        <v>0</v>
      </c>
      <c r="G28" s="62" t="str">
        <f>IF(Machine!$B38&gt;0,B28/Machine!$B38," ")</f>
        <v xml:space="preserve"> </v>
      </c>
      <c r="H28" s="48" t="str">
        <f>IF(Machine!$B38&gt;0,C28/Machine!$B38," ")</f>
        <v xml:space="preserve"> </v>
      </c>
      <c r="I28" s="48" t="str">
        <f>IF(Machine!$B38&gt;0,D28/Machine!$B38," ")</f>
        <v xml:space="preserve"> </v>
      </c>
      <c r="J28" s="48" t="str">
        <f>IF(Machine!$B38&gt;0,E28/Machine!$B38," ")</f>
        <v xml:space="preserve"> </v>
      </c>
      <c r="K28" s="53" t="str">
        <f>IF(Machine!$B38&gt;0,F28/Machine!$B38," ")</f>
        <v xml:space="preserve"> </v>
      </c>
      <c r="L28" s="640">
        <f>Z1_Equipment_Calculations!N38</f>
        <v>24.945454545454542</v>
      </c>
      <c r="M28" s="641">
        <f>Z1_Equipment_Calculations!O38</f>
        <v>4.0087463556851319E-2</v>
      </c>
    </row>
    <row r="29" spans="1:13" ht="13.15" x14ac:dyDescent="0.4">
      <c r="A29" s="55" t="str">
        <f>Machine!A39</f>
        <v>Liquid Fertilizer Applicator</v>
      </c>
      <c r="B29" s="62">
        <f>Z1_Equipment_Calculations!Z39</f>
        <v>0</v>
      </c>
      <c r="C29" s="48">
        <f>Z1_Equipment_Calculations!AC39+Z1_Equipment_Calculations!AF39</f>
        <v>0</v>
      </c>
      <c r="D29" s="48">
        <f>Z1_Equipment_Calculations!AJ39</f>
        <v>0</v>
      </c>
      <c r="E29" s="48">
        <f>Z1_Equipment_Calculations!AM39</f>
        <v>0</v>
      </c>
      <c r="F29" s="53">
        <f t="shared" si="1"/>
        <v>0</v>
      </c>
      <c r="G29" s="62" t="str">
        <f>IF(Machine!$B39&gt;0,B29/Machine!$B39," ")</f>
        <v xml:space="preserve"> </v>
      </c>
      <c r="H29" s="48" t="str">
        <f>IF(Machine!$B39&gt;0,C29/Machine!$B39," ")</f>
        <v xml:space="preserve"> </v>
      </c>
      <c r="I29" s="48" t="str">
        <f>IF(Machine!$B39&gt;0,D29/Machine!$B39," ")</f>
        <v xml:space="preserve"> </v>
      </c>
      <c r="J29" s="48" t="str">
        <f>IF(Machine!$B39&gt;0,E29/Machine!$B39," ")</f>
        <v xml:space="preserve"> </v>
      </c>
      <c r="K29" s="53" t="str">
        <f>IF(Machine!$B39&gt;0,F29/Machine!$B39," ")</f>
        <v xml:space="preserve"> </v>
      </c>
      <c r="L29" s="640">
        <f>Z1_Equipment_Calculations!N39</f>
        <v>29.939393939393938</v>
      </c>
      <c r="M29" s="641">
        <f>Z1_Equipment_Calculations!O39</f>
        <v>3.3400809716599193E-2</v>
      </c>
    </row>
    <row r="30" spans="1:13" ht="13.15" x14ac:dyDescent="0.4">
      <c r="A30" s="55" t="str">
        <f>Machine!A40</f>
        <v>Fertilizer, Knife Rig 12 Row</v>
      </c>
      <c r="B30" s="62">
        <f>Z1_Equipment_Calculations!Z40</f>
        <v>0</v>
      </c>
      <c r="C30" s="48">
        <f>Z1_Equipment_Calculations!AC40+Z1_Equipment_Calculations!AF40</f>
        <v>0</v>
      </c>
      <c r="D30" s="48">
        <f>Z1_Equipment_Calculations!AJ40</f>
        <v>0</v>
      </c>
      <c r="E30" s="48">
        <f>Z1_Equipment_Calculations!AM40</f>
        <v>0</v>
      </c>
      <c r="F30" s="53">
        <f t="shared" si="1"/>
        <v>0</v>
      </c>
      <c r="G30" s="62" t="str">
        <f>IF(Machine!$B40&gt;0,B30/Machine!$B40," ")</f>
        <v xml:space="preserve"> </v>
      </c>
      <c r="H30" s="48" t="str">
        <f>IF(Machine!$B40&gt;0,C30/Machine!$B40," ")</f>
        <v xml:space="preserve"> </v>
      </c>
      <c r="I30" s="48" t="str">
        <f>IF(Machine!$B40&gt;0,D30/Machine!$B40," ")</f>
        <v xml:space="preserve"> </v>
      </c>
      <c r="J30" s="48" t="str">
        <f>IF(Machine!$B40&gt;0,E30/Machine!$B40," ")</f>
        <v xml:space="preserve"> </v>
      </c>
      <c r="K30" s="53" t="str">
        <f>IF(Machine!$B40&gt;0,F30/Machine!$B40," ")</f>
        <v xml:space="preserve"> </v>
      </c>
      <c r="L30" s="640">
        <f>Z1_Equipment_Calculations!N40</f>
        <v>20.957575757575757</v>
      </c>
      <c r="M30" s="641">
        <f>Z1_Equipment_Calculations!O40</f>
        <v>4.7715442452284561E-2</v>
      </c>
    </row>
    <row r="31" spans="1:13" ht="13.15" x14ac:dyDescent="0.4">
      <c r="A31" s="55" t="str">
        <f>Machine!A41</f>
        <v>Polypipe; Roll Out, Punch, Take Up</v>
      </c>
      <c r="B31" s="62">
        <f>Z1_Equipment_Calculations!Z41</f>
        <v>4.7865266981306949</v>
      </c>
      <c r="C31" s="48">
        <f>Z1_Equipment_Calculations!AC41+Z1_Equipment_Calculations!AF41</f>
        <v>0.2409194160502762</v>
      </c>
      <c r="D31" s="48">
        <f>Z1_Equipment_Calculations!AJ41</f>
        <v>0.94578731745646449</v>
      </c>
      <c r="E31" s="48">
        <f>Z1_Equipment_Calculations!AM41</f>
        <v>2.3102735119725284</v>
      </c>
      <c r="F31" s="53">
        <f t="shared" si="1"/>
        <v>8.2835069436099644</v>
      </c>
      <c r="G31" s="62">
        <f>IF(Machine!$B41&gt;0,B31/Machine!$B41," ")</f>
        <v>4.7865266981306949</v>
      </c>
      <c r="H31" s="48">
        <f>IF(Machine!$B41&gt;0,C31/Machine!$B41," ")</f>
        <v>0.2409194160502762</v>
      </c>
      <c r="I31" s="48">
        <f>IF(Machine!$B41&gt;0,D31/Machine!$B41," ")</f>
        <v>0.94578731745646449</v>
      </c>
      <c r="J31" s="48">
        <f>IF(Machine!$B41&gt;0,E31/Machine!$B41," ")</f>
        <v>2.3102735119725284</v>
      </c>
      <c r="K31" s="53">
        <f>IF(Machine!$B41&gt;0,F31/Machine!$B41," ")</f>
        <v>8.2835069436099644</v>
      </c>
      <c r="L31" s="640">
        <f>Z1_Equipment_Calculations!N41</f>
        <v>20.027758514399739</v>
      </c>
      <c r="M31" s="641">
        <f>Z1_Equipment_Calculations!O41</f>
        <v>4.9930699897395452E-2</v>
      </c>
    </row>
    <row r="32" spans="1:13" ht="13.15" x14ac:dyDescent="0.4">
      <c r="A32" s="55" t="str">
        <f>Machine!A42</f>
        <v>Hooded Sprayer</v>
      </c>
      <c r="B32" s="62">
        <f>Z1_Equipment_Calculations!Z42</f>
        <v>0</v>
      </c>
      <c r="C32" s="48">
        <f>Z1_Equipment_Calculations!AC42+Z1_Equipment_Calculations!AF42</f>
        <v>0</v>
      </c>
      <c r="D32" s="48">
        <f>Z1_Equipment_Calculations!AJ42</f>
        <v>0</v>
      </c>
      <c r="E32" s="48">
        <f>Z1_Equipment_Calculations!AM42</f>
        <v>0</v>
      </c>
      <c r="F32" s="53">
        <f t="shared" si="1"/>
        <v>0</v>
      </c>
      <c r="G32" s="62" t="str">
        <f>IF(Machine!$B42&gt;0,B32/Machine!$B42," ")</f>
        <v xml:space="preserve"> </v>
      </c>
      <c r="H32" s="48" t="str">
        <f>IF(Machine!$B42&gt;0,C32/Machine!$B42," ")</f>
        <v xml:space="preserve"> </v>
      </c>
      <c r="I32" s="48" t="str">
        <f>IF(Machine!$B42&gt;0,D32/Machine!$B42," ")</f>
        <v xml:space="preserve"> </v>
      </c>
      <c r="J32" s="48" t="str">
        <f>IF(Machine!$B42&gt;0,E32/Machine!$B42," ")</f>
        <v xml:space="preserve"> </v>
      </c>
      <c r="K32" s="53" t="str">
        <f>IF(Machine!$B42&gt;0,F32/Machine!$B42," ")</f>
        <v xml:space="preserve"> </v>
      </c>
      <c r="L32" s="640">
        <f>Z1_Equipment_Calculations!N42</f>
        <v>20.957575757575757</v>
      </c>
      <c r="M32" s="641">
        <f>Z1_Equipment_Calculations!O42</f>
        <v>4.7715442452284561E-2</v>
      </c>
    </row>
    <row r="33" spans="1:13" ht="13.15" x14ac:dyDescent="0.4">
      <c r="A33" s="55" t="str">
        <f>Machine!A43</f>
        <v>Levee Pull</v>
      </c>
      <c r="B33" s="62">
        <f>Z1_Equipment_Calculations!Z43</f>
        <v>0</v>
      </c>
      <c r="C33" s="48">
        <f>Z1_Equipment_Calculations!AC43+Z1_Equipment_Calculations!AF43</f>
        <v>0</v>
      </c>
      <c r="D33" s="48">
        <f>Z1_Equipment_Calculations!AJ43</f>
        <v>0</v>
      </c>
      <c r="E33" s="48">
        <f>Z1_Equipment_Calculations!AM43</f>
        <v>0</v>
      </c>
      <c r="F33" s="53">
        <f t="shared" si="1"/>
        <v>0</v>
      </c>
      <c r="G33" s="62" t="str">
        <f>IF(Machine!$B43&gt;0,B33/Machine!$B43," ")</f>
        <v xml:space="preserve"> </v>
      </c>
      <c r="H33" s="48" t="str">
        <f>IF(Machine!$B43&gt;0,C33/Machine!$B43," ")</f>
        <v xml:space="preserve"> </v>
      </c>
      <c r="I33" s="48" t="str">
        <f>IF(Machine!$B43&gt;0,D33/Machine!$B43," ")</f>
        <v xml:space="preserve"> </v>
      </c>
      <c r="J33" s="48" t="str">
        <f>IF(Machine!$B43&gt;0,E33/Machine!$B43," ")</f>
        <v xml:space="preserve"> </v>
      </c>
      <c r="K33" s="53" t="str">
        <f>IF(Machine!$B43&gt;0,F33/Machine!$B43," ")</f>
        <v xml:space="preserve"> </v>
      </c>
      <c r="L33" s="640">
        <f>Z1_Equipment_Calculations!N43</f>
        <v>79.056941504209476</v>
      </c>
      <c r="M33" s="641">
        <f>Z1_Equipment_Calculations!O43</f>
        <v>1.2649110640673519E-2</v>
      </c>
    </row>
    <row r="34" spans="1:13" ht="13.15" x14ac:dyDescent="0.4">
      <c r="A34" s="55" t="str">
        <f>Machine!A44</f>
        <v>Levee Pull, Planter/Incorporate</v>
      </c>
      <c r="B34" s="62">
        <f>Z1_Equipment_Calculations!Z44</f>
        <v>0</v>
      </c>
      <c r="C34" s="48">
        <f>Z1_Equipment_Calculations!AC44+Z1_Equipment_Calculations!AF44</f>
        <v>0</v>
      </c>
      <c r="D34" s="48">
        <f>Z1_Equipment_Calculations!AJ44</f>
        <v>0</v>
      </c>
      <c r="E34" s="48">
        <f>Z1_Equipment_Calculations!AM44</f>
        <v>0</v>
      </c>
      <c r="F34" s="53">
        <f t="shared" si="1"/>
        <v>0</v>
      </c>
      <c r="G34" s="62" t="str">
        <f>IF(Machine!$B44&gt;0,B34/Machine!$B44," ")</f>
        <v xml:space="preserve"> </v>
      </c>
      <c r="H34" s="48" t="str">
        <f>IF(Machine!$B44&gt;0,C34/Machine!$B44," ")</f>
        <v xml:space="preserve"> </v>
      </c>
      <c r="I34" s="48" t="str">
        <f>IF(Machine!$B44&gt;0,D34/Machine!$B44," ")</f>
        <v xml:space="preserve"> </v>
      </c>
      <c r="J34" s="48" t="str">
        <f>IF(Machine!$B44&gt;0,E34/Machine!$B44," ")</f>
        <v xml:space="preserve"> </v>
      </c>
      <c r="K34" s="53" t="str">
        <f>IF(Machine!$B44&gt;0,F34/Machine!$B44," ")</f>
        <v xml:space="preserve"> </v>
      </c>
      <c r="L34" s="640">
        <f>Z1_Equipment_Calculations!N44</f>
        <v>72.732386183872734</v>
      </c>
      <c r="M34" s="641">
        <f>Z1_Equipment_Calculations!O44</f>
        <v>1.3749033305079908E-2</v>
      </c>
    </row>
    <row r="35" spans="1:13" ht="13.15" x14ac:dyDescent="0.4">
      <c r="A35" s="55" t="str">
        <f>Machine!A45</f>
        <v>Levee Roller-Packer-Shaper</v>
      </c>
      <c r="B35" s="62">
        <f>Z1_Equipment_Calculations!Z45</f>
        <v>0</v>
      </c>
      <c r="C35" s="48">
        <f>Z1_Equipment_Calculations!AC45+Z1_Equipment_Calculations!AF45</f>
        <v>0</v>
      </c>
      <c r="D35" s="48">
        <f>Z1_Equipment_Calculations!AJ45</f>
        <v>0</v>
      </c>
      <c r="E35" s="48">
        <f>Z1_Equipment_Calculations!AM45</f>
        <v>0</v>
      </c>
      <c r="F35" s="53">
        <f t="shared" si="1"/>
        <v>0</v>
      </c>
      <c r="G35" s="62" t="str">
        <f>IF(Machine!$B45&gt;0,B35/Machine!$B45," ")</f>
        <v xml:space="preserve"> </v>
      </c>
      <c r="H35" s="48" t="str">
        <f>IF(Machine!$B45&gt;0,C35/Machine!$B45," ")</f>
        <v xml:space="preserve"> </v>
      </c>
      <c r="I35" s="48" t="str">
        <f>IF(Machine!$B45&gt;0,D35/Machine!$B45," ")</f>
        <v xml:space="preserve"> </v>
      </c>
      <c r="J35" s="48" t="str">
        <f>IF(Machine!$B45&gt;0,E35/Machine!$B45," ")</f>
        <v xml:space="preserve"> </v>
      </c>
      <c r="K35" s="53" t="str">
        <f>IF(Machine!$B45&gt;0,F35/Machine!$B45," ")</f>
        <v xml:space="preserve"> </v>
      </c>
      <c r="L35" s="640">
        <f>Z1_Equipment_Calculations!N45</f>
        <v>158.11388300841895</v>
      </c>
      <c r="M35" s="641">
        <f>Z1_Equipment_Calculations!O45</f>
        <v>6.3245553203367597E-3</v>
      </c>
    </row>
    <row r="36" spans="1:13" ht="13.15" x14ac:dyDescent="0.4">
      <c r="A36" s="55" t="str">
        <f>Machine!A46</f>
        <v>Install Gates &amp; Remove</v>
      </c>
      <c r="B36" s="62">
        <f>Z1_Equipment_Calculations!Z46</f>
        <v>0</v>
      </c>
      <c r="C36" s="48">
        <f>Z1_Equipment_Calculations!AC46+Z1_Equipment_Calculations!AF46</f>
        <v>0</v>
      </c>
      <c r="D36" s="48">
        <f>Z1_Equipment_Calculations!AJ46</f>
        <v>0</v>
      </c>
      <c r="E36" s="48">
        <f>Z1_Equipment_Calculations!AM46</f>
        <v>0</v>
      </c>
      <c r="F36" s="53">
        <f t="shared" si="1"/>
        <v>0</v>
      </c>
      <c r="G36" s="62" t="str">
        <f>IF(Machine!$B46&gt;0,B36/Machine!$B46," ")</f>
        <v xml:space="preserve"> </v>
      </c>
      <c r="H36" s="48" t="str">
        <f>IF(Machine!$B46&gt;0,C36/Machine!$B46," ")</f>
        <v xml:space="preserve"> </v>
      </c>
      <c r="I36" s="48" t="str">
        <f>IF(Machine!$B46&gt;0,D36/Machine!$B46," ")</f>
        <v xml:space="preserve"> </v>
      </c>
      <c r="J36" s="48" t="str">
        <f>IF(Machine!$B46&gt;0,E36/Machine!$B46," ")</f>
        <v xml:space="preserve"> </v>
      </c>
      <c r="K36" s="53" t="str">
        <f>IF(Machine!$B46&gt;0,F36/Machine!$B46," ")</f>
        <v xml:space="preserve"> </v>
      </c>
      <c r="L36" s="640">
        <f>Z1_Equipment_Calculations!N46</f>
        <v>52.704627669472984</v>
      </c>
      <c r="M36" s="641">
        <f>Z1_Equipment_Calculations!O46</f>
        <v>1.8973665961010279E-2</v>
      </c>
    </row>
    <row r="37" spans="1:13" ht="13.15" x14ac:dyDescent="0.4">
      <c r="A37" s="55" t="str">
        <f>Machine!A47</f>
        <v>Take Down Levees</v>
      </c>
      <c r="B37" s="62">
        <f>Z1_Equipment_Calculations!Z47</f>
        <v>0</v>
      </c>
      <c r="C37" s="48">
        <f>Z1_Equipment_Calculations!AC47+Z1_Equipment_Calculations!AF47</f>
        <v>0</v>
      </c>
      <c r="D37" s="48">
        <f>Z1_Equipment_Calculations!AJ47</f>
        <v>0</v>
      </c>
      <c r="E37" s="48">
        <f>Z1_Equipment_Calculations!AM47</f>
        <v>0</v>
      </c>
      <c r="F37" s="53">
        <f t="shared" si="1"/>
        <v>0</v>
      </c>
      <c r="G37" s="62" t="str">
        <f>IF(Machine!$B47&gt;0,B37/Machine!$B47," ")</f>
        <v xml:space="preserve"> </v>
      </c>
      <c r="H37" s="48" t="str">
        <f>IF(Machine!$B47&gt;0,C37/Machine!$B47," ")</f>
        <v xml:space="preserve"> </v>
      </c>
      <c r="I37" s="48" t="str">
        <f>IF(Machine!$B47&gt;0,D37/Machine!$B47," ")</f>
        <v xml:space="preserve"> </v>
      </c>
      <c r="J37" s="48" t="str">
        <f>IF(Machine!$B47&gt;0,E37/Machine!$B47," ")</f>
        <v xml:space="preserve"> </v>
      </c>
      <c r="K37" s="53" t="str">
        <f>IF(Machine!$B47&gt;0,F37/Machine!$B47," ")</f>
        <v xml:space="preserve"> </v>
      </c>
      <c r="L37" s="640">
        <f>Z1_Equipment_Calculations!N47</f>
        <v>79.056941504209476</v>
      </c>
      <c r="M37" s="641">
        <f>Z1_Equipment_Calculations!O47</f>
        <v>1.2649110640673519E-2</v>
      </c>
    </row>
    <row r="38" spans="1:13" ht="13.15" x14ac:dyDescent="0.4">
      <c r="A38" s="55" t="str">
        <f>Machine!A48</f>
        <v>Peanut Digger/Inverter</v>
      </c>
      <c r="B38" s="62">
        <f>Z1_Equipment_Calculations!Z48</f>
        <v>0</v>
      </c>
      <c r="C38" s="48">
        <f>Z1_Equipment_Calculations!AC48+Z1_Equipment_Calculations!AF48</f>
        <v>0</v>
      </c>
      <c r="D38" s="48">
        <f>Z1_Equipment_Calculations!AJ48</f>
        <v>0</v>
      </c>
      <c r="E38" s="48">
        <f>Z1_Equipment_Calculations!AM48</f>
        <v>0</v>
      </c>
      <c r="F38" s="53">
        <f>SUM(B38:E38)</f>
        <v>0</v>
      </c>
      <c r="G38" s="62" t="str">
        <f>IF(Machine!$B48&gt;0,B38/Machine!$B48," ")</f>
        <v xml:space="preserve"> </v>
      </c>
      <c r="H38" s="48" t="str">
        <f>IF(Machine!$B48&gt;0,C38/Machine!$B48," ")</f>
        <v xml:space="preserve"> </v>
      </c>
      <c r="I38" s="48" t="str">
        <f>IF(Machine!$B48&gt;0,D38/Machine!$B48," ")</f>
        <v xml:space="preserve"> </v>
      </c>
      <c r="J38" s="48" t="str">
        <f>IF(Machine!$B48&gt;0,E38/Machine!$B48," ")</f>
        <v xml:space="preserve"> </v>
      </c>
      <c r="K38" s="53" t="str">
        <f>IF(Machine!$B48&gt;0,F38/Machine!$B48," ")</f>
        <v xml:space="preserve"> </v>
      </c>
      <c r="L38" s="640">
        <f>Z1_Equipment_Calculations!N48</f>
        <v>4.4909090909090912</v>
      </c>
      <c r="M38" s="641">
        <f>Z1_Equipment_Calculations!O48</f>
        <v>0.22267206477732793</v>
      </c>
    </row>
    <row r="39" spans="1:13" ht="13.15" x14ac:dyDescent="0.4">
      <c r="A39" s="55" t="str">
        <f>Machine!A49</f>
        <v>Peanut Conditioner</v>
      </c>
      <c r="B39" s="62">
        <f>Z1_Equipment_Calculations!Z49</f>
        <v>0</v>
      </c>
      <c r="C39" s="48">
        <f>Z1_Equipment_Calculations!AC49+Z1_Equipment_Calculations!AF49</f>
        <v>0</v>
      </c>
      <c r="D39" s="48">
        <f>Z1_Equipment_Calculations!AJ49</f>
        <v>0</v>
      </c>
      <c r="E39" s="48">
        <f>Z1_Equipment_Calculations!AM49</f>
        <v>0</v>
      </c>
      <c r="F39" s="53">
        <f>SUM(B39:E39)</f>
        <v>0</v>
      </c>
      <c r="G39" s="62" t="str">
        <f>IF(Machine!$B49&gt;0,B39/Machine!$B49," ")</f>
        <v xml:space="preserve"> </v>
      </c>
      <c r="H39" s="48" t="str">
        <f>IF(Machine!$B49&gt;0,C39/Machine!$B49," ")</f>
        <v xml:space="preserve"> </v>
      </c>
      <c r="I39" s="48" t="str">
        <f>IF(Machine!$B49&gt;0,D39/Machine!$B49," ")</f>
        <v xml:space="preserve"> </v>
      </c>
      <c r="J39" s="48" t="str">
        <f>IF(Machine!$B49&gt;0,E39/Machine!$B49," ")</f>
        <v xml:space="preserve"> </v>
      </c>
      <c r="K39" s="53" t="str">
        <f>IF(Machine!$B49&gt;0,F39/Machine!$B49," ")</f>
        <v xml:space="preserve"> </v>
      </c>
      <c r="L39" s="640">
        <f>Z1_Equipment_Calculations!N49</f>
        <v>4.4909090909090912</v>
      </c>
      <c r="M39" s="641">
        <f>Z1_Equipment_Calculations!O49</f>
        <v>0.22267206477732793</v>
      </c>
    </row>
    <row r="40" spans="1:13" ht="13.15" x14ac:dyDescent="0.4">
      <c r="A40" s="55" t="str">
        <f>Machine!A50</f>
        <v>Peanut Conditiner &amp; Lifter</v>
      </c>
      <c r="B40" s="62">
        <f>Z1_Equipment_Calculations!Z50</f>
        <v>0</v>
      </c>
      <c r="C40" s="48">
        <f>Z1_Equipment_Calculations!AC50+Z1_Equipment_Calculations!AF50</f>
        <v>0</v>
      </c>
      <c r="D40" s="48">
        <f>Z1_Equipment_Calculations!AJ50</f>
        <v>0</v>
      </c>
      <c r="E40" s="48">
        <f>Z1_Equipment_Calculations!AM50</f>
        <v>0</v>
      </c>
      <c r="F40" s="53">
        <f>SUM(B40:E40)</f>
        <v>0</v>
      </c>
      <c r="G40" s="62" t="str">
        <f>IF(Machine!$B50&gt;0,B40/Machine!$B50," ")</f>
        <v xml:space="preserve"> </v>
      </c>
      <c r="H40" s="48" t="str">
        <f>IF(Machine!$B50&gt;0,C40/Machine!$B50," ")</f>
        <v xml:space="preserve"> </v>
      </c>
      <c r="I40" s="48" t="str">
        <f>IF(Machine!$B50&gt;0,D40/Machine!$B50," ")</f>
        <v xml:space="preserve"> </v>
      </c>
      <c r="J40" s="48" t="str">
        <f>IF(Machine!$B50&gt;0,E40/Machine!$B50," ")</f>
        <v xml:space="preserve"> </v>
      </c>
      <c r="K40" s="53" t="str">
        <f>IF(Machine!$B50&gt;0,F40/Machine!$B50," ")</f>
        <v xml:space="preserve"> </v>
      </c>
      <c r="L40" s="640">
        <f>Z1_Equipment_Calculations!N50</f>
        <v>4.4909090909090912</v>
      </c>
      <c r="M40" s="641">
        <f>Z1_Equipment_Calculations!O50</f>
        <v>0.22267206477732793</v>
      </c>
    </row>
    <row r="41" spans="1:13" ht="13.15" x14ac:dyDescent="0.4">
      <c r="A41" s="735" t="str">
        <f>Machine!A51</f>
        <v>Mower, Stalk Shredder</v>
      </c>
      <c r="B41" s="62">
        <f>Z1_Equipment_Calculations!Z51</f>
        <v>0</v>
      </c>
      <c r="C41" s="48">
        <f>Z1_Equipment_Calculations!AC51+Z1_Equipment_Calculations!AF51</f>
        <v>0</v>
      </c>
      <c r="D41" s="48">
        <f>Z1_Equipment_Calculations!AJ51</f>
        <v>0</v>
      </c>
      <c r="E41" s="48">
        <f>Z1_Equipment_Calculations!AM51</f>
        <v>0</v>
      </c>
      <c r="F41" s="53">
        <f t="shared" si="1"/>
        <v>0</v>
      </c>
      <c r="G41" s="62" t="str">
        <f>IF(Machine!$B51&gt;0,B41/Machine!$B51," ")</f>
        <v xml:space="preserve"> </v>
      </c>
      <c r="H41" s="48" t="str">
        <f>IF(Machine!$B51&gt;0,C41/Machine!$B51," ")</f>
        <v xml:space="preserve"> </v>
      </c>
      <c r="I41" s="48" t="str">
        <f>IF(Machine!$B51&gt;0,D41/Machine!$B51," ")</f>
        <v xml:space="preserve"> </v>
      </c>
      <c r="J41" s="48" t="str">
        <f>IF(Machine!$B51&gt;0,E41/Machine!$B51," ")</f>
        <v xml:space="preserve"> </v>
      </c>
      <c r="K41" s="53" t="str">
        <f>IF(Machine!$B51&gt;0,F41/Machine!$B51," ")</f>
        <v xml:space="preserve"> </v>
      </c>
      <c r="L41" s="640">
        <f>Z1_Equipment_Calculations!N51</f>
        <v>13.575757575757576</v>
      </c>
      <c r="M41" s="641">
        <f>Z1_Equipment_Calculations!O51</f>
        <v>7.3660714285714288E-2</v>
      </c>
    </row>
    <row r="42" spans="1:13" ht="13.15" x14ac:dyDescent="0.4">
      <c r="A42" s="735" t="str">
        <f>Machine!A52</f>
        <v>Stubble Roller</v>
      </c>
      <c r="B42" s="62">
        <f>Z1_Equipment_Calculations!Z52</f>
        <v>0</v>
      </c>
      <c r="C42" s="48">
        <f>Z1_Equipment_Calculations!AC52+Z1_Equipment_Calculations!AF52</f>
        <v>0</v>
      </c>
      <c r="D42" s="48">
        <f>Z1_Equipment_Calculations!AJ52</f>
        <v>0</v>
      </c>
      <c r="E42" s="48">
        <f>Z1_Equipment_Calculations!AM52</f>
        <v>0</v>
      </c>
      <c r="F42" s="53">
        <f>SUM(B42:E42)</f>
        <v>0</v>
      </c>
      <c r="G42" s="62" t="str">
        <f>IF(Machine!$B52&gt;0,B42/Machine!$B52," ")</f>
        <v xml:space="preserve"> </v>
      </c>
      <c r="H42" s="48" t="str">
        <f>IF(Machine!$B52&gt;0,C42/Machine!$B52," ")</f>
        <v xml:space="preserve"> </v>
      </c>
      <c r="I42" s="48" t="str">
        <f>IF(Machine!$B52&gt;0,D42/Machine!$B52," ")</f>
        <v xml:space="preserve"> </v>
      </c>
      <c r="J42" s="48" t="str">
        <f>IF(Machine!$B52&gt;0,E42/Machine!$B52," ")</f>
        <v xml:space="preserve"> </v>
      </c>
      <c r="K42" s="53" t="str">
        <f>IF(Machine!$B52&gt;0,F42/Machine!$B52," ")</f>
        <v xml:space="preserve"> </v>
      </c>
      <c r="L42" s="640">
        <f>Z1_Equipment_Calculations!N52</f>
        <v>19.781818181818181</v>
      </c>
      <c r="M42" s="641">
        <f>Z1_Equipment_Calculations!O52</f>
        <v>5.0551470588235295E-2</v>
      </c>
    </row>
    <row r="43" spans="1:13" ht="13.15" x14ac:dyDescent="0.4">
      <c r="A43" s="735" t="str">
        <f>Machine!A53</f>
        <v>Other Equipment</v>
      </c>
      <c r="B43" s="62">
        <f>Z1_Equipment_Calculations!Z53</f>
        <v>0</v>
      </c>
      <c r="C43" s="48">
        <f>Z1_Equipment_Calculations!AC53+Z1_Equipment_Calculations!AF53</f>
        <v>0</v>
      </c>
      <c r="D43" s="48">
        <f>Z1_Equipment_Calculations!AJ53</f>
        <v>0</v>
      </c>
      <c r="E43" s="48">
        <f>Z1_Equipment_Calculations!AM53</f>
        <v>0</v>
      </c>
      <c r="F43" s="53">
        <f>SUM(B43:E43)</f>
        <v>0</v>
      </c>
      <c r="G43" s="62" t="str">
        <f>IF(Machine!$B53&gt;0,B43/Machine!$B53," ")</f>
        <v xml:space="preserve"> </v>
      </c>
      <c r="H43" s="48" t="str">
        <f>IF(Machine!$B53&gt;0,C43/Machine!$B53," ")</f>
        <v xml:space="preserve"> </v>
      </c>
      <c r="I43" s="48" t="str">
        <f>IF(Machine!$B53&gt;0,D43/Machine!$B53," ")</f>
        <v xml:space="preserve"> </v>
      </c>
      <c r="J43" s="48" t="str">
        <f>IF(Machine!$B53&gt;0,E43/Machine!$B53," ")</f>
        <v xml:space="preserve"> </v>
      </c>
      <c r="K43" s="53" t="str">
        <f>IF(Machine!$B53&gt;0,F43/Machine!$B53," ")</f>
        <v xml:space="preserve"> </v>
      </c>
      <c r="L43" s="640">
        <f>Z1_Equipment_Calculations!N53</f>
        <v>8.484848484848484E-2</v>
      </c>
      <c r="M43" s="641">
        <f>Z1_Equipment_Calculations!O53</f>
        <v>11.785714285714286</v>
      </c>
    </row>
    <row r="44" spans="1:13" ht="13.15" x14ac:dyDescent="0.4">
      <c r="A44" s="735" t="str">
        <f>Machine!A54</f>
        <v>Other Equipment</v>
      </c>
      <c r="B44" s="71">
        <f>Z1_Equipment_Calculations!Z54</f>
        <v>0</v>
      </c>
      <c r="C44" s="72">
        <f>Z1_Equipment_Calculations!AC54+Z1_Equipment_Calculations!AF54</f>
        <v>0</v>
      </c>
      <c r="D44" s="72">
        <f>Z1_Equipment_Calculations!AJ54</f>
        <v>0</v>
      </c>
      <c r="E44" s="72">
        <f>Z1_Equipment_Calculations!AM54</f>
        <v>0</v>
      </c>
      <c r="F44" s="73">
        <f>SUM(B44:E44)</f>
        <v>0</v>
      </c>
      <c r="G44" s="71" t="str">
        <f>IF(Machine!$B54&gt;0,B44/Machine!$B54," ")</f>
        <v xml:space="preserve"> </v>
      </c>
      <c r="H44" s="72" t="str">
        <f>IF(Machine!$B54&gt;0,C44/Machine!$B54," ")</f>
        <v xml:space="preserve"> </v>
      </c>
      <c r="I44" s="72" t="str">
        <f>IF(Machine!$B54&gt;0,D44/Machine!$B54," ")</f>
        <v xml:space="preserve"> </v>
      </c>
      <c r="J44" s="72" t="str">
        <f>IF(Machine!$B54&gt;0,E44/Machine!$B54," ")</f>
        <v xml:space="preserve"> </v>
      </c>
      <c r="K44" s="73" t="str">
        <f>IF(Machine!$B54&gt;0,F44/Machine!$B54," ")</f>
        <v xml:space="preserve"> </v>
      </c>
      <c r="L44" s="642">
        <f>Z1_Equipment_Calculations!N54</f>
        <v>8.484848484848484E-2</v>
      </c>
      <c r="M44" s="643">
        <f>Z1_Equipment_Calculations!O54</f>
        <v>11.785714285714286</v>
      </c>
    </row>
    <row r="45" spans="1:13" ht="13.15" x14ac:dyDescent="0.4">
      <c r="A45" s="57" t="s">
        <v>208</v>
      </c>
      <c r="B45" s="77">
        <f>SUM(B4:B44)</f>
        <v>40.636638511278022</v>
      </c>
      <c r="C45" s="77">
        <f>SUM(C4:C44)</f>
        <v>5.9483136128870404</v>
      </c>
      <c r="D45" s="77">
        <f>SUM(D4:D44)</f>
        <v>7.0622878150239119</v>
      </c>
      <c r="E45" s="77">
        <f>SUM(E4:E44)</f>
        <v>6.3420811310390484</v>
      </c>
      <c r="F45" s="77">
        <f>SUM(F4:F44)</f>
        <v>59.989321070228023</v>
      </c>
      <c r="G45" s="49"/>
      <c r="H45" s="49"/>
      <c r="I45" s="49"/>
      <c r="J45" s="49"/>
      <c r="K45" s="49"/>
      <c r="L45" s="744"/>
      <c r="M45" s="745"/>
    </row>
    <row r="46" spans="1:13" ht="13.15" x14ac:dyDescent="0.4">
      <c r="A46" s="74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744"/>
      <c r="M46" s="745"/>
    </row>
    <row r="47" spans="1:13" ht="13.15" x14ac:dyDescent="0.4">
      <c r="A47" s="748" t="s">
        <v>74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744"/>
      <c r="M47" s="745"/>
    </row>
    <row r="48" spans="1:13" ht="13.15" x14ac:dyDescent="0.4">
      <c r="A48" s="54" t="str">
        <f>Machine!A58</f>
        <v>Self-Propelled Sprayer</v>
      </c>
      <c r="B48" s="74">
        <f>Z1_Equipment_Calculations!Z58</f>
        <v>0</v>
      </c>
      <c r="C48" s="75">
        <f>Z1_Equipment_Calculations!AC58+Z1_Equipment_Calculations!AF58</f>
        <v>0</v>
      </c>
      <c r="D48" s="75">
        <f>Z1_Equipment_Calculations!AJ58</f>
        <v>0</v>
      </c>
      <c r="E48" s="75">
        <f>Z1_Equipment_Calculations!AM58</f>
        <v>0</v>
      </c>
      <c r="F48" s="76">
        <f>SUM(B48:E48)</f>
        <v>0</v>
      </c>
      <c r="G48" s="75" t="str">
        <f>IF(Machine!$B58&gt;0,B48/Machine!$B58," ")</f>
        <v xml:space="preserve"> </v>
      </c>
      <c r="H48" s="75" t="str">
        <f>IF(Machine!$B58&gt;0,C48/Machine!$B58," ")</f>
        <v xml:space="preserve"> </v>
      </c>
      <c r="I48" s="75" t="str">
        <f>IF(Machine!$B58&gt;0,D48/Machine!$B58," ")</f>
        <v xml:space="preserve"> </v>
      </c>
      <c r="J48" s="75" t="str">
        <f>IF(Machine!$B58&gt;0,E48/Machine!$B58," ")</f>
        <v xml:space="preserve"> </v>
      </c>
      <c r="K48" s="75" t="str">
        <f>IF(Machine!$B58&gt;0,F48/Machine!$B58," ")</f>
        <v xml:space="preserve"> </v>
      </c>
      <c r="L48" s="638">
        <f>Z1_Equipment_Calculations!N58</f>
        <v>85.090909090909093</v>
      </c>
      <c r="M48" s="639">
        <f>Z1_Equipment_Calculations!O58</f>
        <v>1.1752136752136752E-2</v>
      </c>
    </row>
    <row r="49" spans="1:13" ht="13.15" x14ac:dyDescent="0.4">
      <c r="A49" s="55" t="str">
        <f>Machine!A59</f>
        <v>ATV with  Spot, Levee Sprayer</v>
      </c>
      <c r="B49" s="62">
        <f>Z1_Equipment_Calculations!Z59</f>
        <v>0</v>
      </c>
      <c r="C49" s="48">
        <f>Z1_Equipment_Calculations!AC59+Z1_Equipment_Calculations!AF59</f>
        <v>0</v>
      </c>
      <c r="D49" s="48">
        <f>Z1_Equipment_Calculations!AJ59</f>
        <v>0</v>
      </c>
      <c r="E49" s="48">
        <f>Z1_Equipment_Calculations!AM59</f>
        <v>0</v>
      </c>
      <c r="F49" s="53">
        <f>SUM(B49:E49)</f>
        <v>0</v>
      </c>
      <c r="G49" s="48" t="str">
        <f>IF(Machine!$B59&gt;0,B49/Machine!$B59," ")</f>
        <v xml:space="preserve"> </v>
      </c>
      <c r="H49" s="48" t="str">
        <f>IF(Machine!$B59&gt;0,C49/Machine!$B59," ")</f>
        <v xml:space="preserve"> </v>
      </c>
      <c r="I49" s="48" t="str">
        <f>IF(Machine!$B59&gt;0,D49/Machine!$B59," ")</f>
        <v xml:space="preserve"> </v>
      </c>
      <c r="J49" s="48" t="str">
        <f>IF(Machine!$B59&gt;0,E49/Machine!$B59," ")</f>
        <v xml:space="preserve"> </v>
      </c>
      <c r="K49" s="48" t="str">
        <f>IF(Machine!$B59&gt;0,F49/Machine!$B59," ")</f>
        <v xml:space="preserve"> </v>
      </c>
      <c r="L49" s="644"/>
      <c r="M49" s="645"/>
    </row>
    <row r="50" spans="1:13" ht="13.15" x14ac:dyDescent="0.4">
      <c r="A50" s="56" t="str">
        <f>Machine!A60</f>
        <v>Dry Box Spreader</v>
      </c>
      <c r="B50" s="71">
        <f>Z1_Equipment_Calculations!Z60</f>
        <v>0</v>
      </c>
      <c r="C50" s="72">
        <f>Z1_Equipment_Calculations!AC60+Z1_Equipment_Calculations!AF60</f>
        <v>0</v>
      </c>
      <c r="D50" s="72">
        <f>Z1_Equipment_Calculations!AJ60</f>
        <v>0</v>
      </c>
      <c r="E50" s="72">
        <f>Z1_Equipment_Calculations!AM60</f>
        <v>0</v>
      </c>
      <c r="F50" s="73">
        <f>SUM(B50:E50)</f>
        <v>0</v>
      </c>
      <c r="G50" s="72" t="str">
        <f>IF(Machine!$B60&gt;0,B50/Machine!$B60," ")</f>
        <v xml:space="preserve"> </v>
      </c>
      <c r="H50" s="72" t="str">
        <f>IF(Machine!$B60&gt;0,C50/Machine!$B60," ")</f>
        <v xml:space="preserve"> </v>
      </c>
      <c r="I50" s="72" t="str">
        <f>IF(Machine!$B60&gt;0,D50/Machine!$B60," ")</f>
        <v xml:space="preserve"> </v>
      </c>
      <c r="J50" s="72" t="str">
        <f>IF(Machine!$B60&gt;0,E50/Machine!$B60," ")</f>
        <v xml:space="preserve"> </v>
      </c>
      <c r="K50" s="72" t="str">
        <f>IF(Machine!$B60&gt;0,F50/Machine!$B60," ")</f>
        <v xml:space="preserve"> </v>
      </c>
      <c r="L50" s="642">
        <f>Z1_Equipment_Calculations!N60</f>
        <v>75.63636363636364</v>
      </c>
      <c r="M50" s="643">
        <f>Z1_Equipment_Calculations!O60</f>
        <v>1.3221153846153846E-2</v>
      </c>
    </row>
    <row r="51" spans="1:13" ht="13.15" x14ac:dyDescent="0.4">
      <c r="A51" s="743" t="s">
        <v>81</v>
      </c>
      <c r="B51" s="77">
        <f>SUM(B48:B50)</f>
        <v>0</v>
      </c>
      <c r="C51" s="77">
        <f>SUM(C48:C50)</f>
        <v>0</v>
      </c>
      <c r="D51" s="77">
        <f>SUM(D48:D50)</f>
        <v>0</v>
      </c>
      <c r="E51" s="77">
        <f>SUM(E48:E50)</f>
        <v>0</v>
      </c>
      <c r="F51" s="77">
        <f>SUM(F48:F50)</f>
        <v>0</v>
      </c>
      <c r="G51" s="49"/>
      <c r="H51" s="49"/>
      <c r="I51" s="49"/>
      <c r="J51" s="49"/>
      <c r="K51" s="49"/>
      <c r="L51" s="744"/>
      <c r="M51" s="745"/>
    </row>
    <row r="52" spans="1:13" ht="13.15" x14ac:dyDescent="0.4">
      <c r="A52" s="5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744"/>
      <c r="M52" s="745"/>
    </row>
    <row r="53" spans="1:13" ht="13.15" x14ac:dyDescent="0.4">
      <c r="A53" s="58" t="s">
        <v>209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744"/>
      <c r="M53" s="745"/>
    </row>
    <row r="54" spans="1:13" ht="13.15" x14ac:dyDescent="0.4">
      <c r="A54" s="68" t="str">
        <f>Machine!A64</f>
        <v>Cotton Picker</v>
      </c>
      <c r="B54" s="74">
        <f>Z1_Equipment_Calculations!Z64</f>
        <v>0</v>
      </c>
      <c r="C54" s="75">
        <f>Z1_Equipment_Calculations!AC64+Z1_Equipment_Calculations!AF64</f>
        <v>0</v>
      </c>
      <c r="D54" s="75">
        <f>Z1_Equipment_Calculations!AJ64</f>
        <v>0</v>
      </c>
      <c r="E54" s="75">
        <f>Z1_Equipment_Calculations!AM64</f>
        <v>0</v>
      </c>
      <c r="F54" s="76">
        <f t="shared" ref="F54:F64" si="2">SUM(B54:E54)</f>
        <v>0</v>
      </c>
      <c r="G54" s="74" t="str">
        <f>IF(Machine!$B64&gt;0,B54/Machine!$B64," ")</f>
        <v xml:space="preserve"> </v>
      </c>
      <c r="H54" s="75" t="str">
        <f>IF(Machine!$B64&gt;0,C54/Machine!$B64," ")</f>
        <v xml:space="preserve"> </v>
      </c>
      <c r="I54" s="75" t="str">
        <f>IF(Machine!$B64&gt;0,D54/Machine!$B64," ")</f>
        <v xml:space="preserve"> </v>
      </c>
      <c r="J54" s="75" t="str">
        <f>IF(Machine!$B64&gt;0,E54/Machine!$B64," ")</f>
        <v xml:space="preserve"> </v>
      </c>
      <c r="K54" s="76" t="str">
        <f>IF(Machine!$B64&gt;0,F54/Machine!$B64," ")</f>
        <v xml:space="preserve"> </v>
      </c>
      <c r="L54" s="638">
        <f>Z1_Equipment_Calculations!N64</f>
        <v>5.6424242424242417</v>
      </c>
      <c r="M54" s="639">
        <f>Z1_Equipment_Calculations!O64</f>
        <v>0.17722878625134267</v>
      </c>
    </row>
    <row r="55" spans="1:13" ht="13.15" x14ac:dyDescent="0.4">
      <c r="A55" s="69" t="str">
        <f>Machine!A65</f>
        <v>Boll Buggy with Tractor</v>
      </c>
      <c r="B55" s="62">
        <f>Z1_Equipment_Calculations!Z65</f>
        <v>0</v>
      </c>
      <c r="C55" s="48">
        <f>Z1_Equipment_Calculations!AC65+Z1_Equipment_Calculations!AF65</f>
        <v>0</v>
      </c>
      <c r="D55" s="48">
        <f>Z1_Equipment_Calculations!AJ65</f>
        <v>0</v>
      </c>
      <c r="E55" s="48">
        <f>Z1_Equipment_Calculations!AM65</f>
        <v>0</v>
      </c>
      <c r="F55" s="53">
        <f t="shared" si="2"/>
        <v>0</v>
      </c>
      <c r="G55" s="62" t="str">
        <f>IF(Machine!$B65&gt;0,B55/Machine!$B65," ")</f>
        <v xml:space="preserve"> </v>
      </c>
      <c r="H55" s="48" t="str">
        <f>IF(Machine!$B65&gt;0,C55/Machine!$B65," ")</f>
        <v xml:space="preserve"> </v>
      </c>
      <c r="I55" s="48" t="str">
        <f>IF(Machine!$B65&gt;0,D55/Machine!$B65," ")</f>
        <v xml:space="preserve"> </v>
      </c>
      <c r="J55" s="48" t="str">
        <f>IF(Machine!$B65&gt;0,E55/Machine!$B65," ")</f>
        <v xml:space="preserve"> </v>
      </c>
      <c r="K55" s="53" t="str">
        <f>IF(Machine!$B65&gt;0,F55/Machine!$B65," ")</f>
        <v xml:space="preserve"> </v>
      </c>
      <c r="L55" s="644"/>
      <c r="M55" s="645"/>
    </row>
    <row r="56" spans="1:13" ht="13.15" x14ac:dyDescent="0.4">
      <c r="A56" s="70" t="str">
        <f>Machine!A66</f>
        <v>Module Builder with Tractor</v>
      </c>
      <c r="B56" s="71">
        <f>Z1_Equipment_Calculations!Z66</f>
        <v>0</v>
      </c>
      <c r="C56" s="72">
        <f>Z1_Equipment_Calculations!AC66+Z1_Equipment_Calculations!AF66</f>
        <v>0</v>
      </c>
      <c r="D56" s="72">
        <f>Z1_Equipment_Calculations!AJ66</f>
        <v>0</v>
      </c>
      <c r="E56" s="72">
        <f>Z1_Equipment_Calculations!AM66</f>
        <v>0</v>
      </c>
      <c r="F56" s="73">
        <f t="shared" si="2"/>
        <v>0</v>
      </c>
      <c r="G56" s="71" t="str">
        <f>IF(Machine!$B66&gt;0,B56/Machine!$B66," ")</f>
        <v xml:space="preserve"> </v>
      </c>
      <c r="H56" s="72" t="str">
        <f>IF(Machine!$B66&gt;0,C56/Machine!$B66," ")</f>
        <v xml:space="preserve"> </v>
      </c>
      <c r="I56" s="72" t="str">
        <f>IF(Machine!$B66&gt;0,D56/Machine!$B66," ")</f>
        <v xml:space="preserve"> </v>
      </c>
      <c r="J56" s="72" t="str">
        <f>IF(Machine!$B66&gt;0,E56/Machine!$B66," ")</f>
        <v xml:space="preserve"> </v>
      </c>
      <c r="K56" s="73" t="str">
        <f>IF(Machine!$B66&gt;0,F56/Machine!$B66," ")</f>
        <v xml:space="preserve"> </v>
      </c>
      <c r="L56" s="646"/>
      <c r="M56" s="647"/>
    </row>
    <row r="57" spans="1:13" ht="13.15" x14ac:dyDescent="0.4">
      <c r="A57" s="54" t="str">
        <f>Machine!A67</f>
        <v>Cotton Picker: Module-Building</v>
      </c>
      <c r="B57" s="74">
        <f>Z1_Equipment_Calculations!Z67</f>
        <v>0</v>
      </c>
      <c r="C57" s="75">
        <f>Z1_Equipment_Calculations!AC67+Z1_Equipment_Calculations!AF67</f>
        <v>0</v>
      </c>
      <c r="D57" s="75">
        <f>Z1_Equipment_Calculations!AJ67</f>
        <v>0</v>
      </c>
      <c r="E57" s="75">
        <f>Z1_Equipment_Calculations!AM67</f>
        <v>0</v>
      </c>
      <c r="F57" s="76">
        <f>SUM(B57:E57)</f>
        <v>0</v>
      </c>
      <c r="G57" s="74" t="str">
        <f>IF(Machine!$B67&gt;0,B57/Machine!$B67," ")</f>
        <v xml:space="preserve"> </v>
      </c>
      <c r="H57" s="75" t="str">
        <f>IF(Machine!$B67&gt;0,C57/Machine!$B67," ")</f>
        <v xml:space="preserve"> </v>
      </c>
      <c r="I57" s="75" t="str">
        <f>IF(Machine!$B67&gt;0,D57/Machine!$B67," ")</f>
        <v xml:space="preserve"> </v>
      </c>
      <c r="J57" s="75" t="str">
        <f>IF(Machine!$B67&gt;0,E57/Machine!$B67," ")</f>
        <v xml:space="preserve"> </v>
      </c>
      <c r="K57" s="76" t="str">
        <f>IF(Machine!$B67&gt;0,F57/Machine!$B67," ")</f>
        <v xml:space="preserve"> </v>
      </c>
      <c r="L57" s="727">
        <f>Z1_Equipment_Calculations!N67</f>
        <v>7.2430303030303023</v>
      </c>
      <c r="M57" s="639">
        <f>Z1_Equipment_Calculations!O67</f>
        <v>0.13806376035478204</v>
      </c>
    </row>
    <row r="58" spans="1:13" ht="13.15" x14ac:dyDescent="0.4">
      <c r="A58" s="56" t="str">
        <f>Machine!A68</f>
        <v>Module Handler with Tractor</v>
      </c>
      <c r="B58" s="71">
        <f>Z1_Equipment_Calculations!Z68</f>
        <v>0</v>
      </c>
      <c r="C58" s="72">
        <f>Z1_Equipment_Calculations!AC68+Z1_Equipment_Calculations!AF68</f>
        <v>0</v>
      </c>
      <c r="D58" s="72">
        <f>Z1_Equipment_Calculations!AJ68</f>
        <v>0</v>
      </c>
      <c r="E58" s="72">
        <f>Z1_Equipment_Calculations!AM68</f>
        <v>0</v>
      </c>
      <c r="F58" s="73">
        <f>SUM(B58:E58)</f>
        <v>0</v>
      </c>
      <c r="G58" s="71" t="str">
        <f>IF(Machine!$B68&gt;0,B58/Machine!$B68," ")</f>
        <v xml:space="preserve"> </v>
      </c>
      <c r="H58" s="72" t="str">
        <f>IF(Machine!$B68&gt;0,C58/Machine!$B68," ")</f>
        <v xml:space="preserve"> </v>
      </c>
      <c r="I58" s="72" t="str">
        <f>IF(Machine!$B68&gt;0,D58/Machine!$B68," ")</f>
        <v xml:space="preserve"> </v>
      </c>
      <c r="J58" s="72" t="str">
        <f>IF(Machine!$B68&gt;0,E58/Machine!$B68," ")</f>
        <v xml:space="preserve"> </v>
      </c>
      <c r="K58" s="73" t="str">
        <f>IF(Machine!$B68&gt;0,F58/Machine!$B68," ")</f>
        <v xml:space="preserve"> </v>
      </c>
      <c r="L58" s="728"/>
      <c r="M58" s="647"/>
    </row>
    <row r="59" spans="1:13" ht="13.15" x14ac:dyDescent="0.4">
      <c r="A59" s="68" t="str">
        <f>Machine!A69</f>
        <v>Combine</v>
      </c>
      <c r="B59" s="75">
        <f>Z1_Equipment_Calculations!Z69</f>
        <v>48.607701685630119</v>
      </c>
      <c r="C59" s="75">
        <f>Z1_Equipment_Calculations!AC69+Z1_Equipment_Calculations!AF69</f>
        <v>9.0865286271162944</v>
      </c>
      <c r="D59" s="75">
        <f>Z1_Equipment_Calculations!AJ69</f>
        <v>3.9485510204081633</v>
      </c>
      <c r="E59" s="75">
        <f>Z1_Equipment_Calculations!AM69</f>
        <v>1.8476969387755104</v>
      </c>
      <c r="F59" s="75">
        <f t="shared" si="2"/>
        <v>63.490478271930087</v>
      </c>
      <c r="G59" s="74">
        <f>IF(Machine!$B69&gt;0,B59/Machine!$B69," ")</f>
        <v>48.607701685630119</v>
      </c>
      <c r="H59" s="75">
        <f>IF(Machine!$B69&gt;0,C59/Machine!$B69," ")</f>
        <v>9.0865286271162944</v>
      </c>
      <c r="I59" s="75">
        <f>IF(Machine!$B69&gt;0,D59/Machine!$B69," ")</f>
        <v>3.9485510204081633</v>
      </c>
      <c r="J59" s="75">
        <f>IF(Machine!$B69&gt;0,E59/Machine!$B69," ")</f>
        <v>1.8476969387755104</v>
      </c>
      <c r="K59" s="76">
        <f>IF(Machine!$B69&gt;0,F59/Machine!$B69," ")</f>
        <v>63.490478271930087</v>
      </c>
      <c r="L59" s="638">
        <f>Z1_Equipment_Calculations!N69</f>
        <v>8.9090909090909083</v>
      </c>
      <c r="M59" s="639">
        <f>Z1_Equipment_Calculations!O69</f>
        <v>0.11224489795918369</v>
      </c>
    </row>
    <row r="60" spans="1:13" ht="13.15" x14ac:dyDescent="0.4">
      <c r="A60" s="69" t="str">
        <f>Machine!A70</f>
        <v>Corn Head</v>
      </c>
      <c r="B60" s="48">
        <f>Z1_Equipment_Calculations!Z70</f>
        <v>0</v>
      </c>
      <c r="C60" s="48">
        <f>Z1_Equipment_Calculations!AC70+Z1_Equipment_Calculations!AF70</f>
        <v>0</v>
      </c>
      <c r="D60" s="48">
        <f>Z1_Equipment_Calculations!AJ70</f>
        <v>0</v>
      </c>
      <c r="E60" s="48">
        <f>Z1_Equipment_Calculations!AM70</f>
        <v>0</v>
      </c>
      <c r="F60" s="48">
        <f t="shared" si="2"/>
        <v>0</v>
      </c>
      <c r="G60" s="62" t="str">
        <f>IF(Machine!$B70&gt;0,B60/Machine!$B70," ")</f>
        <v xml:space="preserve"> </v>
      </c>
      <c r="H60" s="48" t="str">
        <f>IF(Machine!$B70&gt;0,C60/Machine!$B70," ")</f>
        <v xml:space="preserve"> </v>
      </c>
      <c r="I60" s="48" t="str">
        <f>IF(Machine!$B70&gt;0,D60/Machine!$B70," ")</f>
        <v xml:space="preserve"> </v>
      </c>
      <c r="J60" s="48" t="str">
        <f>IF(Machine!$B70&gt;0,E60/Machine!$B70," ")</f>
        <v xml:space="preserve"> </v>
      </c>
      <c r="K60" s="53" t="str">
        <f>IF(Machine!$B70&gt;0,F60/Machine!$B70," ")</f>
        <v xml:space="preserve"> </v>
      </c>
      <c r="L60" s="644"/>
      <c r="M60" s="645"/>
    </row>
    <row r="61" spans="1:13" ht="13.15" x14ac:dyDescent="0.4">
      <c r="A61" s="69" t="str">
        <f>Machine!A71</f>
        <v>Soybean Head</v>
      </c>
      <c r="B61" s="48">
        <f>Z1_Equipment_Calculations!Z71</f>
        <v>0</v>
      </c>
      <c r="C61" s="48">
        <f>Z1_Equipment_Calculations!AC71+Z1_Equipment_Calculations!AF71</f>
        <v>0</v>
      </c>
      <c r="D61" s="48">
        <f>Z1_Equipment_Calculations!AJ71</f>
        <v>0</v>
      </c>
      <c r="E61" s="48">
        <f>Z1_Equipment_Calculations!AM71</f>
        <v>0</v>
      </c>
      <c r="F61" s="48">
        <f t="shared" si="2"/>
        <v>0</v>
      </c>
      <c r="G61" s="62" t="str">
        <f>IF(Machine!$B71&gt;0,B61/Machine!$B71," ")</f>
        <v xml:space="preserve"> </v>
      </c>
      <c r="H61" s="48" t="str">
        <f>IF(Machine!$B71&gt;0,C61/Machine!$B71," ")</f>
        <v xml:space="preserve"> </v>
      </c>
      <c r="I61" s="48" t="str">
        <f>IF(Machine!$B71&gt;0,D61/Machine!$B71," ")</f>
        <v xml:space="preserve"> </v>
      </c>
      <c r="J61" s="48" t="str">
        <f>IF(Machine!$B71&gt;0,E61/Machine!$B71," ")</f>
        <v xml:space="preserve"> </v>
      </c>
      <c r="K61" s="53" t="str">
        <f>IF(Machine!$B71&gt;0,F61/Machine!$B71," ")</f>
        <v xml:space="preserve"> </v>
      </c>
      <c r="L61" s="644"/>
      <c r="M61" s="645"/>
    </row>
    <row r="62" spans="1:13" ht="13.15" x14ac:dyDescent="0.4">
      <c r="A62" s="69" t="str">
        <f>Machine!A72</f>
        <v>Rice Head</v>
      </c>
      <c r="B62" s="48">
        <f>Z1_Equipment_Calculations!Z72</f>
        <v>0</v>
      </c>
      <c r="C62" s="48">
        <f>Z1_Equipment_Calculations!AC72+Z1_Equipment_Calculations!AF72</f>
        <v>0</v>
      </c>
      <c r="D62" s="48">
        <f>Z1_Equipment_Calculations!AJ72</f>
        <v>0</v>
      </c>
      <c r="E62" s="48">
        <f>Z1_Equipment_Calculations!AM72</f>
        <v>0</v>
      </c>
      <c r="F62" s="48">
        <f t="shared" si="2"/>
        <v>0</v>
      </c>
      <c r="G62" s="62" t="str">
        <f>IF(Machine!$B72&gt;0,B62/Machine!$B72," ")</f>
        <v xml:space="preserve"> </v>
      </c>
      <c r="H62" s="48" t="str">
        <f>IF(Machine!$B72&gt;0,C62/Machine!$B72," ")</f>
        <v xml:space="preserve"> </v>
      </c>
      <c r="I62" s="48" t="str">
        <f>IF(Machine!$B72&gt;0,D62/Machine!$B72," ")</f>
        <v xml:space="preserve"> </v>
      </c>
      <c r="J62" s="48" t="str">
        <f>IF(Machine!$B72&gt;0,E62/Machine!$B72," ")</f>
        <v xml:space="preserve"> </v>
      </c>
      <c r="K62" s="53" t="str">
        <f>IF(Machine!$B72&gt;0,F62/Machine!$B72," ")</f>
        <v xml:space="preserve"> </v>
      </c>
      <c r="L62" s="644"/>
      <c r="M62" s="645"/>
    </row>
    <row r="63" spans="1:13" ht="13.15" x14ac:dyDescent="0.4">
      <c r="A63" s="69" t="str">
        <f>Machine!A73</f>
        <v>Wheat/Sorghum Head</v>
      </c>
      <c r="B63" s="48">
        <f>Z1_Equipment_Calculations!Z73</f>
        <v>1.9140515819375326</v>
      </c>
      <c r="C63" s="48">
        <f>Z1_Equipment_Calculations!AC73+Z1_Equipment_Calculations!AF73</f>
        <v>1.2232506599167985</v>
      </c>
      <c r="D63" s="48">
        <f>Z1_Equipment_Calculations!AJ73</f>
        <v>0</v>
      </c>
      <c r="E63" s="48">
        <f>Z1_Equipment_Calculations!AM73</f>
        <v>0</v>
      </c>
      <c r="F63" s="48">
        <f t="shared" si="2"/>
        <v>3.1373022418543313</v>
      </c>
      <c r="G63" s="62">
        <f>IF(Machine!$B73&gt;0,B63/Machine!$B73," ")</f>
        <v>1.9140515819375326</v>
      </c>
      <c r="H63" s="48">
        <f>IF(Machine!$B73&gt;0,C63/Machine!$B73," ")</f>
        <v>1.2232506599167985</v>
      </c>
      <c r="I63" s="48">
        <f>IF(Machine!$B73&gt;0,D63/Machine!$B73," ")</f>
        <v>0</v>
      </c>
      <c r="J63" s="48">
        <f>IF(Machine!$B73&gt;0,E63/Machine!$B73," ")</f>
        <v>0</v>
      </c>
      <c r="K63" s="53">
        <f>IF(Machine!$B73&gt;0,F63/Machine!$B73," ")</f>
        <v>3.1373022418543313</v>
      </c>
      <c r="L63" s="644"/>
      <c r="M63" s="645"/>
    </row>
    <row r="64" spans="1:13" ht="13.15" x14ac:dyDescent="0.4">
      <c r="A64" s="70" t="str">
        <f>Machine!A74</f>
        <v>Grain Cart with Tractor</v>
      </c>
      <c r="B64" s="72">
        <f>Z1_Equipment_Calculations!Z74</f>
        <v>11.515529152064808</v>
      </c>
      <c r="C64" s="72">
        <f>Z1_Equipment_Calculations!AC74+Z1_Equipment_Calculations!AF74</f>
        <v>2.257319758747407</v>
      </c>
      <c r="D64" s="72">
        <f>Z1_Equipment_Calculations!AJ74</f>
        <v>2.3691306122448981</v>
      </c>
      <c r="E64" s="72">
        <f>Z1_Equipment_Calculations!AM74</f>
        <v>1.8476969387755104</v>
      </c>
      <c r="F64" s="72">
        <f t="shared" si="2"/>
        <v>17.989676461832623</v>
      </c>
      <c r="G64" s="71">
        <f>IF(Machine!$B74&gt;0,B64/Machine!$B74," ")</f>
        <v>11.515529152064808</v>
      </c>
      <c r="H64" s="72">
        <f>IF(Machine!$B74&gt;0,C64/Machine!$B74," ")</f>
        <v>2.257319758747407</v>
      </c>
      <c r="I64" s="72">
        <f>IF(Machine!$B74&gt;0,D64/Machine!$B74," ")</f>
        <v>2.3691306122448981</v>
      </c>
      <c r="J64" s="72">
        <f>IF(Machine!$B74&gt;0,E64/Machine!$B74," ")</f>
        <v>1.8476969387755104</v>
      </c>
      <c r="K64" s="73">
        <f>IF(Machine!$B74&gt;0,F64/Machine!$B74," ")</f>
        <v>17.989676461832623</v>
      </c>
      <c r="L64" s="646"/>
      <c r="M64" s="647"/>
    </row>
    <row r="65" spans="1:13" ht="13.15" x14ac:dyDescent="0.4">
      <c r="A65" s="68" t="str">
        <f>Machine!A75</f>
        <v>Other Harvest</v>
      </c>
      <c r="B65" s="74">
        <f>Z1_Equipment_Calculations!Z75</f>
        <v>0</v>
      </c>
      <c r="C65" s="75">
        <f>Z1_Equipment_Calculations!AC75+Z1_Equipment_Calculations!AF75</f>
        <v>0</v>
      </c>
      <c r="D65" s="75">
        <f>Z1_Equipment_Calculations!AJ75</f>
        <v>0</v>
      </c>
      <c r="E65" s="75">
        <f>Z1_Equipment_Calculations!AM75</f>
        <v>0</v>
      </c>
      <c r="F65" s="76">
        <f t="shared" ref="F65:F71" si="3">SUM(B65:E65)</f>
        <v>0</v>
      </c>
      <c r="G65" s="74" t="str">
        <f>IF(Machine!$B75&gt;0,B65/Machine!$B75," ")</f>
        <v xml:space="preserve"> </v>
      </c>
      <c r="H65" s="75" t="str">
        <f>IF(Machine!$B75&gt;0,C65/Machine!$B75," ")</f>
        <v xml:space="preserve"> </v>
      </c>
      <c r="I65" s="75" t="str">
        <f>IF(Machine!$B75&gt;0,D65/Machine!$B75," ")</f>
        <v xml:space="preserve"> </v>
      </c>
      <c r="J65" s="75" t="str">
        <f>IF(Machine!$B75&gt;0,E65/Machine!$B75," ")</f>
        <v xml:space="preserve"> </v>
      </c>
      <c r="K65" s="76" t="str">
        <f>IF(Machine!$B75&gt;0,F65/Machine!$B75," ")</f>
        <v xml:space="preserve"> </v>
      </c>
      <c r="L65" s="638">
        <f>Z1_Equipment_Calculations!N75</f>
        <v>3.7424242424242422</v>
      </c>
      <c r="M65" s="639">
        <f>Z1_Equipment_Calculations!O75</f>
        <v>0.26720647773279355</v>
      </c>
    </row>
    <row r="66" spans="1:13" ht="13.15" x14ac:dyDescent="0.4">
      <c r="A66" s="69" t="str">
        <f>Machine!A76</f>
        <v>Peanut Harvester, with Tractor</v>
      </c>
      <c r="B66" s="62">
        <f>Z1_Equipment_Calculations!Z76</f>
        <v>0</v>
      </c>
      <c r="C66" s="48">
        <f>Z1_Equipment_Calculations!AC76+Z1_Equipment_Calculations!AF76</f>
        <v>0</v>
      </c>
      <c r="D66" s="48">
        <f>Z1_Equipment_Calculations!AJ76</f>
        <v>0</v>
      </c>
      <c r="E66" s="48">
        <f>Z1_Equipment_Calculations!AM76</f>
        <v>0</v>
      </c>
      <c r="F66" s="53">
        <f t="shared" si="3"/>
        <v>0</v>
      </c>
      <c r="G66" s="62" t="str">
        <f>IF(Machine!$B76&gt;0,B66/Machine!$B76," ")</f>
        <v xml:space="preserve"> </v>
      </c>
      <c r="H66" s="48" t="str">
        <f>IF(Machine!$B76&gt;0,C66/Machine!$B76," ")</f>
        <v xml:space="preserve"> </v>
      </c>
      <c r="I66" s="48" t="str">
        <f>IF(Machine!$B76&gt;0,D66/Machine!$B76," ")</f>
        <v xml:space="preserve"> </v>
      </c>
      <c r="J66" s="48" t="str">
        <f>IF(Machine!$B76&gt;0,E66/Machine!$B76," ")</f>
        <v xml:space="preserve"> </v>
      </c>
      <c r="K66" s="53" t="str">
        <f>IF(Machine!$B76&gt;0,F66/Machine!$B76," ")</f>
        <v xml:space="preserve"> </v>
      </c>
      <c r="L66" s="640">
        <f>Z1_Equipment_Calculations!N76</f>
        <v>2.9939393939393937</v>
      </c>
      <c r="M66" s="641">
        <f>Z1_Equipment_Calculations!O76</f>
        <v>0.33400809716599195</v>
      </c>
    </row>
    <row r="67" spans="1:13" ht="13.15" x14ac:dyDescent="0.4">
      <c r="A67" s="69" t="str">
        <f>Machine!A77</f>
        <v>Peanut Dump Cart with Tractor</v>
      </c>
      <c r="B67" s="62">
        <f>Z1_Equipment_Calculations!Z77</f>
        <v>0</v>
      </c>
      <c r="C67" s="48">
        <f>Z1_Equipment_Calculations!AC77+Z1_Equipment_Calculations!AF77</f>
        <v>0</v>
      </c>
      <c r="D67" s="48">
        <f>Z1_Equipment_Calculations!AJ77</f>
        <v>0</v>
      </c>
      <c r="E67" s="48">
        <f>Z1_Equipment_Calculations!AM77</f>
        <v>0</v>
      </c>
      <c r="F67" s="53">
        <f t="shared" si="3"/>
        <v>0</v>
      </c>
      <c r="G67" s="62" t="str">
        <f>IF(Machine!$B77&gt;0,B67/Machine!$B77," ")</f>
        <v xml:space="preserve"> </v>
      </c>
      <c r="H67" s="48" t="str">
        <f>IF(Machine!$B77&gt;0,C67/Machine!$B77," ")</f>
        <v xml:space="preserve"> </v>
      </c>
      <c r="I67" s="48" t="str">
        <f>IF(Machine!$B77&gt;0,D67/Machine!$B77," ")</f>
        <v xml:space="preserve"> </v>
      </c>
      <c r="J67" s="48" t="str">
        <f>IF(Machine!$B77&gt;0,E67/Machine!$B77," ")</f>
        <v xml:space="preserve"> </v>
      </c>
      <c r="K67" s="53" t="str">
        <f>IF(Machine!$B77&gt;0,F67/Machine!$B77," ")</f>
        <v xml:space="preserve"> </v>
      </c>
      <c r="L67" s="644"/>
      <c r="M67" s="645"/>
    </row>
    <row r="68" spans="1:13" ht="13.15" x14ac:dyDescent="0.4">
      <c r="A68" s="70" t="str">
        <f>Machine!A78</f>
        <v>Peanut Wagon, 28 ft., with Tractor</v>
      </c>
      <c r="B68" s="71">
        <f>Z1_Equipment_Calculations!Z78</f>
        <v>0</v>
      </c>
      <c r="C68" s="72">
        <f>Z1_Equipment_Calculations!AC78+Z1_Equipment_Calculations!AF78</f>
        <v>0</v>
      </c>
      <c r="D68" s="72">
        <f>Z1_Equipment_Calculations!AJ78</f>
        <v>0</v>
      </c>
      <c r="E68" s="72">
        <f>Z1_Equipment_Calculations!AM78</f>
        <v>0</v>
      </c>
      <c r="F68" s="73">
        <f t="shared" si="3"/>
        <v>0</v>
      </c>
      <c r="G68" s="71" t="str">
        <f>IF(Machine!$B78&gt;0,B68/Machine!$B78," ")</f>
        <v xml:space="preserve"> </v>
      </c>
      <c r="H68" s="72" t="str">
        <f>IF(Machine!$B78&gt;0,C68/Machine!$B78," ")</f>
        <v xml:space="preserve"> </v>
      </c>
      <c r="I68" s="72" t="str">
        <f>IF(Machine!$B78&gt;0,D68/Machine!$B78," ")</f>
        <v xml:space="preserve"> </v>
      </c>
      <c r="J68" s="72" t="str">
        <f>IF(Machine!$B78&gt;0,E68/Machine!$B78," ")</f>
        <v xml:space="preserve"> </v>
      </c>
      <c r="K68" s="73" t="str">
        <f>IF(Machine!$B78&gt;0,F68/Machine!$B78," ")</f>
        <v xml:space="preserve"> </v>
      </c>
      <c r="L68" s="646"/>
      <c r="M68" s="647"/>
    </row>
    <row r="69" spans="1:13" ht="13.15" x14ac:dyDescent="0.4">
      <c r="A69" s="68" t="str">
        <f>Machine!A79</f>
        <v>Other Harvest</v>
      </c>
      <c r="B69" s="74">
        <f>Z1_Equipment_Calculations!Z79</f>
        <v>0</v>
      </c>
      <c r="C69" s="75">
        <f>Z1_Equipment_Calculations!AC79+Z1_Equipment_Calculations!AF79</f>
        <v>0</v>
      </c>
      <c r="D69" s="75">
        <f>Z1_Equipment_Calculations!AJ79</f>
        <v>0</v>
      </c>
      <c r="E69" s="75">
        <f>Z1_Equipment_Calculations!AM79</f>
        <v>0</v>
      </c>
      <c r="F69" s="76">
        <f t="shared" si="3"/>
        <v>0</v>
      </c>
      <c r="G69" s="74" t="str">
        <f>IF(Machine!$B79&gt;0,B69/Machine!$B79," ")</f>
        <v xml:space="preserve"> </v>
      </c>
      <c r="H69" s="75" t="str">
        <f>IF(Machine!$B79&gt;0,C69/Machine!$B79," ")</f>
        <v xml:space="preserve"> </v>
      </c>
      <c r="I69" s="75" t="str">
        <f>IF(Machine!$B79&gt;0,D69/Machine!$B79," ")</f>
        <v xml:space="preserve"> </v>
      </c>
      <c r="J69" s="75" t="str">
        <f>IF(Machine!$B79&gt;0,E69/Machine!$B79," ")</f>
        <v xml:space="preserve"> </v>
      </c>
      <c r="K69" s="76" t="str">
        <f>IF(Machine!$B79&gt;0,F69/Machine!$B79," ")</f>
        <v xml:space="preserve"> </v>
      </c>
      <c r="L69" s="638">
        <f>Z1_Equipment_Calculations!N79</f>
        <v>8.484848484848484E-2</v>
      </c>
      <c r="M69" s="639">
        <f>Z1_Equipment_Calculations!O79</f>
        <v>11.785714285714286</v>
      </c>
    </row>
    <row r="70" spans="1:13" ht="13.15" x14ac:dyDescent="0.4">
      <c r="A70" s="69" t="str">
        <f>Machine!A80</f>
        <v>Other Harvest</v>
      </c>
      <c r="B70" s="62">
        <f>Z1_Equipment_Calculations!Z80</f>
        <v>0</v>
      </c>
      <c r="C70" s="48">
        <f>Z1_Equipment_Calculations!AC80+Z1_Equipment_Calculations!AF80</f>
        <v>0</v>
      </c>
      <c r="D70" s="48">
        <f>Z1_Equipment_Calculations!AJ80</f>
        <v>0</v>
      </c>
      <c r="E70" s="48">
        <f>Z1_Equipment_Calculations!AM80</f>
        <v>0</v>
      </c>
      <c r="F70" s="53">
        <f t="shared" si="3"/>
        <v>0</v>
      </c>
      <c r="G70" s="62" t="str">
        <f>IF(Machine!$B80&gt;0,B70/Machine!$B80," ")</f>
        <v xml:space="preserve"> </v>
      </c>
      <c r="H70" s="48" t="str">
        <f>IF(Machine!$B80&gt;0,C70/Machine!$B80," ")</f>
        <v xml:space="preserve"> </v>
      </c>
      <c r="I70" s="48" t="str">
        <f>IF(Machine!$B80&gt;0,D70/Machine!$B80," ")</f>
        <v xml:space="preserve"> </v>
      </c>
      <c r="J70" s="48" t="str">
        <f>IF(Machine!$B80&gt;0,E70/Machine!$B80," ")</f>
        <v xml:space="preserve"> </v>
      </c>
      <c r="K70" s="53" t="str">
        <f>IF(Machine!$B80&gt;0,F70/Machine!$B80," ")</f>
        <v xml:space="preserve"> </v>
      </c>
      <c r="L70" s="644"/>
      <c r="M70" s="645"/>
    </row>
    <row r="71" spans="1:13" ht="13.15" x14ac:dyDescent="0.4">
      <c r="A71" s="70" t="str">
        <f>Machine!A81</f>
        <v>Other Harvest</v>
      </c>
      <c r="B71" s="71">
        <f>Z1_Equipment_Calculations!Z81</f>
        <v>0</v>
      </c>
      <c r="C71" s="72">
        <f>Z1_Equipment_Calculations!AC81+Z1_Equipment_Calculations!AF81</f>
        <v>0</v>
      </c>
      <c r="D71" s="72">
        <f>Z1_Equipment_Calculations!AJ81</f>
        <v>0</v>
      </c>
      <c r="E71" s="72">
        <f>Z1_Equipment_Calculations!AM81</f>
        <v>0</v>
      </c>
      <c r="F71" s="73">
        <f t="shared" si="3"/>
        <v>0</v>
      </c>
      <c r="G71" s="71" t="str">
        <f>IF(Machine!$B81&gt;0,B71/Machine!$B81," ")</f>
        <v xml:space="preserve"> </v>
      </c>
      <c r="H71" s="72" t="str">
        <f>IF(Machine!$B81&gt;0,C71/Machine!$B81," ")</f>
        <v xml:space="preserve"> </v>
      </c>
      <c r="I71" s="72" t="str">
        <f>IF(Machine!$B81&gt;0,D71/Machine!$B81," ")</f>
        <v xml:space="preserve"> </v>
      </c>
      <c r="J71" s="72" t="str">
        <f>IF(Machine!$B81&gt;0,E71/Machine!$B81," ")</f>
        <v xml:space="preserve"> </v>
      </c>
      <c r="K71" s="73" t="str">
        <f>IF(Machine!$B81&gt;0,F71/Machine!$B81," ")</f>
        <v xml:space="preserve"> </v>
      </c>
      <c r="L71" s="646"/>
      <c r="M71" s="647"/>
    </row>
    <row r="72" spans="1:13" ht="13.15" x14ac:dyDescent="0.4">
      <c r="A72" s="57" t="s">
        <v>80</v>
      </c>
      <c r="B72" s="77">
        <f>SUM(B54:B71)</f>
        <v>62.037282419632461</v>
      </c>
      <c r="C72" s="77">
        <f>SUM(C54:C71)</f>
        <v>12.5670990457805</v>
      </c>
      <c r="D72" s="77">
        <f>SUM(D54:D71)</f>
        <v>6.3176816326530609</v>
      </c>
      <c r="E72" s="77">
        <f>SUM(E54:E71)</f>
        <v>3.6953938775510209</v>
      </c>
      <c r="F72" s="77">
        <f>SUM(F54:F71)</f>
        <v>84.617456975617046</v>
      </c>
      <c r="G72" s="542"/>
      <c r="H72" s="542"/>
      <c r="I72" s="542"/>
      <c r="J72" s="542"/>
      <c r="K72" s="542"/>
      <c r="L72" s="744"/>
      <c r="M72" s="745"/>
    </row>
    <row r="73" spans="1:13" ht="13.15" x14ac:dyDescent="0.4">
      <c r="A73" s="167"/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746"/>
      <c r="M73" s="537"/>
    </row>
    <row r="74" spans="1:13" ht="13.15" x14ac:dyDescent="0.4">
      <c r="A74" s="743" t="s">
        <v>586</v>
      </c>
      <c r="B74" s="77">
        <f>B45+B51+B72</f>
        <v>102.67392093091048</v>
      </c>
      <c r="C74" s="77">
        <f>C45+C51+C72</f>
        <v>18.51541265866754</v>
      </c>
      <c r="D74" s="77">
        <f>D45+D51+D72</f>
        <v>13.379969447676974</v>
      </c>
      <c r="E74" s="77">
        <f>E45+E51+E72</f>
        <v>10.03747500859007</v>
      </c>
      <c r="F74" s="77">
        <f>F45+F51+F72</f>
        <v>144.60677804584506</v>
      </c>
      <c r="G74" s="745"/>
      <c r="H74" s="745"/>
      <c r="I74" s="745"/>
      <c r="J74" s="745"/>
      <c r="K74" s="745"/>
      <c r="L74" s="744"/>
      <c r="M74" s="745"/>
    </row>
    <row r="75" spans="1:13" ht="13.15" x14ac:dyDescent="0.4">
      <c r="A75" s="847"/>
      <c r="B75" s="848"/>
      <c r="C75" s="848"/>
      <c r="D75" s="848"/>
      <c r="E75" s="848"/>
      <c r="F75" s="848"/>
      <c r="G75" s="849"/>
      <c r="H75" s="849"/>
      <c r="I75" s="849"/>
      <c r="J75" s="849"/>
      <c r="K75" s="849"/>
      <c r="L75" s="850"/>
      <c r="M75" s="849"/>
    </row>
    <row r="76" spans="1:13" ht="13.15" x14ac:dyDescent="0.4">
      <c r="A76" s="743" t="s">
        <v>580</v>
      </c>
      <c r="B76" s="77">
        <f>Budget!F49</f>
        <v>33.48374564999834</v>
      </c>
      <c r="C76" s="77">
        <f>Budget!F30</f>
        <v>3.7661458333333329</v>
      </c>
      <c r="D76" s="77">
        <f>Budget!F29</f>
        <v>29.055824511278196</v>
      </c>
      <c r="E76" s="77">
        <f>'C2_Irrigation_Calculations'!M41*Budget!E33</f>
        <v>0.48939000000000005</v>
      </c>
      <c r="F76" s="77">
        <f>SUM(B76:E76)</f>
        <v>66.79510599460987</v>
      </c>
      <c r="G76" s="745"/>
      <c r="H76" s="745"/>
      <c r="I76" s="745"/>
      <c r="J76" s="745"/>
      <c r="K76" s="745"/>
      <c r="L76" s="744"/>
      <c r="M76" s="745"/>
    </row>
  </sheetData>
  <sheetProtection selectLockedCells="1" selectUnlockedCells="1"/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74"/>
  <sheetViews>
    <sheetView workbookViewId="0">
      <selection activeCell="L69" activeCellId="31" sqref="A15 C15:H15 J15 L15:Q15 A31 C31:H31 J31 L31:Q31 A33:A37 J33:J37 C33:H37 L33:Q37 A43:A44 J43:J44 C43:H44 L43:Q44 A49 C49:H49 J49 L49:Q49 A58 C58:H58 J58 L58:Q58 A65 C65:H65 J65 L65:Q65 A69:A71 J69:J71 C69:H71 L69:Q71"/>
    </sheetView>
  </sheetViews>
  <sheetFormatPr defaultRowHeight="12.75" x14ac:dyDescent="0.35"/>
  <cols>
    <col min="1" max="1" width="28.1328125" customWidth="1"/>
    <col min="2" max="2" width="6.1328125" customWidth="1"/>
    <col min="3" max="3" width="8.265625" customWidth="1"/>
    <col min="4" max="4" width="8.73046875" customWidth="1"/>
    <col min="5" max="5" width="7.1328125" customWidth="1"/>
    <col min="6" max="6" width="6.1328125" customWidth="1"/>
    <col min="7" max="7" width="5.3984375" customWidth="1"/>
    <col min="8" max="8" width="6.3984375" customWidth="1"/>
    <col min="10" max="10" width="28.1328125" customWidth="1"/>
    <col min="11" max="11" width="6.1328125" customWidth="1"/>
    <col min="12" max="12" width="8.265625" customWidth="1"/>
    <col min="13" max="13" width="8.73046875" customWidth="1"/>
    <col min="14" max="14" width="7.1328125" customWidth="1"/>
    <col min="15" max="15" width="6.1328125" customWidth="1"/>
    <col min="16" max="16" width="5.3984375" customWidth="1"/>
    <col min="17" max="17" width="6.3984375" customWidth="1"/>
  </cols>
  <sheetData>
    <row r="1" spans="1:17" x14ac:dyDescent="0.35">
      <c r="A1" s="1274"/>
      <c r="B1" s="1544"/>
      <c r="C1" s="1275" t="s">
        <v>795</v>
      </c>
      <c r="D1" s="1276"/>
      <c r="E1" s="1276"/>
      <c r="F1" s="1276"/>
      <c r="G1" s="1276"/>
      <c r="H1" s="1277"/>
      <c r="I1" s="3"/>
      <c r="J1" s="1274"/>
      <c r="K1" s="1544"/>
      <c r="L1" s="1275" t="s">
        <v>795</v>
      </c>
      <c r="M1" s="1276"/>
      <c r="N1" s="1276"/>
      <c r="O1" s="1276"/>
      <c r="P1" s="1276"/>
      <c r="Q1" s="1277"/>
    </row>
    <row r="2" spans="1:17" ht="25.35" customHeight="1" x14ac:dyDescent="0.4">
      <c r="A2" s="1566" t="s">
        <v>217</v>
      </c>
      <c r="B2" s="1278"/>
      <c r="C2" s="1279" t="s">
        <v>33</v>
      </c>
      <c r="D2" s="1300" t="s">
        <v>810</v>
      </c>
      <c r="E2" s="1280"/>
      <c r="F2" s="1280"/>
      <c r="G2" s="1280"/>
      <c r="H2" s="1281"/>
      <c r="I2" s="3"/>
      <c r="J2" s="1566" t="s">
        <v>217</v>
      </c>
      <c r="K2" s="1278"/>
      <c r="L2" s="1279" t="s">
        <v>33</v>
      </c>
      <c r="M2" s="1300" t="s">
        <v>810</v>
      </c>
      <c r="N2" s="1280"/>
      <c r="O2" s="1280"/>
      <c r="P2" s="1280"/>
      <c r="Q2" s="1281"/>
    </row>
    <row r="3" spans="1:17" ht="12.75" customHeight="1" x14ac:dyDescent="0.4">
      <c r="A3" s="1567" t="s">
        <v>158</v>
      </c>
      <c r="B3" s="1282" t="s">
        <v>43</v>
      </c>
      <c r="C3" s="1283" t="s">
        <v>34</v>
      </c>
      <c r="D3" s="1284" t="s">
        <v>585</v>
      </c>
      <c r="E3" s="1284" t="s">
        <v>205</v>
      </c>
      <c r="F3" s="1284" t="s">
        <v>523</v>
      </c>
      <c r="G3" s="1284" t="s">
        <v>55</v>
      </c>
      <c r="H3" s="1285" t="s">
        <v>22</v>
      </c>
      <c r="I3" s="3"/>
      <c r="J3" s="1567" t="s">
        <v>158</v>
      </c>
      <c r="K3" s="1282" t="s">
        <v>43</v>
      </c>
      <c r="L3" s="1283" t="s">
        <v>34</v>
      </c>
      <c r="M3" s="1284" t="s">
        <v>585</v>
      </c>
      <c r="N3" s="1284" t="s">
        <v>205</v>
      </c>
      <c r="O3" s="1284" t="s">
        <v>523</v>
      </c>
      <c r="P3" s="1284" t="s">
        <v>55</v>
      </c>
      <c r="Q3" s="1285" t="s">
        <v>22</v>
      </c>
    </row>
    <row r="4" spans="1:17" ht="13.15" x14ac:dyDescent="0.4">
      <c r="A4" s="1286" t="str">
        <f>Machine!A14</f>
        <v>Paratill</v>
      </c>
      <c r="B4" s="1545">
        <f>Z2_Machine_Custom_Calculations!K14</f>
        <v>19</v>
      </c>
      <c r="C4" s="1287">
        <f>Z2_Machine_Custom_Calculations!Z14-SUM(Z2_Machine_Custom_Calculations!W14:Y14)</f>
        <v>11.749280633742401</v>
      </c>
      <c r="D4" s="1288">
        <f>SUM(Z2_Machine_Custom_Calculations!W14:Y14)</f>
        <v>1.7169951722136227</v>
      </c>
      <c r="E4" s="1288">
        <f>Z2_Machine_Custom_Calculations!AC14+Z2_Machine_Custom_Calculations!AF14</f>
        <v>1.6604456419278977</v>
      </c>
      <c r="F4" s="1288">
        <f>Z2_Machine_Custom_Calculations!AJ14</f>
        <v>3.1793405572755424</v>
      </c>
      <c r="G4" s="1288">
        <f>Z2_Machine_Custom_Calculations!AM14</f>
        <v>1.969681114551084</v>
      </c>
      <c r="H4" s="1289">
        <f>SUM(C4:G4)</f>
        <v>20.275743119710544</v>
      </c>
      <c r="I4" s="3"/>
      <c r="J4" s="1286" t="str">
        <f>A4</f>
        <v>Paratill</v>
      </c>
      <c r="K4" s="1545">
        <f>Z2_Machine_Custom_Calculations!K14</f>
        <v>19</v>
      </c>
      <c r="L4" s="1287">
        <f t="shared" ref="L4:Q4" si="0">C4</f>
        <v>11.749280633742401</v>
      </c>
      <c r="M4" s="1288">
        <f t="shared" si="0"/>
        <v>1.7169951722136227</v>
      </c>
      <c r="N4" s="1288">
        <f t="shared" si="0"/>
        <v>1.6604456419278977</v>
      </c>
      <c r="O4" s="1288">
        <f t="shared" si="0"/>
        <v>3.1793405572755424</v>
      </c>
      <c r="P4" s="1288">
        <f t="shared" si="0"/>
        <v>1.969681114551084</v>
      </c>
      <c r="Q4" s="1289">
        <f t="shared" si="0"/>
        <v>20.275743119710544</v>
      </c>
    </row>
    <row r="5" spans="1:17" ht="13.15" x14ac:dyDescent="0.4">
      <c r="A5" s="1290" t="str">
        <f>Machine!A15</f>
        <v>Subsoiler, 25 ft.</v>
      </c>
      <c r="B5" s="1546">
        <f>Z2_Machine_Custom_Calculations!K15</f>
        <v>25</v>
      </c>
      <c r="C5" s="1291">
        <f>Z2_Machine_Custom_Calculations!Z15-SUM(Z2_Machine_Custom_Calculations!W15:Y15)</f>
        <v>9.2185688936803594</v>
      </c>
      <c r="D5" s="1292">
        <f>SUM(Z2_Machine_Custom_Calculations!W15:Y15)</f>
        <v>1.3467195661764706</v>
      </c>
      <c r="E5" s="1292">
        <f>Z2_Machine_Custom_Calculations!AC15+Z2_Machine_Custom_Calculations!AF15</f>
        <v>1.371675155101409</v>
      </c>
      <c r="F5" s="1292">
        <f>Z2_Machine_Custom_Calculations!AJ15</f>
        <v>2.4162988235294116</v>
      </c>
      <c r="G5" s="1292">
        <f>Z2_Machine_Custom_Calculations!AM15</f>
        <v>1.4969576470588237</v>
      </c>
      <c r="H5" s="1293">
        <f t="shared" ref="H5:H44" si="1">SUM(C5:G5)</f>
        <v>15.850220085546475</v>
      </c>
      <c r="I5" s="3"/>
      <c r="J5" s="1290" t="str">
        <f t="shared" ref="J5:J44" si="2">A5</f>
        <v>Subsoiler, 25 ft.</v>
      </c>
      <c r="K5" s="1546">
        <f>Z2_Machine_Custom_Calculations!K15</f>
        <v>25</v>
      </c>
      <c r="L5" s="1291">
        <f t="shared" ref="L5:L44" si="3">C5</f>
        <v>9.2185688936803594</v>
      </c>
      <c r="M5" s="1292">
        <f t="shared" ref="M5:M44" si="4">D5</f>
        <v>1.3467195661764706</v>
      </c>
      <c r="N5" s="1292">
        <f t="shared" ref="N5:N44" si="5">E5</f>
        <v>1.371675155101409</v>
      </c>
      <c r="O5" s="1292">
        <f t="shared" ref="O5:O44" si="6">F5</f>
        <v>2.4162988235294116</v>
      </c>
      <c r="P5" s="1292">
        <f t="shared" ref="P5:P44" si="7">G5</f>
        <v>1.4969576470588237</v>
      </c>
      <c r="Q5" s="1293">
        <f t="shared" ref="Q5:Q44" si="8">H5</f>
        <v>15.850220085546475</v>
      </c>
    </row>
    <row r="6" spans="1:17" ht="13.15" x14ac:dyDescent="0.4">
      <c r="A6" s="1290" t="str">
        <f>Machine!A16</f>
        <v>Subsoiler, 5 shank</v>
      </c>
      <c r="B6" s="1546">
        <f>Z2_Machine_Custom_Calculations!K16</f>
        <v>12</v>
      </c>
      <c r="C6" s="1291">
        <f>Z2_Machine_Custom_Calculations!Z16-SUM(Z2_Machine_Custom_Calculations!W16:Y16)</f>
        <v>18.000703478350182</v>
      </c>
      <c r="D6" s="1292">
        <f>SUM(Z2_Machine_Custom_Calculations!W16:Y16)</f>
        <v>2.6314856158088236</v>
      </c>
      <c r="E6" s="1292">
        <f>Z2_Machine_Custom_Calculations!AC16+Z2_Machine_Custom_Calculations!AF16</f>
        <v>2.4004212929770721</v>
      </c>
      <c r="F6" s="1292">
        <f>Z2_Machine_Custom_Calculations!AJ16</f>
        <v>5.0339558823529416</v>
      </c>
      <c r="G6" s="1292">
        <f>Z2_Machine_Custom_Calculations!AM16</f>
        <v>3.1186617647058825</v>
      </c>
      <c r="H6" s="1293">
        <f t="shared" si="1"/>
        <v>31.185228034194903</v>
      </c>
      <c r="I6" s="3"/>
      <c r="J6" s="1290" t="str">
        <f t="shared" si="2"/>
        <v>Subsoiler, 5 shank</v>
      </c>
      <c r="K6" s="1546">
        <f>Z2_Machine_Custom_Calculations!K16</f>
        <v>12</v>
      </c>
      <c r="L6" s="1291">
        <f t="shared" si="3"/>
        <v>18.000703478350182</v>
      </c>
      <c r="M6" s="1292">
        <f t="shared" si="4"/>
        <v>2.6314856158088236</v>
      </c>
      <c r="N6" s="1292">
        <f t="shared" si="5"/>
        <v>2.4004212929770721</v>
      </c>
      <c r="O6" s="1292">
        <f t="shared" si="6"/>
        <v>5.0339558823529416</v>
      </c>
      <c r="P6" s="1292">
        <f t="shared" si="7"/>
        <v>3.1186617647058825</v>
      </c>
      <c r="Q6" s="1293">
        <f t="shared" si="8"/>
        <v>31.185228034194903</v>
      </c>
    </row>
    <row r="7" spans="1:17" ht="13.15" x14ac:dyDescent="0.4">
      <c r="A7" s="1290" t="str">
        <f>Machine!A17</f>
        <v>Bedder, Rip/Disk</v>
      </c>
      <c r="B7" s="1546">
        <f>Z2_Machine_Custom_Calculations!K17</f>
        <v>38</v>
      </c>
      <c r="C7" s="1291">
        <f>Z2_Machine_Custom_Calculations!Z17-SUM(Z2_Machine_Custom_Calculations!W17:Y17)</f>
        <v>8.1630759795749839</v>
      </c>
      <c r="D7" s="1292">
        <f>SUM(Z2_Machine_Custom_Calculations!W17:Y17)</f>
        <v>1.1893825694175697</v>
      </c>
      <c r="E7" s="1292">
        <f>Z2_Machine_Custom_Calculations!AC17+Z2_Machine_Custom_Calculations!AF17</f>
        <v>1.203141966870543</v>
      </c>
      <c r="F7" s="1292">
        <f>Z2_Machine_Custom_Calculations!AJ17</f>
        <v>1.5896702786377712</v>
      </c>
      <c r="G7" s="1292">
        <f>Z2_Machine_Custom_Calculations!AM17</f>
        <v>0.98484055727554198</v>
      </c>
      <c r="H7" s="1293">
        <f t="shared" si="1"/>
        <v>13.130111351776408</v>
      </c>
      <c r="I7" s="3"/>
      <c r="J7" s="1290" t="str">
        <f t="shared" si="2"/>
        <v>Bedder, Rip/Disk</v>
      </c>
      <c r="K7" s="1546">
        <f>Z2_Machine_Custom_Calculations!K17</f>
        <v>38</v>
      </c>
      <c r="L7" s="1291">
        <f t="shared" si="3"/>
        <v>8.1630759795749839</v>
      </c>
      <c r="M7" s="1292">
        <f t="shared" si="4"/>
        <v>1.1893825694175697</v>
      </c>
      <c r="N7" s="1292">
        <f t="shared" si="5"/>
        <v>1.203141966870543</v>
      </c>
      <c r="O7" s="1292">
        <f t="shared" si="6"/>
        <v>1.5896702786377712</v>
      </c>
      <c r="P7" s="1292">
        <f t="shared" si="7"/>
        <v>0.98484055727554198</v>
      </c>
      <c r="Q7" s="1293">
        <f t="shared" si="8"/>
        <v>13.130111351776408</v>
      </c>
    </row>
    <row r="8" spans="1:17" ht="13.15" x14ac:dyDescent="0.4">
      <c r="A8" s="1290" t="str">
        <f>Machine!A18</f>
        <v>Bedder, Lister</v>
      </c>
      <c r="B8" s="1546">
        <f>Z2_Machine_Custom_Calculations!K18</f>
        <v>38</v>
      </c>
      <c r="C8" s="1291">
        <f>Z2_Machine_Custom_Calculations!Z18-SUM(Z2_Machine_Custom_Calculations!W18:Y18)</f>
        <v>6.9496106794685488</v>
      </c>
      <c r="D8" s="1292">
        <f>SUM(Z2_Machine_Custom_Calculations!W18:Y18)</f>
        <v>1.0139275841113586</v>
      </c>
      <c r="E8" s="1292">
        <f>Z2_Machine_Custom_Calculations!AC18+Z2_Machine_Custom_Calculations!AF18</f>
        <v>1.2382376256446246</v>
      </c>
      <c r="F8" s="1292">
        <f>Z2_Machine_Custom_Calculations!AJ18</f>
        <v>1.5896702786377712</v>
      </c>
      <c r="G8" s="1292">
        <f>Z2_Machine_Custom_Calculations!AM18</f>
        <v>0.98484055727554198</v>
      </c>
      <c r="H8" s="1293">
        <f t="shared" si="1"/>
        <v>11.776286725137844</v>
      </c>
      <c r="I8" s="3"/>
      <c r="J8" s="1290" t="str">
        <f t="shared" si="2"/>
        <v>Bedder, Lister</v>
      </c>
      <c r="K8" s="1546">
        <f>Z2_Machine_Custom_Calculations!K18</f>
        <v>38</v>
      </c>
      <c r="L8" s="1291">
        <f t="shared" si="3"/>
        <v>6.9496106794685488</v>
      </c>
      <c r="M8" s="1292">
        <f t="shared" si="4"/>
        <v>1.0139275841113586</v>
      </c>
      <c r="N8" s="1292">
        <f t="shared" si="5"/>
        <v>1.2382376256446246</v>
      </c>
      <c r="O8" s="1292">
        <f t="shared" si="6"/>
        <v>1.5896702786377712</v>
      </c>
      <c r="P8" s="1292">
        <f t="shared" si="7"/>
        <v>0.98484055727554198</v>
      </c>
      <c r="Q8" s="1293">
        <f t="shared" si="8"/>
        <v>11.776286725137844</v>
      </c>
    </row>
    <row r="9" spans="1:17" ht="13.15" x14ac:dyDescent="0.4">
      <c r="A9" s="1290" t="str">
        <f>Machine!A19</f>
        <v>Disk</v>
      </c>
      <c r="B9" s="1546">
        <f>Z2_Machine_Custom_Calculations!K19</f>
        <v>32</v>
      </c>
      <c r="C9" s="1291">
        <f>Z2_Machine_Custom_Calculations!Z19-SUM(Z2_Machine_Custom_Calculations!W19:Y19)</f>
        <v>8.040684104572108</v>
      </c>
      <c r="D9" s="1292">
        <f>SUM(Z2_Machine_Custom_Calculations!W19:Y19)</f>
        <v>1.1704473115808824</v>
      </c>
      <c r="E9" s="1292">
        <f>Z2_Machine_Custom_Calculations!AC19+Z2_Machine_Custom_Calculations!AF19</f>
        <v>1.2667960902293078</v>
      </c>
      <c r="F9" s="1292">
        <f>Z2_Machine_Custom_Calculations!AJ19</f>
        <v>1.3728970588235292</v>
      </c>
      <c r="G9" s="1292">
        <f>Z2_Machine_Custom_Calculations!AM19</f>
        <v>0.85054411764705884</v>
      </c>
      <c r="H9" s="1293">
        <f t="shared" si="1"/>
        <v>12.701368682852888</v>
      </c>
      <c r="I9" s="3"/>
      <c r="J9" s="1290" t="str">
        <f t="shared" si="2"/>
        <v>Disk</v>
      </c>
      <c r="K9" s="1546">
        <f>Z2_Machine_Custom_Calculations!K19</f>
        <v>32</v>
      </c>
      <c r="L9" s="1291">
        <f t="shared" si="3"/>
        <v>8.040684104572108</v>
      </c>
      <c r="M9" s="1292">
        <f t="shared" si="4"/>
        <v>1.1704473115808824</v>
      </c>
      <c r="N9" s="1292">
        <f t="shared" si="5"/>
        <v>1.2667960902293078</v>
      </c>
      <c r="O9" s="1292">
        <f t="shared" si="6"/>
        <v>1.3728970588235292</v>
      </c>
      <c r="P9" s="1292">
        <f t="shared" si="7"/>
        <v>0.85054411764705884</v>
      </c>
      <c r="Q9" s="1293">
        <f t="shared" si="8"/>
        <v>12.701368682852888</v>
      </c>
    </row>
    <row r="10" spans="1:17" ht="13.15" x14ac:dyDescent="0.4">
      <c r="A10" s="1290" t="str">
        <f>Machine!A20</f>
        <v>Bedder, Hipper</v>
      </c>
      <c r="B10" s="1546">
        <f>Z2_Machine_Custom_Calculations!K20</f>
        <v>38</v>
      </c>
      <c r="C10" s="1291">
        <f>Z2_Machine_Custom_Calculations!Z20-SUM(Z2_Machine_Custom_Calculations!W20:Y20)</f>
        <v>7.4850210729696522</v>
      </c>
      <c r="D10" s="1292">
        <f>SUM(Z2_Machine_Custom_Calculations!W20:Y20)</f>
        <v>1.090837969435307</v>
      </c>
      <c r="E10" s="1292">
        <f>Z2_Machine_Custom_Calculations!AC20+Z2_Machine_Custom_Calculations!AF20</f>
        <v>1.0846891460606569</v>
      </c>
      <c r="F10" s="1292">
        <f>Z2_Machine_Custom_Calculations!AJ20</f>
        <v>1.5013552631578946</v>
      </c>
      <c r="G10" s="1292">
        <f>Z2_Machine_Custom_Calculations!AM20</f>
        <v>0.93012719298245616</v>
      </c>
      <c r="H10" s="1293">
        <f t="shared" si="1"/>
        <v>12.092030644605964</v>
      </c>
      <c r="I10" s="3"/>
      <c r="J10" s="1290" t="str">
        <f t="shared" si="2"/>
        <v>Bedder, Hipper</v>
      </c>
      <c r="K10" s="1546">
        <f>Z2_Machine_Custom_Calculations!K20</f>
        <v>38</v>
      </c>
      <c r="L10" s="1291">
        <f t="shared" si="3"/>
        <v>7.4850210729696522</v>
      </c>
      <c r="M10" s="1292">
        <f t="shared" si="4"/>
        <v>1.090837969435307</v>
      </c>
      <c r="N10" s="1292">
        <f t="shared" si="5"/>
        <v>1.0846891460606569</v>
      </c>
      <c r="O10" s="1292">
        <f t="shared" si="6"/>
        <v>1.5013552631578946</v>
      </c>
      <c r="P10" s="1292">
        <f t="shared" si="7"/>
        <v>0.93012719298245616</v>
      </c>
      <c r="Q10" s="1293">
        <f t="shared" si="8"/>
        <v>12.092030644605964</v>
      </c>
    </row>
    <row r="11" spans="1:17" ht="13.15" x14ac:dyDescent="0.4">
      <c r="A11" s="1290" t="str">
        <f>Machine!A21</f>
        <v>Chisel Plow</v>
      </c>
      <c r="B11" s="1546">
        <f>Z2_Machine_Custom_Calculations!K21</f>
        <v>32</v>
      </c>
      <c r="C11" s="1291">
        <f>Z2_Machine_Custom_Calculations!Z21-SUM(Z2_Machine_Custom_Calculations!W21:Y21)</f>
        <v>7.3427065618728378</v>
      </c>
      <c r="D11" s="1292">
        <f>SUM(Z2_Machine_Custom_Calculations!W21:Y21)</f>
        <v>1.0703111718749998</v>
      </c>
      <c r="E11" s="1292">
        <f>Z2_Machine_Custom_Calculations!AC21+Z2_Machine_Custom_Calculations!AF21</f>
        <v>1.3274733533529981</v>
      </c>
      <c r="F11" s="1292">
        <f>Z2_Machine_Custom_Calculations!AJ21</f>
        <v>1.5101867647058824</v>
      </c>
      <c r="G11" s="1292">
        <f>Z2_Machine_Custom_Calculations!AM21</f>
        <v>0.9355985294117648</v>
      </c>
      <c r="H11" s="1293">
        <f t="shared" si="1"/>
        <v>12.186276381218482</v>
      </c>
      <c r="I11" s="3"/>
      <c r="J11" s="1290" t="str">
        <f t="shared" si="2"/>
        <v>Chisel Plow</v>
      </c>
      <c r="K11" s="1546">
        <f>Z2_Machine_Custom_Calculations!K21</f>
        <v>32</v>
      </c>
      <c r="L11" s="1291">
        <f t="shared" si="3"/>
        <v>7.3427065618728378</v>
      </c>
      <c r="M11" s="1292">
        <f t="shared" si="4"/>
        <v>1.0703111718749998</v>
      </c>
      <c r="N11" s="1292">
        <f t="shared" si="5"/>
        <v>1.3274733533529981</v>
      </c>
      <c r="O11" s="1292">
        <f t="shared" si="6"/>
        <v>1.5101867647058824</v>
      </c>
      <c r="P11" s="1292">
        <f t="shared" si="7"/>
        <v>0.9355985294117648</v>
      </c>
      <c r="Q11" s="1293">
        <f t="shared" si="8"/>
        <v>12.186276381218482</v>
      </c>
    </row>
    <row r="12" spans="1:17" ht="13.15" x14ac:dyDescent="0.4">
      <c r="A12" s="1290" t="str">
        <f>Machine!A22</f>
        <v>Harrow</v>
      </c>
      <c r="B12" s="1546">
        <f>Z2_Machine_Custom_Calculations!K22</f>
        <v>40</v>
      </c>
      <c r="C12" s="1291">
        <f>Z2_Machine_Custom_Calculations!Z22-SUM(Z2_Machine_Custom_Calculations!W22:Y22)</f>
        <v>3.469248931427531</v>
      </c>
      <c r="D12" s="1292">
        <f>SUM(Z2_Machine_Custom_Calculations!W22:Y22)</f>
        <v>0.50558911223082981</v>
      </c>
      <c r="E12" s="1292">
        <f>Z2_Machine_Custom_Calculations!AC22+Z2_Machine_Custom_Calculations!AF22</f>
        <v>0.62861924771935951</v>
      </c>
      <c r="F12" s="1292">
        <f>Z2_Machine_Custom_Calculations!AJ22</f>
        <v>0.73164327731092449</v>
      </c>
      <c r="G12" s="1292">
        <f>Z2_Machine_Custom_Calculations!AM22</f>
        <v>0.534627731092437</v>
      </c>
      <c r="H12" s="1293">
        <f t="shared" si="1"/>
        <v>5.8697282997810811</v>
      </c>
      <c r="I12" s="3"/>
      <c r="J12" s="1290" t="str">
        <f t="shared" si="2"/>
        <v>Harrow</v>
      </c>
      <c r="K12" s="1546">
        <f>Z2_Machine_Custom_Calculations!K22</f>
        <v>40</v>
      </c>
      <c r="L12" s="1291">
        <f t="shared" si="3"/>
        <v>3.469248931427531</v>
      </c>
      <c r="M12" s="1292">
        <f t="shared" si="4"/>
        <v>0.50558911223082981</v>
      </c>
      <c r="N12" s="1292">
        <f t="shared" si="5"/>
        <v>0.62861924771935951</v>
      </c>
      <c r="O12" s="1292">
        <f t="shared" si="6"/>
        <v>0.73164327731092449</v>
      </c>
      <c r="P12" s="1292">
        <f t="shared" si="7"/>
        <v>0.534627731092437</v>
      </c>
      <c r="Q12" s="1293">
        <f t="shared" si="8"/>
        <v>5.8697282997810811</v>
      </c>
    </row>
    <row r="13" spans="1:17" ht="13.15" x14ac:dyDescent="0.4">
      <c r="A13" s="1290" t="str">
        <f>Machine!A23</f>
        <v>Roller</v>
      </c>
      <c r="B13" s="1546">
        <f>Z2_Machine_Custom_Calculations!K23</f>
        <v>38</v>
      </c>
      <c r="C13" s="1291">
        <f>Z2_Machine_Custom_Calculations!Z23-SUM(Z2_Machine_Custom_Calculations!W23:Y23)</f>
        <v>4.3936747233650948</v>
      </c>
      <c r="D13" s="1292">
        <f>SUM(Z2_Machine_Custom_Calculations!W23:Y23)</f>
        <v>0.63919400799793613</v>
      </c>
      <c r="E13" s="1292">
        <f>Z2_Machine_Custom_Calculations!AC23+Z2_Machine_Custom_Calculations!AF23</f>
        <v>0.44145862231138666</v>
      </c>
      <c r="F13" s="1292">
        <f>Z2_Machine_Custom_Calculations!AJ23</f>
        <v>1.0597801857585138</v>
      </c>
      <c r="G13" s="1292">
        <f>Z2_Machine_Custom_Calculations!AM23</f>
        <v>0.65656037151702795</v>
      </c>
      <c r="H13" s="1293">
        <f t="shared" si="1"/>
        <v>7.1906679109499585</v>
      </c>
      <c r="I13" s="3"/>
      <c r="J13" s="1290" t="str">
        <f t="shared" si="2"/>
        <v>Roller</v>
      </c>
      <c r="K13" s="1546">
        <f>Z2_Machine_Custom_Calculations!K23</f>
        <v>38</v>
      </c>
      <c r="L13" s="1291">
        <f t="shared" si="3"/>
        <v>4.3936747233650948</v>
      </c>
      <c r="M13" s="1292">
        <f t="shared" si="4"/>
        <v>0.63919400799793613</v>
      </c>
      <c r="N13" s="1292">
        <f t="shared" si="5"/>
        <v>0.44145862231138666</v>
      </c>
      <c r="O13" s="1292">
        <f t="shared" si="6"/>
        <v>1.0597801857585138</v>
      </c>
      <c r="P13" s="1292">
        <f t="shared" si="7"/>
        <v>0.65656037151702795</v>
      </c>
      <c r="Q13" s="1293">
        <f t="shared" si="8"/>
        <v>7.1906679109499585</v>
      </c>
    </row>
    <row r="14" spans="1:17" ht="13.15" x14ac:dyDescent="0.4">
      <c r="A14" s="1290" t="str">
        <f>Machine!A24</f>
        <v>Bedder-Roller</v>
      </c>
      <c r="B14" s="1546">
        <f>Z2_Machine_Custom_Calculations!K24</f>
        <v>38</v>
      </c>
      <c r="C14" s="1291">
        <f>Z2_Machine_Custom_Calculations!Z24-SUM(Z2_Machine_Custom_Calculations!W24:Y24)</f>
        <v>5.9424021648803471</v>
      </c>
      <c r="D14" s="1292">
        <f>SUM(Z2_Machine_Custom_Calculations!W24:Y24)</f>
        <v>0.86647864164086696</v>
      </c>
      <c r="E14" s="1292">
        <f>Z2_Machine_Custom_Calculations!AC24+Z2_Machine_Custom_Calculations!AF24</f>
        <v>0.61614095907866862</v>
      </c>
      <c r="F14" s="1292">
        <f>Z2_Machine_Custom_Calculations!AJ24</f>
        <v>1.2717362229102167</v>
      </c>
      <c r="G14" s="1292">
        <f>Z2_Machine_Custom_Calculations!AM24</f>
        <v>0.78787244582043359</v>
      </c>
      <c r="H14" s="1293">
        <f t="shared" si="1"/>
        <v>9.4846304343305334</v>
      </c>
      <c r="I14" s="3"/>
      <c r="J14" s="1290" t="str">
        <f t="shared" si="2"/>
        <v>Bedder-Roller</v>
      </c>
      <c r="K14" s="1546">
        <f>Z2_Machine_Custom_Calculations!K24</f>
        <v>38</v>
      </c>
      <c r="L14" s="1291">
        <f t="shared" si="3"/>
        <v>5.9424021648803471</v>
      </c>
      <c r="M14" s="1292">
        <f t="shared" si="4"/>
        <v>0.86647864164086696</v>
      </c>
      <c r="N14" s="1292">
        <f t="shared" si="5"/>
        <v>0.61614095907866862</v>
      </c>
      <c r="O14" s="1292">
        <f t="shared" si="6"/>
        <v>1.2717362229102167</v>
      </c>
      <c r="P14" s="1292">
        <f t="shared" si="7"/>
        <v>0.78787244582043359</v>
      </c>
      <c r="Q14" s="1293">
        <f t="shared" si="8"/>
        <v>9.4846304343305334</v>
      </c>
    </row>
    <row r="15" spans="1:17" ht="13.15" x14ac:dyDescent="0.4">
      <c r="A15" s="1290" t="str">
        <f>Machine!A25</f>
        <v>Ditcher</v>
      </c>
      <c r="B15" s="1547"/>
      <c r="C15" s="1291">
        <f>Z2_Machine_Custom_Calculations!Z25-SUM(Z2_Machine_Custom_Calculations!W25:Y25)</f>
        <v>0.248608465308465</v>
      </c>
      <c r="D15" s="1292">
        <f>SUM(Z2_Machine_Custom_Calculations!W25:Y25)</f>
        <v>3.6230714459548091E-2</v>
      </c>
      <c r="E15" s="1292">
        <f>Z2_Machine_Custom_Calculations!AC25+Z2_Machine_Custom_Calculations!AF25</f>
        <v>2.3048128981700555E-2</v>
      </c>
      <c r="F15" s="1292">
        <f>Z2_Machine_Custom_Calculations!AJ25</f>
        <v>7.8815609788038712E-2</v>
      </c>
      <c r="G15" s="1292">
        <f>Z2_Machine_Custom_Calculations!AM25</f>
        <v>6.4174264221459137E-2</v>
      </c>
      <c r="H15" s="1293">
        <f t="shared" si="1"/>
        <v>0.45087718275921151</v>
      </c>
      <c r="I15" s="3"/>
      <c r="J15" s="1290" t="str">
        <f t="shared" si="2"/>
        <v>Ditcher</v>
      </c>
      <c r="K15" s="1547"/>
      <c r="L15" s="1291">
        <f t="shared" si="3"/>
        <v>0.248608465308465</v>
      </c>
      <c r="M15" s="1292">
        <f t="shared" si="4"/>
        <v>3.6230714459548091E-2</v>
      </c>
      <c r="N15" s="1292">
        <f t="shared" si="5"/>
        <v>2.3048128981700555E-2</v>
      </c>
      <c r="O15" s="1292">
        <f t="shared" si="6"/>
        <v>7.8815609788038712E-2</v>
      </c>
      <c r="P15" s="1292">
        <f t="shared" si="7"/>
        <v>6.4174264221459137E-2</v>
      </c>
      <c r="Q15" s="1293">
        <f t="shared" si="8"/>
        <v>0.45087718275921151</v>
      </c>
    </row>
    <row r="16" spans="1:17" ht="13.15" x14ac:dyDescent="0.4">
      <c r="A16" s="1290" t="str">
        <f>Machine!A26</f>
        <v>Turbo Tiller</v>
      </c>
      <c r="B16" s="1546">
        <f>Z2_Machine_Custom_Calculations!K26</f>
        <v>30</v>
      </c>
      <c r="C16" s="1291">
        <f>Z2_Machine_Custom_Calculations!Z26-SUM(Z2_Machine_Custom_Calculations!W26:Y26)</f>
        <v>7.9782844089541269</v>
      </c>
      <c r="D16" s="1292">
        <f>SUM(Z2_Machine_Custom_Calculations!W26:Y26)</f>
        <v>1.1605657728794643</v>
      </c>
      <c r="E16" s="1292">
        <f>Z2_Machine_Custom_Calculations!AC26+Z2_Machine_Custom_Calculations!AF26</f>
        <v>1.4982229301459269</v>
      </c>
      <c r="F16" s="1292">
        <f>Z2_Machine_Custom_Calculations!AJ26</f>
        <v>1.2225321428571427</v>
      </c>
      <c r="G16" s="1292">
        <f>Z2_Machine_Custom_Calculations!AM26</f>
        <v>0.75738928571428576</v>
      </c>
      <c r="H16" s="1293">
        <f t="shared" si="1"/>
        <v>12.616994540550946</v>
      </c>
      <c r="I16" s="3"/>
      <c r="J16" s="1290" t="str">
        <f t="shared" si="2"/>
        <v>Turbo Tiller</v>
      </c>
      <c r="K16" s="1546">
        <f>Z2_Machine_Custom_Calculations!K26</f>
        <v>30</v>
      </c>
      <c r="L16" s="1291">
        <f t="shared" si="3"/>
        <v>7.9782844089541269</v>
      </c>
      <c r="M16" s="1292">
        <f t="shared" si="4"/>
        <v>1.1605657728794643</v>
      </c>
      <c r="N16" s="1292">
        <f t="shared" si="5"/>
        <v>1.4982229301459269</v>
      </c>
      <c r="O16" s="1292">
        <f t="shared" si="6"/>
        <v>1.2225321428571427</v>
      </c>
      <c r="P16" s="1292">
        <f t="shared" si="7"/>
        <v>0.75738928571428576</v>
      </c>
      <c r="Q16" s="1293">
        <f t="shared" si="8"/>
        <v>12.616994540550946</v>
      </c>
    </row>
    <row r="17" spans="1:17" ht="13.15" x14ac:dyDescent="0.4">
      <c r="A17" s="1290" t="str">
        <f>Machine!A27</f>
        <v>Rotary Harrow (ex. Phillips)</v>
      </c>
      <c r="B17" s="1546">
        <f>Z2_Machine_Custom_Calculations!K27</f>
        <v>45</v>
      </c>
      <c r="C17" s="1291">
        <f>Z2_Machine_Custom_Calculations!Z27-SUM(Z2_Machine_Custom_Calculations!W27:Y27)</f>
        <v>3.9058443517906651</v>
      </c>
      <c r="D17" s="1292">
        <f>SUM(Z2_Machine_Custom_Calculations!W27:Y27)</f>
        <v>0.56940307787698408</v>
      </c>
      <c r="E17" s="1292">
        <f>Z2_Machine_Custom_Calculations!AC27+Z2_Machine_Custom_Calculations!AF27</f>
        <v>0.48523465365719193</v>
      </c>
      <c r="F17" s="1292">
        <f>Z2_Machine_Custom_Calculations!AJ27</f>
        <v>0.81502142857142845</v>
      </c>
      <c r="G17" s="1292">
        <f>Z2_Machine_Custom_Calculations!AM27</f>
        <v>0.50492619047619047</v>
      </c>
      <c r="H17" s="1293">
        <f t="shared" si="1"/>
        <v>6.2804297023724605</v>
      </c>
      <c r="I17" s="3"/>
      <c r="J17" s="1290" t="str">
        <f t="shared" si="2"/>
        <v>Rotary Harrow (ex. Phillips)</v>
      </c>
      <c r="K17" s="1546">
        <f>Z2_Machine_Custom_Calculations!K27</f>
        <v>45</v>
      </c>
      <c r="L17" s="1291">
        <f t="shared" si="3"/>
        <v>3.9058443517906651</v>
      </c>
      <c r="M17" s="1292">
        <f t="shared" si="4"/>
        <v>0.56940307787698408</v>
      </c>
      <c r="N17" s="1292">
        <f t="shared" si="5"/>
        <v>0.48523465365719193</v>
      </c>
      <c r="O17" s="1292">
        <f t="shared" si="6"/>
        <v>0.81502142857142845</v>
      </c>
      <c r="P17" s="1292">
        <f t="shared" si="7"/>
        <v>0.50492619047619047</v>
      </c>
      <c r="Q17" s="1293">
        <f t="shared" si="8"/>
        <v>6.2804297023724605</v>
      </c>
    </row>
    <row r="18" spans="1:17" ht="13.15" x14ac:dyDescent="0.4">
      <c r="A18" s="1290" t="str">
        <f>Machine!A28</f>
        <v>Field Cultivator</v>
      </c>
      <c r="B18" s="1546">
        <f>Z2_Machine_Custom_Calculations!K28</f>
        <v>42</v>
      </c>
      <c r="C18" s="1291">
        <f>Z2_Machine_Custom_Calculations!Z28-SUM(Z2_Machine_Custom_Calculations!W28:Y28)</f>
        <v>4.8687862434752507</v>
      </c>
      <c r="D18" s="1292">
        <f>SUM(Z2_Machine_Custom_Calculations!W28:Y28)</f>
        <v>0.70867400960384153</v>
      </c>
      <c r="E18" s="1292">
        <f>Z2_Machine_Custom_Calculations!AC28+Z2_Machine_Custom_Calculations!AF28</f>
        <v>0.98421540662822871</v>
      </c>
      <c r="F18" s="1292">
        <f>Z2_Machine_Custom_Calculations!AJ28</f>
        <v>0.82187034813925552</v>
      </c>
      <c r="G18" s="1292">
        <f>Z2_Machine_Custom_Calculations!AM28</f>
        <v>0.50916926770708282</v>
      </c>
      <c r="H18" s="1293">
        <f t="shared" si="1"/>
        <v>7.8927152755536598</v>
      </c>
      <c r="I18" s="3"/>
      <c r="J18" s="1290" t="str">
        <f t="shared" si="2"/>
        <v>Field Cultivator</v>
      </c>
      <c r="K18" s="1546">
        <f>Z2_Machine_Custom_Calculations!K28</f>
        <v>42</v>
      </c>
      <c r="L18" s="1291">
        <f t="shared" si="3"/>
        <v>4.8687862434752507</v>
      </c>
      <c r="M18" s="1292">
        <f t="shared" si="4"/>
        <v>0.70867400960384153</v>
      </c>
      <c r="N18" s="1292">
        <f t="shared" si="5"/>
        <v>0.98421540662822871</v>
      </c>
      <c r="O18" s="1292">
        <f t="shared" si="6"/>
        <v>0.82187034813925552</v>
      </c>
      <c r="P18" s="1292">
        <f t="shared" si="7"/>
        <v>0.50916926770708282</v>
      </c>
      <c r="Q18" s="1293">
        <f t="shared" si="8"/>
        <v>7.8927152755536598</v>
      </c>
    </row>
    <row r="19" spans="1:17" ht="13.15" x14ac:dyDescent="0.4">
      <c r="A19" s="1290" t="str">
        <f>Machine!A29</f>
        <v>Row Crop Cultivator, Row Middles</v>
      </c>
      <c r="B19" s="1546">
        <f>Z2_Machine_Custom_Calculations!K29</f>
        <v>38</v>
      </c>
      <c r="C19" s="1291">
        <f>Z2_Machine_Custom_Calculations!Z29-SUM(Z2_Machine_Custom_Calculations!W29:Y29)</f>
        <v>4.3510693725162248</v>
      </c>
      <c r="D19" s="1292">
        <f>SUM(Z2_Machine_Custom_Calculations!W29:Y29)</f>
        <v>0.63463603148496228</v>
      </c>
      <c r="E19" s="1292">
        <f>Z2_Machine_Custom_Calculations!AC29+Z2_Machine_Custom_Calculations!AF29</f>
        <v>0.45171120485025068</v>
      </c>
      <c r="F19" s="1292">
        <f>Z2_Machine_Custom_Calculations!AJ29</f>
        <v>0.96515695488721776</v>
      </c>
      <c r="G19" s="1292">
        <f>Z2_Machine_Custom_Calculations!AM29</f>
        <v>0.59793890977443598</v>
      </c>
      <c r="H19" s="1293">
        <f t="shared" si="1"/>
        <v>7.0005124735130924</v>
      </c>
      <c r="I19" s="3"/>
      <c r="J19" s="1290" t="str">
        <f t="shared" si="2"/>
        <v>Row Crop Cultivator, Row Middles</v>
      </c>
      <c r="K19" s="1546">
        <f>Z2_Machine_Custom_Calculations!K29</f>
        <v>38</v>
      </c>
      <c r="L19" s="1291">
        <f t="shared" si="3"/>
        <v>4.3510693725162248</v>
      </c>
      <c r="M19" s="1292">
        <f t="shared" si="4"/>
        <v>0.63463603148496228</v>
      </c>
      <c r="N19" s="1292">
        <f t="shared" si="5"/>
        <v>0.45171120485025068</v>
      </c>
      <c r="O19" s="1292">
        <f t="shared" si="6"/>
        <v>0.96515695488721776</v>
      </c>
      <c r="P19" s="1292">
        <f t="shared" si="7"/>
        <v>0.59793890977443598</v>
      </c>
      <c r="Q19" s="1293">
        <f t="shared" si="8"/>
        <v>7.0005124735130924</v>
      </c>
    </row>
    <row r="20" spans="1:17" ht="13.15" x14ac:dyDescent="0.4">
      <c r="A20" s="1290" t="str">
        <f>Machine!A30</f>
        <v>Sprayer, Tractor Mounted (ft)</v>
      </c>
      <c r="B20" s="1546">
        <f>Z2_Machine_Custom_Calculations!K30</f>
        <v>60</v>
      </c>
      <c r="C20" s="1291">
        <f>Z2_Machine_Custom_Calculations!Z30-SUM(Z2_Machine_Custom_Calculations!W30:Y30)</f>
        <v>0.91253063205816676</v>
      </c>
      <c r="D20" s="1292">
        <f>SUM(Z2_Machine_Custom_Calculations!W30:Y30)</f>
        <v>0.13791053151709404</v>
      </c>
      <c r="E20" s="1292">
        <f>Z2_Machine_Custom_Calculations!AC30+Z2_Machine_Custom_Calculations!AF30</f>
        <v>0.16377525750744681</v>
      </c>
      <c r="F20" s="1292">
        <f>Z2_Machine_Custom_Calculations!AJ30</f>
        <v>0.33391346153846152</v>
      </c>
      <c r="G20" s="1292">
        <f>Z2_Machine_Custom_Calculations!AM30</f>
        <v>0.27188333333333331</v>
      </c>
      <c r="H20" s="1293">
        <f t="shared" si="1"/>
        <v>1.8200132159545026</v>
      </c>
      <c r="I20" s="3"/>
      <c r="J20" s="1290" t="str">
        <f t="shared" si="2"/>
        <v>Sprayer, Tractor Mounted (ft)</v>
      </c>
      <c r="K20" s="1546">
        <f>Z2_Machine_Custom_Calculations!K30</f>
        <v>60</v>
      </c>
      <c r="L20" s="1291">
        <f t="shared" si="3"/>
        <v>0.91253063205816676</v>
      </c>
      <c r="M20" s="1292">
        <f t="shared" si="4"/>
        <v>0.13791053151709404</v>
      </c>
      <c r="N20" s="1292">
        <f t="shared" si="5"/>
        <v>0.16377525750744681</v>
      </c>
      <c r="O20" s="1292">
        <f t="shared" si="6"/>
        <v>0.33391346153846152</v>
      </c>
      <c r="P20" s="1292">
        <f t="shared" si="7"/>
        <v>0.27188333333333331</v>
      </c>
      <c r="Q20" s="1293">
        <f t="shared" si="8"/>
        <v>1.8200132159545026</v>
      </c>
    </row>
    <row r="21" spans="1:17" ht="13.15" x14ac:dyDescent="0.4">
      <c r="A21" s="1290" t="str">
        <f>Machine!A31</f>
        <v>Sprayer, Tractor Mounted (row)</v>
      </c>
      <c r="B21" s="1546">
        <f>Z2_Machine_Custom_Calculations!K31</f>
        <v>38</v>
      </c>
      <c r="C21" s="1291">
        <f>Z2_Machine_Custom_Calculations!Z31-SUM(Z2_Machine_Custom_Calculations!W31:Y31)</f>
        <v>1.5714513832327817</v>
      </c>
      <c r="D21" s="1292">
        <f>SUM(Z2_Machine_Custom_Calculations!W31:Y31)</f>
        <v>0.23895277918353577</v>
      </c>
      <c r="E21" s="1292">
        <f>Z2_Machine_Custom_Calculations!AC31+Z2_Machine_Custom_Calculations!AF31</f>
        <v>0.30368466436448849</v>
      </c>
      <c r="F21" s="1292">
        <f>Z2_Machine_Custom_Calculations!AJ31</f>
        <v>0.52723178137651816</v>
      </c>
      <c r="G21" s="1292">
        <f>Z2_Machine_Custom_Calculations!AM31</f>
        <v>0.4292894736842105</v>
      </c>
      <c r="H21" s="1293">
        <f t="shared" si="1"/>
        <v>3.0706100818415343</v>
      </c>
      <c r="I21" s="3"/>
      <c r="J21" s="1290" t="str">
        <f t="shared" si="2"/>
        <v>Sprayer, Tractor Mounted (row)</v>
      </c>
      <c r="K21" s="1546">
        <f>Z2_Machine_Custom_Calculations!K31</f>
        <v>38</v>
      </c>
      <c r="L21" s="1291">
        <f t="shared" si="3"/>
        <v>1.5714513832327817</v>
      </c>
      <c r="M21" s="1292">
        <f t="shared" si="4"/>
        <v>0.23895277918353577</v>
      </c>
      <c r="N21" s="1292">
        <f t="shared" si="5"/>
        <v>0.30368466436448849</v>
      </c>
      <c r="O21" s="1292">
        <f t="shared" si="6"/>
        <v>0.52723178137651816</v>
      </c>
      <c r="P21" s="1292">
        <f t="shared" si="7"/>
        <v>0.4292894736842105</v>
      </c>
      <c r="Q21" s="1293">
        <f t="shared" si="8"/>
        <v>3.0706100818415343</v>
      </c>
    </row>
    <row r="22" spans="1:17" ht="13.15" x14ac:dyDescent="0.4">
      <c r="A22" s="1290" t="str">
        <f>Machine!A32</f>
        <v>Land Plane</v>
      </c>
      <c r="B22" s="1546">
        <f>Z2_Machine_Custom_Calculations!K32</f>
        <v>17</v>
      </c>
      <c r="C22" s="1291">
        <f>Z2_Machine_Custom_Calculations!Z32-SUM(Z2_Machine_Custom_Calculations!W32:Y32)</f>
        <v>4.6340056875223343</v>
      </c>
      <c r="D22" s="1292">
        <f>SUM(Z2_Machine_Custom_Calculations!W32:Y32)</f>
        <v>0.67675496286637493</v>
      </c>
      <c r="E22" s="1292">
        <f>Z2_Machine_Custom_Calculations!AC32+Z2_Machine_Custom_Calculations!AF32</f>
        <v>0.47808343853108243</v>
      </c>
      <c r="F22" s="1292">
        <f>Z2_Machine_Custom_Calculations!AJ32</f>
        <v>1.4177170771422756</v>
      </c>
      <c r="G22" s="1292">
        <f>Z2_Machine_Custom_Calculations!AM32</f>
        <v>1.0359568491756563</v>
      </c>
      <c r="H22" s="1293">
        <f t="shared" si="1"/>
        <v>8.2425180152377227</v>
      </c>
      <c r="I22" s="3"/>
      <c r="J22" s="1290" t="str">
        <f t="shared" si="2"/>
        <v>Land Plane</v>
      </c>
      <c r="K22" s="1546">
        <f>Z2_Machine_Custom_Calculations!K32</f>
        <v>17</v>
      </c>
      <c r="L22" s="1291">
        <f t="shared" si="3"/>
        <v>4.6340056875223343</v>
      </c>
      <c r="M22" s="1292">
        <f t="shared" si="4"/>
        <v>0.67675496286637493</v>
      </c>
      <c r="N22" s="1292">
        <f t="shared" si="5"/>
        <v>0.47808343853108243</v>
      </c>
      <c r="O22" s="1292">
        <f t="shared" si="6"/>
        <v>1.4177170771422756</v>
      </c>
      <c r="P22" s="1292">
        <f t="shared" si="7"/>
        <v>1.0359568491756563</v>
      </c>
      <c r="Q22" s="1293">
        <f t="shared" si="8"/>
        <v>8.2425180152377227</v>
      </c>
    </row>
    <row r="23" spans="1:17" ht="13.15" x14ac:dyDescent="0.4">
      <c r="A23" s="1290" t="str">
        <f>Machine!A33</f>
        <v>Fertilizer, Broadcast Spreader</v>
      </c>
      <c r="B23" s="1546">
        <f>Z2_Machine_Custom_Calculations!K33</f>
        <v>30</v>
      </c>
      <c r="C23" s="1291">
        <f>Z2_Machine_Custom_Calculations!Z33-SUM(Z2_Machine_Custom_Calculations!W33:Y33)</f>
        <v>3.1828296815202264</v>
      </c>
      <c r="D23" s="1292">
        <f>SUM(Z2_Machine_Custom_Calculations!W33:Y33)</f>
        <v>0.47218020339285716</v>
      </c>
      <c r="E23" s="1292">
        <f>Z2_Machine_Custom_Calculations!AC33+Z2_Machine_Custom_Calculations!AF33</f>
        <v>0.54109994590092869</v>
      </c>
      <c r="F23" s="1292">
        <f>Z2_Machine_Custom_Calculations!AJ33</f>
        <v>0.82919571428571426</v>
      </c>
      <c r="G23" s="1292">
        <f>Z2_Machine_Custom_Calculations!AM33</f>
        <v>0.77486750000000004</v>
      </c>
      <c r="H23" s="1293">
        <f t="shared" si="1"/>
        <v>5.8001730450997266</v>
      </c>
      <c r="I23" s="3"/>
      <c r="J23" s="1290" t="str">
        <f t="shared" si="2"/>
        <v>Fertilizer, Broadcast Spreader</v>
      </c>
      <c r="K23" s="1546">
        <f>Z2_Machine_Custom_Calculations!K33</f>
        <v>30</v>
      </c>
      <c r="L23" s="1291">
        <f t="shared" si="3"/>
        <v>3.1828296815202264</v>
      </c>
      <c r="M23" s="1292">
        <f t="shared" si="4"/>
        <v>0.47218020339285716</v>
      </c>
      <c r="N23" s="1292">
        <f t="shared" si="5"/>
        <v>0.54109994590092869</v>
      </c>
      <c r="O23" s="1292">
        <f t="shared" si="6"/>
        <v>0.82919571428571426</v>
      </c>
      <c r="P23" s="1292">
        <f t="shared" si="7"/>
        <v>0.77486750000000004</v>
      </c>
      <c r="Q23" s="1293">
        <f t="shared" si="8"/>
        <v>5.8001730450997266</v>
      </c>
    </row>
    <row r="24" spans="1:17" ht="13.15" x14ac:dyDescent="0.4">
      <c r="A24" s="1290" t="str">
        <f>Machine!A34</f>
        <v>Do All, Seedbed Finisher</v>
      </c>
      <c r="B24" s="1546">
        <f>Z2_Machine_Custom_Calculations!K34</f>
        <v>38</v>
      </c>
      <c r="C24" s="1291">
        <f>Z2_Machine_Custom_Calculations!Z34-SUM(Z2_Machine_Custom_Calculations!W34:Y34)</f>
        <v>3.6509597098843645</v>
      </c>
      <c r="D24" s="1292">
        <f>SUM(Z2_Machine_Custom_Calculations!W34:Y34)</f>
        <v>0.53145865560039807</v>
      </c>
      <c r="E24" s="1292">
        <f>Z2_Machine_Custom_Calculations!AC34+Z2_Machine_Custom_Calculations!AF34</f>
        <v>0.5321405183449972</v>
      </c>
      <c r="F24" s="1292">
        <f>Z2_Machine_Custom_Calculations!AJ34</f>
        <v>0.90838301636444041</v>
      </c>
      <c r="G24" s="1292">
        <f>Z2_Machine_Custom_Calculations!AM34</f>
        <v>0.56276603272888104</v>
      </c>
      <c r="H24" s="1293">
        <f t="shared" si="1"/>
        <v>6.1857079329230809</v>
      </c>
      <c r="I24" s="3"/>
      <c r="J24" s="1290" t="str">
        <f t="shared" si="2"/>
        <v>Do All, Seedbed Finisher</v>
      </c>
      <c r="K24" s="1546">
        <f>Z2_Machine_Custom_Calculations!K34</f>
        <v>38</v>
      </c>
      <c r="L24" s="1291">
        <f t="shared" si="3"/>
        <v>3.6509597098843645</v>
      </c>
      <c r="M24" s="1292">
        <f t="shared" si="4"/>
        <v>0.53145865560039807</v>
      </c>
      <c r="N24" s="1292">
        <f t="shared" si="5"/>
        <v>0.5321405183449972</v>
      </c>
      <c r="O24" s="1292">
        <f t="shared" si="6"/>
        <v>0.90838301636444041</v>
      </c>
      <c r="P24" s="1292">
        <f t="shared" si="7"/>
        <v>0.56276603272888104</v>
      </c>
      <c r="Q24" s="1293">
        <f t="shared" si="8"/>
        <v>6.1857079329230809</v>
      </c>
    </row>
    <row r="25" spans="1:17" ht="13.15" x14ac:dyDescent="0.4">
      <c r="A25" s="1290" t="str">
        <f>Machine!A35</f>
        <v>Planter</v>
      </c>
      <c r="B25" s="1546">
        <f>Z2_Machine_Custom_Calculations!K35</f>
        <v>36</v>
      </c>
      <c r="C25" s="1291">
        <f>Z2_Machine_Custom_Calculations!Z35-SUM(Z2_Machine_Custom_Calculations!W35:Y35)</f>
        <v>8.2484619059668471</v>
      </c>
      <c r="D25" s="1292">
        <f>SUM(Z2_Machine_Custom_Calculations!W35:Y35)</f>
        <v>1.2818080528846152</v>
      </c>
      <c r="E25" s="1292">
        <f>Z2_Machine_Custom_Calculations!AC35+Z2_Machine_Custom_Calculations!AF35</f>
        <v>2.554164181520203</v>
      </c>
      <c r="F25" s="1292">
        <f>Z2_Machine_Custom_Calculations!AJ35</f>
        <v>1.2402499999999999</v>
      </c>
      <c r="G25" s="1292">
        <f>Z2_Machine_Custom_Calculations!AM35</f>
        <v>1.0108482905982903</v>
      </c>
      <c r="H25" s="1293">
        <f t="shared" si="1"/>
        <v>14.335532430969955</v>
      </c>
      <c r="I25" s="3"/>
      <c r="J25" s="1290" t="str">
        <f t="shared" si="2"/>
        <v>Planter</v>
      </c>
      <c r="K25" s="1546">
        <f>Z2_Machine_Custom_Calculations!K35</f>
        <v>36</v>
      </c>
      <c r="L25" s="1291">
        <f t="shared" si="3"/>
        <v>8.2484619059668471</v>
      </c>
      <c r="M25" s="1292">
        <f t="shared" si="4"/>
        <v>1.2818080528846152</v>
      </c>
      <c r="N25" s="1292">
        <f t="shared" si="5"/>
        <v>2.554164181520203</v>
      </c>
      <c r="O25" s="1292">
        <f t="shared" si="6"/>
        <v>1.2402499999999999</v>
      </c>
      <c r="P25" s="1292">
        <f t="shared" si="7"/>
        <v>1.0108482905982903</v>
      </c>
      <c r="Q25" s="1293">
        <f t="shared" si="8"/>
        <v>14.335532430969955</v>
      </c>
    </row>
    <row r="26" spans="1:17" ht="13.15" x14ac:dyDescent="0.4">
      <c r="A26" s="1290" t="str">
        <f>Machine!A36</f>
        <v>Planter Twin Row</v>
      </c>
      <c r="B26" s="1546">
        <f>Z2_Machine_Custom_Calculations!K36</f>
        <v>36</v>
      </c>
      <c r="C26" s="1291">
        <f>Z2_Machine_Custom_Calculations!Z36-SUM(Z2_Machine_Custom_Calculations!W36:Y36)</f>
        <v>12.220377369653885</v>
      </c>
      <c r="D26" s="1292">
        <f>SUM(Z2_Machine_Custom_Calculations!W36:Y36)</f>
        <v>1.9126906650641022</v>
      </c>
      <c r="E26" s="1292">
        <f>Z2_Machine_Custom_Calculations!AC36+Z2_Machine_Custom_Calculations!AF36</f>
        <v>4.1073896615080301</v>
      </c>
      <c r="F26" s="1292">
        <f>Z2_Machine_Custom_Calculations!AJ36</f>
        <v>1.4628589743589742</v>
      </c>
      <c r="G26" s="1292">
        <f>Z2_Machine_Custom_Calculations!AM36</f>
        <v>1.0108482905982903</v>
      </c>
      <c r="H26" s="1293">
        <f t="shared" si="1"/>
        <v>20.714164961183279</v>
      </c>
      <c r="I26" s="3"/>
      <c r="J26" s="1290" t="str">
        <f t="shared" si="2"/>
        <v>Planter Twin Row</v>
      </c>
      <c r="K26" s="1546">
        <f>Z2_Machine_Custom_Calculations!K36</f>
        <v>36</v>
      </c>
      <c r="L26" s="1291">
        <f t="shared" si="3"/>
        <v>12.220377369653885</v>
      </c>
      <c r="M26" s="1292">
        <f t="shared" si="4"/>
        <v>1.9126906650641022</v>
      </c>
      <c r="N26" s="1292">
        <f t="shared" si="5"/>
        <v>4.1073896615080301</v>
      </c>
      <c r="O26" s="1292">
        <f t="shared" si="6"/>
        <v>1.4628589743589742</v>
      </c>
      <c r="P26" s="1292">
        <f t="shared" si="7"/>
        <v>1.0108482905982903</v>
      </c>
      <c r="Q26" s="1293">
        <f t="shared" si="8"/>
        <v>20.714164961183279</v>
      </c>
    </row>
    <row r="27" spans="1:17" ht="13.15" x14ac:dyDescent="0.4">
      <c r="A27" s="1290" t="str">
        <f>Machine!A37</f>
        <v>Plant Grain Drill</v>
      </c>
      <c r="B27" s="1546">
        <f>Z2_Machine_Custom_Calculations!K37</f>
        <v>30</v>
      </c>
      <c r="C27" s="1291">
        <f>Z2_Machine_Custom_Calculations!Z37-SUM(Z2_Machine_Custom_Calculations!W37:Y37)</f>
        <v>12.089624984042135</v>
      </c>
      <c r="D27" s="1292">
        <f>SUM(Z2_Machine_Custom_Calculations!W37:Y37)</f>
        <v>1.8762173214285716</v>
      </c>
      <c r="E27" s="1292">
        <f>Z2_Machine_Custom_Calculations!AC37+Z2_Machine_Custom_Calculations!AF37</f>
        <v>3.6733904333868472</v>
      </c>
      <c r="F27" s="1292">
        <f>Z2_Machine_Custom_Calculations!AJ37</f>
        <v>1.7782285714285715</v>
      </c>
      <c r="G27" s="1292">
        <f>Z2_Machine_Custom_Calculations!AM37</f>
        <v>1.1758071428571433</v>
      </c>
      <c r="H27" s="1293">
        <f t="shared" si="1"/>
        <v>20.593268453143267</v>
      </c>
      <c r="I27" s="3"/>
      <c r="J27" s="1290" t="str">
        <f t="shared" si="2"/>
        <v>Plant Grain Drill</v>
      </c>
      <c r="K27" s="1546">
        <f>Z2_Machine_Custom_Calculations!K37</f>
        <v>30</v>
      </c>
      <c r="L27" s="1291">
        <f t="shared" si="3"/>
        <v>12.089624984042135</v>
      </c>
      <c r="M27" s="1292">
        <f t="shared" si="4"/>
        <v>1.8762173214285716</v>
      </c>
      <c r="N27" s="1292">
        <f t="shared" si="5"/>
        <v>3.6733904333868472</v>
      </c>
      <c r="O27" s="1292">
        <f t="shared" si="6"/>
        <v>1.7782285714285715</v>
      </c>
      <c r="P27" s="1292">
        <f t="shared" si="7"/>
        <v>1.1758071428571433</v>
      </c>
      <c r="Q27" s="1293">
        <f t="shared" si="8"/>
        <v>20.593268453143267</v>
      </c>
    </row>
    <row r="28" spans="1:17" ht="13.15" x14ac:dyDescent="0.4">
      <c r="A28" s="1290" t="str">
        <f>Machine!A38</f>
        <v>Plant No-Till Air Drill</v>
      </c>
      <c r="B28" s="1546">
        <f>Z2_Machine_Custom_Calculations!K38</f>
        <v>42</v>
      </c>
      <c r="C28" s="1291">
        <f>Z2_Machine_Custom_Calculations!Z38-SUM(Z2_Machine_Custom_Calculations!W38:Y38)</f>
        <v>10.382673211772364</v>
      </c>
      <c r="D28" s="1292">
        <f>SUM(Z2_Machine_Custom_Calculations!W38:Y38)</f>
        <v>1.6369026239067059</v>
      </c>
      <c r="E28" s="1292">
        <f>Z2_Machine_Custom_Calculations!AC38+Z2_Machine_Custom_Calculations!AF38</f>
        <v>3.7782780447992019</v>
      </c>
      <c r="F28" s="1292">
        <f>Z2_Machine_Custom_Calculations!AJ38</f>
        <v>0.99798542274052493</v>
      </c>
      <c r="G28" s="1292">
        <f>Z2_Machine_Custom_Calculations!AM38</f>
        <v>0.65989176384839676</v>
      </c>
      <c r="H28" s="1293">
        <f t="shared" si="1"/>
        <v>17.455731067067191</v>
      </c>
      <c r="I28" s="3"/>
      <c r="J28" s="1290" t="str">
        <f t="shared" si="2"/>
        <v>Plant No-Till Air Drill</v>
      </c>
      <c r="K28" s="1546">
        <f>Z2_Machine_Custom_Calculations!K38</f>
        <v>42</v>
      </c>
      <c r="L28" s="1291">
        <f t="shared" si="3"/>
        <v>10.382673211772364</v>
      </c>
      <c r="M28" s="1292">
        <f t="shared" si="4"/>
        <v>1.6369026239067059</v>
      </c>
      <c r="N28" s="1292">
        <f t="shared" si="5"/>
        <v>3.7782780447992019</v>
      </c>
      <c r="O28" s="1292">
        <f t="shared" si="6"/>
        <v>0.99798542274052493</v>
      </c>
      <c r="P28" s="1292">
        <f t="shared" si="7"/>
        <v>0.65989176384839676</v>
      </c>
      <c r="Q28" s="1293">
        <f t="shared" si="8"/>
        <v>17.455731067067191</v>
      </c>
    </row>
    <row r="29" spans="1:17" ht="13.15" x14ac:dyDescent="0.4">
      <c r="A29" s="1290" t="str">
        <f>Machine!A39</f>
        <v>Liquid Fertilizer Applicator</v>
      </c>
      <c r="B29" s="1546">
        <f>Z2_Machine_Custom_Calculations!K39</f>
        <v>38</v>
      </c>
      <c r="C29" s="1291">
        <f>Z2_Machine_Custom_Calculations!Z39-SUM(Z2_Machine_Custom_Calculations!W39:Y39)</f>
        <v>3.346495154871278</v>
      </c>
      <c r="D29" s="1292">
        <f>SUM(Z2_Machine_Custom_Calculations!W39:Y39)</f>
        <v>0.48862102985829964</v>
      </c>
      <c r="E29" s="1292">
        <f>Z2_Machine_Custom_Calculations!AC39+Z2_Machine_Custom_Calculations!AF39</f>
        <v>0.4950803472478853</v>
      </c>
      <c r="F29" s="1292">
        <f>Z2_Machine_Custom_Calculations!AJ39</f>
        <v>0.83151983805668017</v>
      </c>
      <c r="G29" s="1292">
        <f>Z2_Machine_Custom_Calculations!AM39</f>
        <v>0.65879423076923083</v>
      </c>
      <c r="H29" s="1293">
        <f t="shared" si="1"/>
        <v>5.8205106008033738</v>
      </c>
      <c r="I29" s="3"/>
      <c r="J29" s="1290" t="str">
        <f t="shared" si="2"/>
        <v>Liquid Fertilizer Applicator</v>
      </c>
      <c r="K29" s="1546">
        <f>Z2_Machine_Custom_Calculations!K39</f>
        <v>38</v>
      </c>
      <c r="L29" s="1291">
        <f t="shared" si="3"/>
        <v>3.346495154871278</v>
      </c>
      <c r="M29" s="1292">
        <f t="shared" si="4"/>
        <v>0.48862102985829964</v>
      </c>
      <c r="N29" s="1292">
        <f t="shared" si="5"/>
        <v>0.4950803472478853</v>
      </c>
      <c r="O29" s="1292">
        <f t="shared" si="6"/>
        <v>0.83151983805668017</v>
      </c>
      <c r="P29" s="1292">
        <f t="shared" si="7"/>
        <v>0.65879423076923083</v>
      </c>
      <c r="Q29" s="1293">
        <f t="shared" si="8"/>
        <v>5.8205106008033738</v>
      </c>
    </row>
    <row r="30" spans="1:17" ht="13.15" x14ac:dyDescent="0.4">
      <c r="A30" s="1290" t="str">
        <f>Machine!A40</f>
        <v>Fertilizer, Knife Rig 12 Row</v>
      </c>
      <c r="B30" s="1546">
        <f>Z2_Machine_Custom_Calculations!K40</f>
        <v>38</v>
      </c>
      <c r="C30" s="1291">
        <f>Z2_Machine_Custom_Calculations!Z40-SUM(Z2_Machine_Custom_Calculations!W40:Y40)</f>
        <v>6.3500945727758999</v>
      </c>
      <c r="D30" s="1292">
        <f>SUM(Z2_Machine_Custom_Calculations!W40:Y40)</f>
        <v>0.92494778773857733</v>
      </c>
      <c r="E30" s="1292">
        <f>Z2_Machine_Custom_Calculations!AC40+Z2_Machine_Custom_Calculations!AF40</f>
        <v>1.219375656724792</v>
      </c>
      <c r="F30" s="1292">
        <f>Z2_Machine_Custom_Calculations!AJ40</f>
        <v>1.1878854829381145</v>
      </c>
      <c r="G30" s="1292">
        <f>Z2_Machine_Custom_Calculations!AM40</f>
        <v>0.94113461538461551</v>
      </c>
      <c r="H30" s="1293">
        <f t="shared" si="1"/>
        <v>10.623438115561999</v>
      </c>
      <c r="I30" s="3"/>
      <c r="J30" s="1290" t="str">
        <f t="shared" si="2"/>
        <v>Fertilizer, Knife Rig 12 Row</v>
      </c>
      <c r="K30" s="1546">
        <f>Z2_Machine_Custom_Calculations!K40</f>
        <v>38</v>
      </c>
      <c r="L30" s="1291">
        <f t="shared" si="3"/>
        <v>6.3500945727758999</v>
      </c>
      <c r="M30" s="1292">
        <f t="shared" si="4"/>
        <v>0.92494778773857733</v>
      </c>
      <c r="N30" s="1292">
        <f t="shared" si="5"/>
        <v>1.219375656724792</v>
      </c>
      <c r="O30" s="1292">
        <f t="shared" si="6"/>
        <v>1.1878854829381145</v>
      </c>
      <c r="P30" s="1292">
        <f t="shared" si="7"/>
        <v>0.94113461538461551</v>
      </c>
      <c r="Q30" s="1293">
        <f t="shared" si="8"/>
        <v>10.623438115561999</v>
      </c>
    </row>
    <row r="31" spans="1:17" ht="13.15" x14ac:dyDescent="0.4">
      <c r="A31" s="1290" t="str">
        <f>Machine!A41</f>
        <v>Polypipe; Roll Out, Punch, Take Up</v>
      </c>
      <c r="B31" s="1547"/>
      <c r="C31" s="1291">
        <f>Z2_Machine_Custom_Calculations!Z41-SUM(Z2_Machine_Custom_Calculations!W41:Y41)</f>
        <v>4.1593052349315967</v>
      </c>
      <c r="D31" s="1292">
        <f>SUM(Z2_Machine_Custom_Calculations!W41:Y41)</f>
        <v>0.62722146319909811</v>
      </c>
      <c r="E31" s="1292">
        <f>Z2_Machine_Custom_Calculations!AC41+Z2_Machine_Custom_Calculations!AF41</f>
        <v>0.2409194160502762</v>
      </c>
      <c r="F31" s="1292">
        <f>Z2_Machine_Custom_Calculations!AJ41</f>
        <v>0.94578731745646449</v>
      </c>
      <c r="G31" s="1292">
        <f>Z2_Machine_Custom_Calculations!AM41</f>
        <v>2.3102735119725284</v>
      </c>
      <c r="H31" s="1293">
        <f t="shared" si="1"/>
        <v>8.2835069436099644</v>
      </c>
      <c r="I31" s="3"/>
      <c r="J31" s="1290" t="str">
        <f t="shared" si="2"/>
        <v>Polypipe; Roll Out, Punch, Take Up</v>
      </c>
      <c r="K31" s="1547"/>
      <c r="L31" s="1291">
        <f t="shared" si="3"/>
        <v>4.1593052349315967</v>
      </c>
      <c r="M31" s="1292">
        <f t="shared" si="4"/>
        <v>0.62722146319909811</v>
      </c>
      <c r="N31" s="1292">
        <f t="shared" si="5"/>
        <v>0.2409194160502762</v>
      </c>
      <c r="O31" s="1292">
        <f t="shared" si="6"/>
        <v>0.94578731745646449</v>
      </c>
      <c r="P31" s="1292">
        <f t="shared" si="7"/>
        <v>2.3102735119725284</v>
      </c>
      <c r="Q31" s="1293">
        <f t="shared" si="8"/>
        <v>8.2835069436099644</v>
      </c>
    </row>
    <row r="32" spans="1:17" ht="13.15" x14ac:dyDescent="0.4">
      <c r="A32" s="1290" t="str">
        <f>Machine!A42</f>
        <v>Hooded Sprayer</v>
      </c>
      <c r="B32" s="1546">
        <f>Z2_Machine_Custom_Calculations!K42</f>
        <v>38</v>
      </c>
      <c r="C32" s="1291">
        <f>Z2_Machine_Custom_Calculations!Z42-SUM(Z2_Machine_Custom_Calculations!W42:Y42)</f>
        <v>3.147332242445458</v>
      </c>
      <c r="D32" s="1292">
        <f>SUM(Z2_Machine_Custom_Calculations!W42:Y42)</f>
        <v>0.48322522050318106</v>
      </c>
      <c r="E32" s="1292">
        <f>Z2_Machine_Custom_Calculations!AC42+Z2_Machine_Custom_Calculations!AF42</f>
        <v>0.67713646834029295</v>
      </c>
      <c r="F32" s="1292">
        <f>Z2_Machine_Custom_Calculations!AJ42</f>
        <v>0.90382591093117404</v>
      </c>
      <c r="G32" s="1292">
        <f>Z2_Machine_Custom_Calculations!AM42</f>
        <v>0.73592481203007531</v>
      </c>
      <c r="H32" s="1293">
        <f t="shared" si="1"/>
        <v>5.9474446542501811</v>
      </c>
      <c r="I32" s="3"/>
      <c r="J32" s="1290" t="str">
        <f t="shared" si="2"/>
        <v>Hooded Sprayer</v>
      </c>
      <c r="K32" s="1546">
        <f>Z2_Machine_Custom_Calculations!K42</f>
        <v>38</v>
      </c>
      <c r="L32" s="1291">
        <f t="shared" si="3"/>
        <v>3.147332242445458</v>
      </c>
      <c r="M32" s="1292">
        <f t="shared" si="4"/>
        <v>0.48322522050318106</v>
      </c>
      <c r="N32" s="1292">
        <f t="shared" si="5"/>
        <v>0.67713646834029295</v>
      </c>
      <c r="O32" s="1292">
        <f t="shared" si="6"/>
        <v>0.90382591093117404</v>
      </c>
      <c r="P32" s="1292">
        <f t="shared" si="7"/>
        <v>0.73592481203007531</v>
      </c>
      <c r="Q32" s="1293">
        <f t="shared" si="8"/>
        <v>5.9474446542501811</v>
      </c>
    </row>
    <row r="33" spans="1:17" ht="13.15" x14ac:dyDescent="0.4">
      <c r="A33" s="1290" t="str">
        <f>Machine!A43</f>
        <v>Levee Pull</v>
      </c>
      <c r="B33" s="1547"/>
      <c r="C33" s="1291">
        <f>Z2_Machine_Custom_Calculations!Z43-SUM(Z2_Machine_Custom_Calculations!W43:Y43)</f>
        <v>0.62690840187268693</v>
      </c>
      <c r="D33" s="1292">
        <f>SUM(Z2_Machine_Custom_Calculations!W43:Y43)</f>
        <v>9.150930787797798E-2</v>
      </c>
      <c r="E33" s="1292">
        <f>Z2_Machine_Custom_Calculations!AC43+Z2_Machine_Custom_Calculations!AF43</f>
        <v>7.9294183957279787E-2</v>
      </c>
      <c r="F33" s="1292">
        <f>Z2_Machine_Custom_Calculations!AJ43</f>
        <v>0.23959945375563776</v>
      </c>
      <c r="G33" s="1292">
        <f>Z2_Machine_Custom_Calculations!AM43</f>
        <v>0.19508976323323582</v>
      </c>
      <c r="H33" s="1293">
        <f t="shared" si="1"/>
        <v>1.2324011106968182</v>
      </c>
      <c r="I33" s="3"/>
      <c r="J33" s="1290" t="str">
        <f t="shared" si="2"/>
        <v>Levee Pull</v>
      </c>
      <c r="K33" s="1547"/>
      <c r="L33" s="1291">
        <f t="shared" si="3"/>
        <v>0.62690840187268693</v>
      </c>
      <c r="M33" s="1292">
        <f t="shared" si="4"/>
        <v>9.150930787797798E-2</v>
      </c>
      <c r="N33" s="1292">
        <f t="shared" si="5"/>
        <v>7.9294183957279787E-2</v>
      </c>
      <c r="O33" s="1292">
        <f t="shared" si="6"/>
        <v>0.23959945375563776</v>
      </c>
      <c r="P33" s="1292">
        <f t="shared" si="7"/>
        <v>0.19508976323323582</v>
      </c>
      <c r="Q33" s="1293">
        <f t="shared" si="8"/>
        <v>1.2324011106968182</v>
      </c>
    </row>
    <row r="34" spans="1:17" ht="13.15" x14ac:dyDescent="0.4">
      <c r="A34" s="1290" t="str">
        <f>Machine!A44</f>
        <v>Levee Pull, Planter/Incorporate</v>
      </c>
      <c r="B34" s="1547"/>
      <c r="C34" s="1291">
        <f>Z2_Machine_Custom_Calculations!Z44-SUM(Z2_Machine_Custom_Calculations!W44:Y44)</f>
        <v>0.74776954402554174</v>
      </c>
      <c r="D34" s="1292">
        <f>SUM(Z2_Machine_Custom_Calculations!W44:Y44)</f>
        <v>0.10905980700188875</v>
      </c>
      <c r="E34" s="1292">
        <f>Z2_Machine_Custom_Calculations!AC44+Z2_Machine_Custom_Calculations!AF44</f>
        <v>9.7597374723910987E-2</v>
      </c>
      <c r="F34" s="1292">
        <f>Z2_Machine_Custom_Calculations!AJ44</f>
        <v>0.26043418886482361</v>
      </c>
      <c r="G34" s="1292">
        <f>Z2_Machine_Custom_Calculations!AM44</f>
        <v>0.21205409047090845</v>
      </c>
      <c r="H34" s="1293">
        <f t="shared" si="1"/>
        <v>1.4269150050870736</v>
      </c>
      <c r="I34" s="3"/>
      <c r="J34" s="1290" t="str">
        <f t="shared" si="2"/>
        <v>Levee Pull, Planter/Incorporate</v>
      </c>
      <c r="K34" s="1547"/>
      <c r="L34" s="1291">
        <f t="shared" si="3"/>
        <v>0.74776954402554174</v>
      </c>
      <c r="M34" s="1292">
        <f t="shared" si="4"/>
        <v>0.10905980700188875</v>
      </c>
      <c r="N34" s="1292">
        <f t="shared" si="5"/>
        <v>9.7597374723910987E-2</v>
      </c>
      <c r="O34" s="1292">
        <f t="shared" si="6"/>
        <v>0.26043418886482361</v>
      </c>
      <c r="P34" s="1292">
        <f t="shared" si="7"/>
        <v>0.21205409047090845</v>
      </c>
      <c r="Q34" s="1293">
        <f t="shared" si="8"/>
        <v>1.4269150050870736</v>
      </c>
    </row>
    <row r="35" spans="1:17" ht="13.15" x14ac:dyDescent="0.4">
      <c r="A35" s="1290" t="str">
        <f>Machine!A45</f>
        <v>Levee Roller-Packer-Shaper</v>
      </c>
      <c r="B35" s="1547"/>
      <c r="C35" s="1291">
        <f>Z2_Machine_Custom_Calculations!Z45-SUM(Z2_Machine_Custom_Calculations!W45:Y45)</f>
        <v>0.28924560262134563</v>
      </c>
      <c r="D35" s="1292">
        <f>SUM(Z2_Machine_Custom_Calculations!W45:Y45)</f>
        <v>4.2254331959226274E-2</v>
      </c>
      <c r="E35" s="1292">
        <f>Z2_Machine_Custom_Calculations!AC45+Z2_Machine_Custom_Calculations!AF45</f>
        <v>3.548456419669449E-2</v>
      </c>
      <c r="F35" s="1292">
        <f>Z2_Machine_Custom_Calculations!AJ45</f>
        <v>0.11979972687781888</v>
      </c>
      <c r="G35" s="1292">
        <f>Z2_Machine_Custom_Calculations!AM45</f>
        <v>9.7544881616617909E-2</v>
      </c>
      <c r="H35" s="1293">
        <f t="shared" si="1"/>
        <v>0.58432910727170317</v>
      </c>
      <c r="I35" s="3"/>
      <c r="J35" s="1290" t="str">
        <f t="shared" si="2"/>
        <v>Levee Roller-Packer-Shaper</v>
      </c>
      <c r="K35" s="1547"/>
      <c r="L35" s="1291">
        <f t="shared" si="3"/>
        <v>0.28924560262134563</v>
      </c>
      <c r="M35" s="1292">
        <f t="shared" si="4"/>
        <v>4.2254331959226274E-2</v>
      </c>
      <c r="N35" s="1292">
        <f t="shared" si="5"/>
        <v>3.548456419669449E-2</v>
      </c>
      <c r="O35" s="1292">
        <f t="shared" si="6"/>
        <v>0.11979972687781888</v>
      </c>
      <c r="P35" s="1292">
        <f t="shared" si="7"/>
        <v>9.7544881616617909E-2</v>
      </c>
      <c r="Q35" s="1293">
        <f t="shared" si="8"/>
        <v>0.58432910727170317</v>
      </c>
    </row>
    <row r="36" spans="1:17" ht="13.15" x14ac:dyDescent="0.4">
      <c r="A36" s="1290" t="str">
        <f>Machine!A46</f>
        <v>Install Gates &amp; Remove</v>
      </c>
      <c r="B36" s="1547"/>
      <c r="C36" s="1291">
        <f>Z2_Machine_Custom_Calculations!Z46-SUM(Z2_Machine_Custom_Calculations!W46:Y46)</f>
        <v>0.80189318832246692</v>
      </c>
      <c r="D36" s="1292">
        <f>SUM(Z2_Machine_Custom_Calculations!W46:Y46)</f>
        <v>0.1172426648899195</v>
      </c>
      <c r="E36" s="1292">
        <f>Z2_Machine_Custom_Calculations!AC46+Z2_Machine_Custom_Calculations!AF46</f>
        <v>8.7653087866037427E-2</v>
      </c>
      <c r="F36" s="1292">
        <f>Z2_Machine_Custom_Calculations!AJ46</f>
        <v>0.35939918063345666</v>
      </c>
      <c r="G36" s="1292">
        <f>Z2_Machine_Custom_Calculations!AM46</f>
        <v>0.87790393454956128</v>
      </c>
      <c r="H36" s="1293">
        <f t="shared" si="1"/>
        <v>2.2440920562614419</v>
      </c>
      <c r="I36" s="3"/>
      <c r="J36" s="1290" t="str">
        <f t="shared" si="2"/>
        <v>Install Gates &amp; Remove</v>
      </c>
      <c r="K36" s="1547"/>
      <c r="L36" s="1291">
        <f t="shared" si="3"/>
        <v>0.80189318832246692</v>
      </c>
      <c r="M36" s="1292">
        <f t="shared" si="4"/>
        <v>0.1172426648899195</v>
      </c>
      <c r="N36" s="1292">
        <f t="shared" si="5"/>
        <v>8.7653087866037427E-2</v>
      </c>
      <c r="O36" s="1292">
        <f t="shared" si="6"/>
        <v>0.35939918063345666</v>
      </c>
      <c r="P36" s="1292">
        <f t="shared" si="7"/>
        <v>0.87790393454956128</v>
      </c>
      <c r="Q36" s="1293">
        <f t="shared" si="8"/>
        <v>2.2440920562614419</v>
      </c>
    </row>
    <row r="37" spans="1:17" ht="13.15" x14ac:dyDescent="0.4">
      <c r="A37" s="1290" t="str">
        <f>Machine!A47</f>
        <v>Take Down Levees</v>
      </c>
      <c r="B37" s="1547"/>
      <c r="C37" s="1291">
        <f>Z2_Machine_Custom_Calculations!Z47-SUM(Z2_Machine_Custom_Calculations!W47:Y47)</f>
        <v>0.61767710757358274</v>
      </c>
      <c r="D37" s="1292">
        <f>SUM(Z2_Machine_Custom_Calculations!W47:Y47)</f>
        <v>9.017455474950814E-2</v>
      </c>
      <c r="E37" s="1292">
        <f>Z2_Machine_Custom_Calculations!AC47+Z2_Machine_Custom_Calculations!AF47</f>
        <v>7.7706916554047684E-2</v>
      </c>
      <c r="F37" s="1292">
        <f>Z2_Machine_Custom_Calculations!AJ47</f>
        <v>0.23959945375563776</v>
      </c>
      <c r="G37" s="1292">
        <f>Z2_Machine_Custom_Calculations!AM47</f>
        <v>0.19508976323323582</v>
      </c>
      <c r="H37" s="1293">
        <f t="shared" si="1"/>
        <v>1.2202477958660121</v>
      </c>
      <c r="I37" s="3"/>
      <c r="J37" s="1290" t="str">
        <f t="shared" si="2"/>
        <v>Take Down Levees</v>
      </c>
      <c r="K37" s="1547"/>
      <c r="L37" s="1291">
        <f t="shared" si="3"/>
        <v>0.61767710757358274</v>
      </c>
      <c r="M37" s="1292">
        <f t="shared" si="4"/>
        <v>9.017455474950814E-2</v>
      </c>
      <c r="N37" s="1292">
        <f t="shared" si="5"/>
        <v>7.7706916554047684E-2</v>
      </c>
      <c r="O37" s="1292">
        <f t="shared" si="6"/>
        <v>0.23959945375563776</v>
      </c>
      <c r="P37" s="1292">
        <f t="shared" si="7"/>
        <v>0.19508976323323582</v>
      </c>
      <c r="Q37" s="1293">
        <f t="shared" si="8"/>
        <v>1.2202477958660121</v>
      </c>
    </row>
    <row r="38" spans="1:17" ht="13.15" x14ac:dyDescent="0.4">
      <c r="A38" s="1290" t="str">
        <f>Machine!A48</f>
        <v>Peanut Digger/Inverter</v>
      </c>
      <c r="B38" s="1546">
        <f>Z2_Machine_Custom_Calculations!K48</f>
        <v>19</v>
      </c>
      <c r="C38" s="1291">
        <f>Z2_Machine_Custom_Calculations!Z48-SUM(Z2_Machine_Custom_Calculations!W48:Y48)</f>
        <v>21.583959148971918</v>
      </c>
      <c r="D38" s="1292">
        <f>SUM(Z2_Machine_Custom_Calculations!W48:Y48)</f>
        <v>3.1463295546558703</v>
      </c>
      <c r="E38" s="1292">
        <f>Z2_Machine_Custom_Calculations!AC48+Z2_Machine_Custom_Calculations!AF48</f>
        <v>4.876907002408247</v>
      </c>
      <c r="F38" s="1292">
        <f>Z2_Machine_Custom_Calculations!AJ48</f>
        <v>4.6998947368421051</v>
      </c>
      <c r="G38" s="1292">
        <f>Z2_Machine_Custom_Calculations!AM48</f>
        <v>3.434315789473684</v>
      </c>
      <c r="H38" s="1293">
        <f t="shared" si="1"/>
        <v>37.741406232351828</v>
      </c>
      <c r="I38" s="3"/>
      <c r="J38" s="1290" t="str">
        <f t="shared" si="2"/>
        <v>Peanut Digger/Inverter</v>
      </c>
      <c r="K38" s="1546">
        <f>Z2_Machine_Custom_Calculations!K48</f>
        <v>19</v>
      </c>
      <c r="L38" s="1291">
        <f t="shared" si="3"/>
        <v>21.583959148971918</v>
      </c>
      <c r="M38" s="1292">
        <f t="shared" si="4"/>
        <v>3.1463295546558703</v>
      </c>
      <c r="N38" s="1292">
        <f t="shared" si="5"/>
        <v>4.876907002408247</v>
      </c>
      <c r="O38" s="1292">
        <f t="shared" si="6"/>
        <v>4.6998947368421051</v>
      </c>
      <c r="P38" s="1292">
        <f t="shared" si="7"/>
        <v>3.434315789473684</v>
      </c>
      <c r="Q38" s="1293">
        <f t="shared" si="8"/>
        <v>37.741406232351828</v>
      </c>
    </row>
    <row r="39" spans="1:17" ht="13.15" x14ac:dyDescent="0.4">
      <c r="A39" s="1290" t="str">
        <f>Machine!A49</f>
        <v>Peanut Conditioner</v>
      </c>
      <c r="B39" s="1546">
        <f>Z2_Machine_Custom_Calculations!K49</f>
        <v>19</v>
      </c>
      <c r="C39" s="1291">
        <f>Z2_Machine_Custom_Calculations!Z49-SUM(Z2_Machine_Custom_Calculations!W49:Y49)</f>
        <v>16.758537648490272</v>
      </c>
      <c r="D39" s="1292">
        <f>SUM(Z2_Machine_Custom_Calculations!W49:Y49)</f>
        <v>2.4486217105263157</v>
      </c>
      <c r="E39" s="1292">
        <f>Z2_Machine_Custom_Calculations!AC49+Z2_Machine_Custom_Calculations!AF49</f>
        <v>2.6365174910902414</v>
      </c>
      <c r="F39" s="1292">
        <f>Z2_Machine_Custom_Calculations!AJ49</f>
        <v>4.6998947368421051</v>
      </c>
      <c r="G39" s="1292">
        <f>Z2_Machine_Custom_Calculations!AM49</f>
        <v>3.434315789473684</v>
      </c>
      <c r="H39" s="1293">
        <f t="shared" si="1"/>
        <v>29.977887376422615</v>
      </c>
      <c r="I39" s="3"/>
      <c r="J39" s="1290" t="str">
        <f t="shared" si="2"/>
        <v>Peanut Conditioner</v>
      </c>
      <c r="K39" s="1546">
        <f>Z2_Machine_Custom_Calculations!K49</f>
        <v>19</v>
      </c>
      <c r="L39" s="1291">
        <f t="shared" si="3"/>
        <v>16.758537648490272</v>
      </c>
      <c r="M39" s="1292">
        <f t="shared" si="4"/>
        <v>2.4486217105263157</v>
      </c>
      <c r="N39" s="1292">
        <f t="shared" si="5"/>
        <v>2.6365174910902414</v>
      </c>
      <c r="O39" s="1292">
        <f t="shared" si="6"/>
        <v>4.6998947368421051</v>
      </c>
      <c r="P39" s="1292">
        <f t="shared" si="7"/>
        <v>3.434315789473684</v>
      </c>
      <c r="Q39" s="1293">
        <f t="shared" si="8"/>
        <v>29.977887376422615</v>
      </c>
    </row>
    <row r="40" spans="1:17" ht="13.15" x14ac:dyDescent="0.4">
      <c r="A40" s="1290" t="str">
        <f>Machine!A50</f>
        <v>Peanut Conditiner &amp; Lifter</v>
      </c>
      <c r="B40" s="1546">
        <f>Z2_Machine_Custom_Calculations!K50</f>
        <v>19</v>
      </c>
      <c r="C40" s="1291">
        <f>Z2_Machine_Custom_Calculations!Z50-SUM(Z2_Machine_Custom_Calculations!W50:Y50)</f>
        <v>16.211324901012972</v>
      </c>
      <c r="D40" s="1292">
        <f>SUM(Z2_Machine_Custom_Calculations!W50:Y50)</f>
        <v>2.3695002024291498</v>
      </c>
      <c r="E40" s="1292">
        <f>Z2_Machine_Custom_Calculations!AC50+Z2_Machine_Custom_Calculations!AF50</f>
        <v>2.3970803968615808</v>
      </c>
      <c r="F40" s="1292">
        <f>Z2_Machine_Custom_Calculations!AJ50</f>
        <v>4.6998947368421051</v>
      </c>
      <c r="G40" s="1292">
        <f>Z2_Machine_Custom_Calculations!AM50</f>
        <v>3.434315789473684</v>
      </c>
      <c r="H40" s="1293">
        <f t="shared" si="1"/>
        <v>29.112116026619493</v>
      </c>
      <c r="I40" s="3"/>
      <c r="J40" s="1290" t="str">
        <f t="shared" si="2"/>
        <v>Peanut Conditiner &amp; Lifter</v>
      </c>
      <c r="K40" s="1546">
        <f>Z2_Machine_Custom_Calculations!K50</f>
        <v>19</v>
      </c>
      <c r="L40" s="1291">
        <f t="shared" si="3"/>
        <v>16.211324901012972</v>
      </c>
      <c r="M40" s="1292">
        <f t="shared" si="4"/>
        <v>2.3695002024291498</v>
      </c>
      <c r="N40" s="1292">
        <f t="shared" si="5"/>
        <v>2.3970803968615808</v>
      </c>
      <c r="O40" s="1292">
        <f t="shared" si="6"/>
        <v>4.6998947368421051</v>
      </c>
      <c r="P40" s="1292">
        <f t="shared" si="7"/>
        <v>3.434315789473684</v>
      </c>
      <c r="Q40" s="1293">
        <f t="shared" si="8"/>
        <v>29.112116026619493</v>
      </c>
    </row>
    <row r="41" spans="1:17" ht="13.15" x14ac:dyDescent="0.4">
      <c r="A41" s="1290" t="str">
        <f>Machine!A51</f>
        <v>Mower, Stalk Shredder</v>
      </c>
      <c r="B41" s="1546">
        <f>Z2_Machine_Custom_Calculations!K51</f>
        <v>20</v>
      </c>
      <c r="C41" s="1291">
        <f>Z2_Machine_Custom_Calculations!Z51-SUM(Z2_Machine_Custom_Calculations!W51:Y51)</f>
        <v>6.8180919556825241</v>
      </c>
      <c r="D41" s="1292">
        <f>SUM(Z2_Machine_Custom_Calculations!W51:Y51)</f>
        <v>0.98159692382812502</v>
      </c>
      <c r="E41" s="1292">
        <f>Z2_Machine_Custom_Calculations!AC51+Z2_Machine_Custom_Calculations!AF51</f>
        <v>1.7917084821428573</v>
      </c>
      <c r="F41" s="1292">
        <f>Z2_Machine_Custom_Calculations!AJ51</f>
        <v>1.5547419642857141</v>
      </c>
      <c r="G41" s="1292">
        <f>Z2_Machine_Custom_Calculations!AM51</f>
        <v>1.2016272321428572</v>
      </c>
      <c r="H41" s="1293">
        <f t="shared" si="1"/>
        <v>12.347766558082078</v>
      </c>
      <c r="I41" s="3"/>
      <c r="J41" s="1290" t="str">
        <f t="shared" si="2"/>
        <v>Mower, Stalk Shredder</v>
      </c>
      <c r="K41" s="1546">
        <f>Z2_Machine_Custom_Calculations!K51</f>
        <v>20</v>
      </c>
      <c r="L41" s="1291">
        <f t="shared" si="3"/>
        <v>6.8180919556825241</v>
      </c>
      <c r="M41" s="1292">
        <f t="shared" si="4"/>
        <v>0.98159692382812502</v>
      </c>
      <c r="N41" s="1292">
        <f t="shared" si="5"/>
        <v>1.7917084821428573</v>
      </c>
      <c r="O41" s="1292">
        <f t="shared" si="6"/>
        <v>1.5547419642857141</v>
      </c>
      <c r="P41" s="1292">
        <f t="shared" si="7"/>
        <v>1.2016272321428572</v>
      </c>
      <c r="Q41" s="1293">
        <f t="shared" si="8"/>
        <v>12.347766558082078</v>
      </c>
    </row>
    <row r="42" spans="1:17" ht="13.15" x14ac:dyDescent="0.4">
      <c r="A42" s="1539" t="str">
        <f>Machine!A52</f>
        <v>Stubble Roller</v>
      </c>
      <c r="B42" s="1620">
        <f>Z2_Machine_Custom_Calculations!K52</f>
        <v>32</v>
      </c>
      <c r="C42" s="1297">
        <f>Z2_Machine_Custom_Calculations!Z52-SUM(Z2_Machine_Custom_Calculations!W52:Y52)</f>
        <v>5.5646711752893712</v>
      </c>
      <c r="D42" s="1298">
        <f>SUM(Z2_Machine_Custom_Calculations!W52:Y52)</f>
        <v>0.80859996553308822</v>
      </c>
      <c r="E42" s="1298">
        <f>Z2_Machine_Custom_Calculations!AC52+Z2_Machine_Custom_Calculations!AF52</f>
        <v>0.56817593694002566</v>
      </c>
      <c r="F42" s="1298">
        <f>Z2_Machine_Custom_Calculations!AJ52</f>
        <v>1.2584889705882354</v>
      </c>
      <c r="G42" s="1298">
        <f>Z2_Machine_Custom_Calculations!AM52</f>
        <v>0.77966544117647063</v>
      </c>
      <c r="H42" s="1299">
        <f t="shared" si="1"/>
        <v>8.9796014895271909</v>
      </c>
      <c r="I42" s="3"/>
      <c r="J42" s="1539" t="str">
        <f t="shared" si="2"/>
        <v>Stubble Roller</v>
      </c>
      <c r="K42" s="1620">
        <f>Z2_Machine_Custom_Calculations!K52</f>
        <v>32</v>
      </c>
      <c r="L42" s="1297">
        <f t="shared" si="3"/>
        <v>5.5646711752893712</v>
      </c>
      <c r="M42" s="1298">
        <f t="shared" si="4"/>
        <v>0.80859996553308822</v>
      </c>
      <c r="N42" s="1298">
        <f t="shared" si="5"/>
        <v>0.56817593694002566</v>
      </c>
      <c r="O42" s="1298">
        <f t="shared" si="6"/>
        <v>1.2584889705882354</v>
      </c>
      <c r="P42" s="1298">
        <f t="shared" si="7"/>
        <v>0.77966544117647063</v>
      </c>
      <c r="Q42" s="1299">
        <f t="shared" si="8"/>
        <v>8.9796014895271909</v>
      </c>
    </row>
    <row r="43" spans="1:17" ht="13.15" x14ac:dyDescent="0.4">
      <c r="A43" s="1290" t="str">
        <f>Machine!A53</f>
        <v>Other Equipment</v>
      </c>
      <c r="B43" s="1547"/>
      <c r="C43" s="1291">
        <f>Z2_Machine_Custom_Calculations!Z53-SUM(Z2_Machine_Custom_Calculations!W53:Y53)</f>
        <v>895.59119098678548</v>
      </c>
      <c r="D43" s="1292">
        <f>SUM(Z2_Machine_Custom_Calculations!W53:Y53)</f>
        <v>131.17005</v>
      </c>
      <c r="E43" s="1292">
        <f>Z2_Machine_Custom_Calculations!AC53+Z2_Machine_Custom_Calculations!AF53</f>
        <v>81.612771428571435</v>
      </c>
      <c r="F43" s="1292">
        <f>Z2_Machine_Custom_Calculations!AJ53</f>
        <v>293.40771428571429</v>
      </c>
      <c r="G43" s="1292">
        <f>Z2_Machine_Custom_Calculations!AM53</f>
        <v>232.46025000000003</v>
      </c>
      <c r="H43" s="1293">
        <f t="shared" si="1"/>
        <v>1634.2419767010713</v>
      </c>
      <c r="I43" s="3"/>
      <c r="J43" s="1290" t="str">
        <f t="shared" si="2"/>
        <v>Other Equipment</v>
      </c>
      <c r="K43" s="1547"/>
      <c r="L43" s="1291">
        <f t="shared" si="3"/>
        <v>895.59119098678548</v>
      </c>
      <c r="M43" s="1292">
        <f t="shared" si="4"/>
        <v>131.17005</v>
      </c>
      <c r="N43" s="1292">
        <f t="shared" si="5"/>
        <v>81.612771428571435</v>
      </c>
      <c r="O43" s="1292">
        <f t="shared" si="6"/>
        <v>293.40771428571429</v>
      </c>
      <c r="P43" s="1292">
        <f t="shared" si="7"/>
        <v>232.46025000000003</v>
      </c>
      <c r="Q43" s="1293">
        <f t="shared" si="8"/>
        <v>1634.2419767010713</v>
      </c>
    </row>
    <row r="44" spans="1:17" ht="13.15" x14ac:dyDescent="0.4">
      <c r="A44" s="1539" t="str">
        <f>Machine!A54</f>
        <v>Other Equipment</v>
      </c>
      <c r="B44" s="1548"/>
      <c r="C44" s="1297">
        <f>Z2_Machine_Custom_Calculations!Z54-SUM(Z2_Machine_Custom_Calculations!W54:Y54)</f>
        <v>895.59119098678548</v>
      </c>
      <c r="D44" s="1298">
        <f>SUM(Z2_Machine_Custom_Calculations!W54:Y54)</f>
        <v>131.17005</v>
      </c>
      <c r="E44" s="1298">
        <f>Z2_Machine_Custom_Calculations!AC54+Z2_Machine_Custom_Calculations!AF54</f>
        <v>81.612771428571435</v>
      </c>
      <c r="F44" s="1298">
        <f>Z2_Machine_Custom_Calculations!AJ54</f>
        <v>293.40771428571429</v>
      </c>
      <c r="G44" s="1298">
        <f>Z2_Machine_Custom_Calculations!AM54</f>
        <v>232.46025000000003</v>
      </c>
      <c r="H44" s="1299">
        <f t="shared" si="1"/>
        <v>1634.2419767010713</v>
      </c>
      <c r="I44" s="3"/>
      <c r="J44" s="1539" t="str">
        <f t="shared" si="2"/>
        <v>Other Equipment</v>
      </c>
      <c r="K44" s="1548"/>
      <c r="L44" s="1297">
        <f t="shared" si="3"/>
        <v>895.59119098678548</v>
      </c>
      <c r="M44" s="1298">
        <f t="shared" si="4"/>
        <v>131.17005</v>
      </c>
      <c r="N44" s="1298">
        <f t="shared" si="5"/>
        <v>81.612771428571435</v>
      </c>
      <c r="O44" s="1298">
        <f t="shared" si="6"/>
        <v>293.40771428571429</v>
      </c>
      <c r="P44" s="1298">
        <f t="shared" si="7"/>
        <v>232.46025000000003</v>
      </c>
      <c r="Q44" s="1299">
        <f t="shared" si="8"/>
        <v>1634.2419767010713</v>
      </c>
    </row>
    <row r="45" spans="1:17" x14ac:dyDescent="0.35">
      <c r="A45" s="1253"/>
      <c r="B45" s="1549"/>
      <c r="C45" s="1252"/>
      <c r="D45" s="1252"/>
      <c r="E45" s="1252"/>
      <c r="F45" s="1252"/>
      <c r="G45" s="1252"/>
      <c r="H45" s="1252"/>
      <c r="I45" s="3"/>
      <c r="J45" s="1253"/>
      <c r="K45" s="1549"/>
      <c r="L45" s="1252"/>
      <c r="M45" s="1252"/>
      <c r="N45" s="1252"/>
      <c r="O45" s="1252"/>
      <c r="P45" s="1252"/>
      <c r="Q45" s="1252"/>
    </row>
    <row r="46" spans="1:17" ht="13.15" x14ac:dyDescent="0.4">
      <c r="A46" s="1254"/>
      <c r="B46" s="1550"/>
      <c r="C46" s="1255"/>
      <c r="D46" s="1255"/>
      <c r="E46" s="1255"/>
      <c r="F46" s="1255"/>
      <c r="G46" s="1255"/>
      <c r="H46" s="1255"/>
      <c r="I46" s="3"/>
      <c r="J46" s="1254"/>
      <c r="K46" s="1550"/>
      <c r="L46" s="1255"/>
      <c r="M46" s="1255"/>
      <c r="N46" s="1255"/>
      <c r="O46" s="1255"/>
      <c r="P46" s="1255"/>
      <c r="Q46" s="1255"/>
    </row>
    <row r="47" spans="1:17" ht="13.15" x14ac:dyDescent="0.4">
      <c r="A47" s="1253" t="s">
        <v>74</v>
      </c>
      <c r="B47" s="1549"/>
      <c r="C47" s="1255"/>
      <c r="D47" s="1255"/>
      <c r="E47" s="1255"/>
      <c r="F47" s="1255"/>
      <c r="G47" s="1255"/>
      <c r="H47" s="1255"/>
      <c r="I47" s="3"/>
      <c r="J47" s="1253" t="s">
        <v>74</v>
      </c>
      <c r="K47" s="1549"/>
      <c r="L47" s="1255"/>
      <c r="M47" s="1255"/>
      <c r="N47" s="1255"/>
      <c r="O47" s="1255"/>
      <c r="P47" s="1255"/>
      <c r="Q47" s="1255"/>
    </row>
    <row r="48" spans="1:17" ht="13.15" x14ac:dyDescent="0.4">
      <c r="A48" s="1286" t="str">
        <f>Machine!A58</f>
        <v>Self-Propelled Sprayer</v>
      </c>
      <c r="B48" s="1552">
        <f>Z2_Machine_Custom_Calculations!K58</f>
        <v>90</v>
      </c>
      <c r="C48" s="1287">
        <f>Z2_Machine_Custom_Calculations!Z58-SUM(Z2_Machine_Custom_Calculations!W58:Y58)</f>
        <v>4.7978708180438394</v>
      </c>
      <c r="D48" s="1288">
        <f>SUM(Z2_Machine_Custom_Calculations!W58:Y58)</f>
        <v>0.77872126068376069</v>
      </c>
      <c r="E48" s="1288">
        <f>Z2_Machine_Custom_Calculations!AC58+Z2_Machine_Custom_Calculations!AF58</f>
        <v>0.46721865375670446</v>
      </c>
      <c r="F48" s="1288">
        <f>Z2_Machine_Custom_Calculations!AJ58</f>
        <v>0.31801282051282048</v>
      </c>
      <c r="G48" s="1288">
        <f>Z2_Machine_Custom_Calculations!AM58</f>
        <v>0.21785523504273505</v>
      </c>
      <c r="H48" s="1289">
        <f>SUM(C48:G48)</f>
        <v>6.5796787880398604</v>
      </c>
      <c r="I48" s="3"/>
      <c r="J48" s="1286" t="str">
        <f>A48</f>
        <v>Self-Propelled Sprayer</v>
      </c>
      <c r="K48" s="1552">
        <f>Z2_Machine_Custom_Calculations!K58</f>
        <v>90</v>
      </c>
      <c r="L48" s="1288">
        <f t="shared" ref="L48:Q50" si="9">C48</f>
        <v>4.7978708180438394</v>
      </c>
      <c r="M48" s="1288">
        <f t="shared" si="9"/>
        <v>0.77872126068376069</v>
      </c>
      <c r="N48" s="1288">
        <f t="shared" si="9"/>
        <v>0.46721865375670446</v>
      </c>
      <c r="O48" s="1288">
        <f t="shared" si="9"/>
        <v>0.31801282051282048</v>
      </c>
      <c r="P48" s="1288">
        <f t="shared" si="9"/>
        <v>0.21785523504273505</v>
      </c>
      <c r="Q48" s="1289">
        <f t="shared" si="9"/>
        <v>6.5796787880398604</v>
      </c>
    </row>
    <row r="49" spans="1:24" ht="13.15" x14ac:dyDescent="0.4">
      <c r="A49" s="1290" t="str">
        <f>Machine!A59</f>
        <v>ATV with  Spot, Levee Sprayer</v>
      </c>
      <c r="B49" s="1553"/>
      <c r="C49" s="1291">
        <f>Z2_Machine_Custom_Calculations!Z59-SUM(Z2_Machine_Custom_Calculations!W59:Y59)</f>
        <v>0.41251941480894488</v>
      </c>
      <c r="D49" s="1292">
        <f>SUM(Z2_Machine_Custom_Calculations!W59:Y59)</f>
        <v>5.5203422583298682E-2</v>
      </c>
      <c r="E49" s="1292">
        <f>Z2_Machine_Custom_Calculations!AC59+Z2_Machine_Custom_Calculations!AF59</f>
        <v>5.6915597854869451E-2</v>
      </c>
      <c r="F49" s="1292">
        <f>Z2_Machine_Custom_Calculations!AJ59</f>
        <v>6.8456986787325078E-2</v>
      </c>
      <c r="G49" s="1292">
        <f>Z2_Machine_Custom_Calculations!AM59</f>
        <v>0.19508976323323582</v>
      </c>
      <c r="H49" s="1293">
        <f>SUM(C49:G49)</f>
        <v>0.78818518526767389</v>
      </c>
      <c r="I49" s="3"/>
      <c r="J49" s="1290" t="str">
        <f>A49</f>
        <v>ATV with  Spot, Levee Sprayer</v>
      </c>
      <c r="K49" s="1553"/>
      <c r="L49" s="1292">
        <f t="shared" si="9"/>
        <v>0.41251941480894488</v>
      </c>
      <c r="M49" s="1292">
        <f t="shared" si="9"/>
        <v>5.5203422583298682E-2</v>
      </c>
      <c r="N49" s="1292">
        <f t="shared" si="9"/>
        <v>5.6915597854869451E-2</v>
      </c>
      <c r="O49" s="1292">
        <f t="shared" si="9"/>
        <v>6.8456986787325078E-2</v>
      </c>
      <c r="P49" s="1292">
        <f t="shared" si="9"/>
        <v>0.19508976323323582</v>
      </c>
      <c r="Q49" s="1293">
        <f t="shared" si="9"/>
        <v>0.78818518526767389</v>
      </c>
      <c r="R49" s="3"/>
      <c r="S49" s="3"/>
      <c r="T49" s="3"/>
      <c r="U49" s="3"/>
      <c r="V49" s="3"/>
      <c r="W49" s="3"/>
      <c r="X49" s="3"/>
    </row>
    <row r="50" spans="1:24" ht="13.15" x14ac:dyDescent="0.4">
      <c r="A50" s="1539" t="str">
        <f>Machine!A60</f>
        <v>Dry Box Spreader</v>
      </c>
      <c r="B50" s="1554">
        <f>Z2_Machine_Custom_Calculations!K60</f>
        <v>80</v>
      </c>
      <c r="C50" s="1297">
        <f>Z2_Machine_Custom_Calculations!Z60-SUM(Z2_Machine_Custom_Calculations!W60:Y60)</f>
        <v>7.2107655494889471</v>
      </c>
      <c r="D50" s="1298">
        <f>SUM(Z2_Machine_Custom_Calculations!W60:Y60)</f>
        <v>1.1703475671073718</v>
      </c>
      <c r="E50" s="1298">
        <f>Z2_Machine_Custom_Calculations!AC60+Z2_Machine_Custom_Calculations!AF60</f>
        <v>0.69016933920160684</v>
      </c>
      <c r="F50" s="1298">
        <f>Z2_Machine_Custom_Calculations!AJ60</f>
        <v>0.35776442307692308</v>
      </c>
      <c r="G50" s="1298">
        <f>Z2_Machine_Custom_Calculations!AM60</f>
        <v>0.24508713942307692</v>
      </c>
      <c r="H50" s="1299">
        <f>SUM(C50:G50)</f>
        <v>9.6741340182979254</v>
      </c>
      <c r="I50" s="3"/>
      <c r="J50" s="1539" t="str">
        <f>A50</f>
        <v>Dry Box Spreader</v>
      </c>
      <c r="K50" s="1554">
        <f>Z2_Machine_Custom_Calculations!K60</f>
        <v>80</v>
      </c>
      <c r="L50" s="1298">
        <f t="shared" si="9"/>
        <v>7.2107655494889471</v>
      </c>
      <c r="M50" s="1298">
        <f t="shared" si="9"/>
        <v>1.1703475671073718</v>
      </c>
      <c r="N50" s="1298">
        <f t="shared" si="9"/>
        <v>0.69016933920160684</v>
      </c>
      <c r="O50" s="1298">
        <f t="shared" si="9"/>
        <v>0.35776442307692308</v>
      </c>
      <c r="P50" s="1298">
        <f t="shared" si="9"/>
        <v>0.24508713942307692</v>
      </c>
      <c r="Q50" s="1299">
        <f t="shared" si="9"/>
        <v>9.6741340182979254</v>
      </c>
      <c r="R50" s="3"/>
      <c r="S50" s="3"/>
      <c r="T50" s="3"/>
      <c r="U50" s="3"/>
      <c r="V50" s="3"/>
      <c r="W50" s="3"/>
      <c r="X50" s="3"/>
    </row>
    <row r="51" spans="1:24" x14ac:dyDescent="0.35">
      <c r="A51" s="1253"/>
      <c r="B51" s="1549"/>
      <c r="C51" s="1252"/>
      <c r="D51" s="1252"/>
      <c r="E51" s="1252"/>
      <c r="F51" s="1252"/>
      <c r="G51" s="1252"/>
      <c r="H51" s="1252"/>
      <c r="I51" s="3"/>
      <c r="J51" s="1253"/>
      <c r="K51" s="1549"/>
      <c r="L51" s="1252"/>
      <c r="M51" s="1252"/>
      <c r="N51" s="1252"/>
      <c r="O51" s="1252"/>
      <c r="P51" s="1252"/>
      <c r="Q51" s="1252"/>
      <c r="R51" s="3"/>
      <c r="S51" s="3"/>
      <c r="T51" s="3"/>
      <c r="U51" s="3"/>
      <c r="V51" s="3"/>
      <c r="W51" s="3"/>
      <c r="X51" s="3"/>
    </row>
    <row r="52" spans="1:24" ht="13.15" x14ac:dyDescent="0.4">
      <c r="A52" s="1254"/>
      <c r="B52" s="1550"/>
      <c r="C52" s="1255"/>
      <c r="D52" s="1255"/>
      <c r="E52" s="1255"/>
      <c r="F52" s="1255"/>
      <c r="G52" s="1255"/>
      <c r="H52" s="1255"/>
      <c r="I52" s="3"/>
      <c r="J52" s="1254"/>
      <c r="K52" s="1550"/>
      <c r="L52" s="1255"/>
      <c r="M52" s="1255"/>
      <c r="N52" s="1255"/>
      <c r="O52" s="1255"/>
      <c r="P52" s="1255"/>
      <c r="Q52" s="1255"/>
      <c r="R52" s="3"/>
      <c r="S52" s="3"/>
      <c r="T52" s="3"/>
      <c r="U52" s="3"/>
      <c r="V52" s="3"/>
      <c r="W52" s="3"/>
      <c r="X52" s="3"/>
    </row>
    <row r="53" spans="1:24" ht="13.15" x14ac:dyDescent="0.4">
      <c r="A53" s="1253" t="s">
        <v>209</v>
      </c>
      <c r="B53" s="1549"/>
      <c r="C53" s="1255"/>
      <c r="D53" s="1255"/>
      <c r="E53" s="1255"/>
      <c r="F53" s="1255"/>
      <c r="G53" s="1255"/>
      <c r="H53" s="1255"/>
      <c r="I53" s="3"/>
      <c r="J53" s="1253" t="s">
        <v>209</v>
      </c>
      <c r="K53" s="1549"/>
      <c r="L53" s="1255"/>
      <c r="M53" s="1255"/>
      <c r="N53" s="1255"/>
      <c r="O53" s="1255"/>
      <c r="P53" s="1255"/>
      <c r="Q53" s="1255"/>
      <c r="R53" s="3"/>
      <c r="S53" s="3"/>
      <c r="T53" s="3"/>
      <c r="U53" s="3"/>
      <c r="V53" s="3"/>
      <c r="W53" s="3"/>
      <c r="X53" s="3"/>
    </row>
    <row r="54" spans="1:24" ht="13.15" x14ac:dyDescent="0.4">
      <c r="A54" s="1286" t="str">
        <f>Machine!A64</f>
        <v>Cotton Picker</v>
      </c>
      <c r="B54" s="1552">
        <f>Z2_Machine_Custom_Calculations!K64</f>
        <v>19</v>
      </c>
      <c r="C54" s="1287">
        <f>Z2_Machine_Custom_Calculations!Z64-SUM(Z2_Machine_Custom_Calculations!W64:Y64)</f>
        <v>65.775357087170789</v>
      </c>
      <c r="D54" s="1288">
        <f>SUM(Z2_Machine_Custom_Calculations!W64:Y64)</f>
        <v>8.688830880773363</v>
      </c>
      <c r="E54" s="1288">
        <f>Z2_Machine_Custom_Calculations!AC64+Z2_Machine_Custom_Calculations!AF64</f>
        <v>14.253223292110308</v>
      </c>
      <c r="F54" s="1288">
        <f>Z2_Machine_Custom_Calculations!AJ64</f>
        <v>6.8100515574650915</v>
      </c>
      <c r="G54" s="1288">
        <f>Z2_Machine_Custom_Calculations!AM64</f>
        <v>2.9174162191192274</v>
      </c>
      <c r="H54" s="1289">
        <f t="shared" ref="H54:H71" si="10">SUM(C54:G54)</f>
        <v>98.444879036638781</v>
      </c>
      <c r="I54" s="3"/>
      <c r="J54" s="1294" t="str">
        <f t="shared" ref="J54:J71" si="11">A54</f>
        <v>Cotton Picker</v>
      </c>
      <c r="K54" s="1552">
        <f>Z2_Machine_Custom_Calculations!K64</f>
        <v>19</v>
      </c>
      <c r="L54" s="1288">
        <f t="shared" ref="L54:L71" si="12">C54</f>
        <v>65.775357087170789</v>
      </c>
      <c r="M54" s="1288">
        <f t="shared" ref="M54:M71" si="13">D54</f>
        <v>8.688830880773363</v>
      </c>
      <c r="N54" s="1288">
        <f t="shared" ref="N54:N71" si="14">E54</f>
        <v>14.253223292110308</v>
      </c>
      <c r="O54" s="1288">
        <f t="shared" ref="O54:O71" si="15">F54</f>
        <v>6.8100515574650915</v>
      </c>
      <c r="P54" s="1288">
        <f t="shared" ref="P54:P71" si="16">G54</f>
        <v>2.9174162191192274</v>
      </c>
      <c r="Q54" s="1289">
        <f t="shared" ref="Q54:Q71" si="17">H54</f>
        <v>98.444879036638781</v>
      </c>
      <c r="R54" s="3"/>
      <c r="S54" s="921"/>
      <c r="T54" s="3"/>
      <c r="U54" s="3"/>
      <c r="V54" s="3"/>
      <c r="W54" s="3"/>
      <c r="X54" s="3"/>
    </row>
    <row r="55" spans="1:24" ht="13.15" x14ac:dyDescent="0.4">
      <c r="A55" s="1290" t="str">
        <f>Machine!A65</f>
        <v>Boll Buggy with Tractor</v>
      </c>
      <c r="B55" s="1555"/>
      <c r="C55" s="1291">
        <f>Z2_Machine_Custom_Calculations!Z65-SUM(Z2_Machine_Custom_Calculations!W65:Y65)</f>
        <v>14.746870744632268</v>
      </c>
      <c r="D55" s="1292">
        <f>SUM(Z2_Machine_Custom_Calculations!W65:Y65)</f>
        <v>2.1899970596133191</v>
      </c>
      <c r="E55" s="1292">
        <f>Z2_Machine_Custom_Calculations!AC65+Z2_Machine_Custom_Calculations!AF65</f>
        <v>2.1895540939715912</v>
      </c>
      <c r="F55" s="1292">
        <f>Z2_Machine_Custom_Calculations!AJ65</f>
        <v>3.7407325456498395</v>
      </c>
      <c r="G55" s="1292">
        <f>Z2_Machine_Custom_Calculations!AM65</f>
        <v>2.9174162191192274</v>
      </c>
      <c r="H55" s="1293">
        <f t="shared" si="10"/>
        <v>25.784570662986244</v>
      </c>
      <c r="I55" s="3"/>
      <c r="J55" s="1295" t="str">
        <f t="shared" si="11"/>
        <v>Boll Buggy with Tractor</v>
      </c>
      <c r="K55" s="1555"/>
      <c r="L55" s="1292">
        <f t="shared" si="12"/>
        <v>14.746870744632268</v>
      </c>
      <c r="M55" s="1292">
        <f t="shared" si="13"/>
        <v>2.1899970596133191</v>
      </c>
      <c r="N55" s="1292">
        <f t="shared" si="14"/>
        <v>2.1895540939715912</v>
      </c>
      <c r="O55" s="1292">
        <f t="shared" si="15"/>
        <v>3.7407325456498395</v>
      </c>
      <c r="P55" s="1292">
        <f t="shared" si="16"/>
        <v>2.9174162191192274</v>
      </c>
      <c r="Q55" s="1293">
        <f t="shared" si="17"/>
        <v>25.784570662986244</v>
      </c>
      <c r="R55" s="3"/>
      <c r="S55" s="3"/>
      <c r="T55" s="3"/>
      <c r="U55" s="3"/>
      <c r="V55" s="3"/>
      <c r="W55" s="3"/>
      <c r="X55" s="3"/>
    </row>
    <row r="56" spans="1:24" ht="13.15" x14ac:dyDescent="0.4">
      <c r="A56" s="1539" t="str">
        <f>Machine!A66</f>
        <v>Module Builder with Tractor</v>
      </c>
      <c r="B56" s="1554"/>
      <c r="C56" s="1297">
        <f>Z2_Machine_Custom_Calculations!Z66-SUM(Z2_Machine_Custom_Calculations!W66:Y66)</f>
        <v>15.284316535743066</v>
      </c>
      <c r="D56" s="1298">
        <f>SUM(Z2_Machine_Custom_Calculations!W66:Y66)</f>
        <v>2.2728630370569283</v>
      </c>
      <c r="E56" s="1298">
        <f>Z2_Machine_Custom_Calculations!AC66+Z2_Machine_Custom_Calculations!AF66</f>
        <v>2.3523986143444571</v>
      </c>
      <c r="F56" s="1298">
        <f>Z2_Machine_Custom_Calculations!AJ66</f>
        <v>3.7407325456498395</v>
      </c>
      <c r="G56" s="1298">
        <f>Z2_Machine_Custom_Calculations!AM66</f>
        <v>8.752248657357681</v>
      </c>
      <c r="H56" s="1299">
        <f t="shared" si="10"/>
        <v>32.402559390151978</v>
      </c>
      <c r="I56" s="3"/>
      <c r="J56" s="1296" t="str">
        <f t="shared" si="11"/>
        <v>Module Builder with Tractor</v>
      </c>
      <c r="K56" s="1554"/>
      <c r="L56" s="1298">
        <f t="shared" si="12"/>
        <v>15.284316535743066</v>
      </c>
      <c r="M56" s="1298">
        <f t="shared" si="13"/>
        <v>2.2728630370569283</v>
      </c>
      <c r="N56" s="1298">
        <f t="shared" si="14"/>
        <v>2.3523986143444571</v>
      </c>
      <c r="O56" s="1298">
        <f t="shared" si="15"/>
        <v>3.7407325456498395</v>
      </c>
      <c r="P56" s="1298">
        <f t="shared" si="16"/>
        <v>8.752248657357681</v>
      </c>
      <c r="Q56" s="1299">
        <f t="shared" si="17"/>
        <v>32.402559390151978</v>
      </c>
      <c r="R56" s="3"/>
      <c r="S56" s="3"/>
      <c r="T56" s="3"/>
      <c r="U56" s="3"/>
      <c r="V56" s="3"/>
      <c r="W56" s="3"/>
      <c r="X56" s="3"/>
    </row>
    <row r="57" spans="1:24" ht="13.15" x14ac:dyDescent="0.4">
      <c r="A57" s="1290" t="str">
        <f>Machine!A67</f>
        <v>Cotton Picker: Module-Building</v>
      </c>
      <c r="B57" s="1552">
        <f>Z2_Machine_Custom_Calculations!K67</f>
        <v>19</v>
      </c>
      <c r="C57" s="1291">
        <f>Z2_Machine_Custom_Calculations!Z67-SUM(Z2_Machine_Custom_Calculations!W67:Y67)</f>
        <v>102.90867477035721</v>
      </c>
      <c r="D57" s="1292">
        <f>SUM(Z2_Machine_Custom_Calculations!W67:Y67)</f>
        <v>13.594089197556691</v>
      </c>
      <c r="E57" s="1292">
        <f>Z2_Machine_Custom_Calculations!AC67+Z2_Machine_Custom_Calculations!AF67</f>
        <v>22.071246037002044</v>
      </c>
      <c r="F57" s="1292">
        <f>Z2_Machine_Custom_Calculations!AJ67</f>
        <v>8.3686519956489001</v>
      </c>
      <c r="G57" s="1292">
        <f>Z2_Machine_Custom_Calculations!AM67</f>
        <v>2.2727089783281738</v>
      </c>
      <c r="H57" s="1293">
        <f t="shared" si="10"/>
        <v>149.21537097889302</v>
      </c>
      <c r="I57" s="3"/>
      <c r="J57" s="1286" t="str">
        <f t="shared" si="11"/>
        <v>Cotton Picker: Module-Building</v>
      </c>
      <c r="K57" s="1552">
        <f>Z2_Machine_Custom_Calculations!K67</f>
        <v>19</v>
      </c>
      <c r="L57" s="1288">
        <f t="shared" si="12"/>
        <v>102.90867477035721</v>
      </c>
      <c r="M57" s="1288">
        <f t="shared" si="13"/>
        <v>13.594089197556691</v>
      </c>
      <c r="N57" s="1288">
        <f t="shared" si="14"/>
        <v>22.071246037002044</v>
      </c>
      <c r="O57" s="1288">
        <f t="shared" si="15"/>
        <v>8.3686519956489001</v>
      </c>
      <c r="P57" s="1288">
        <f t="shared" si="16"/>
        <v>2.2727089783281738</v>
      </c>
      <c r="Q57" s="1289">
        <f t="shared" si="17"/>
        <v>149.21537097889302</v>
      </c>
      <c r="R57" s="3"/>
      <c r="S57" s="3"/>
      <c r="T57" s="3"/>
      <c r="U57" s="3"/>
      <c r="V57" s="3"/>
      <c r="W57" s="3"/>
      <c r="X57" s="3"/>
    </row>
    <row r="58" spans="1:24" ht="13.15" x14ac:dyDescent="0.4">
      <c r="A58" s="1539" t="str">
        <f>Machine!A68</f>
        <v>Module Handler with Tractor</v>
      </c>
      <c r="B58" s="1569"/>
      <c r="C58" s="1297">
        <f>Z2_Machine_Custom_Calculations!Z68-SUM(Z2_Machine_Custom_Calculations!W68:Y68)</f>
        <v>1.7930530887365166</v>
      </c>
      <c r="D58" s="1298">
        <f>SUM(Z2_Machine_Custom_Calculations!W68:Y68)</f>
        <v>0.27319956802778012</v>
      </c>
      <c r="E58" s="1298">
        <f>Z2_Machine_Custom_Calculations!AC68+Z2_Machine_Custom_Calculations!AF68</f>
        <v>4.7676516646750648E-2</v>
      </c>
      <c r="F58" s="1298">
        <f>Z2_Machine_Custom_Calculations!AJ68</f>
        <v>0.14570420885281568</v>
      </c>
      <c r="G58" s="1298">
        <f>Z2_Machine_Custom_Calculations!AM68</f>
        <v>0.11363544891640869</v>
      </c>
      <c r="H58" s="1299">
        <f t="shared" si="10"/>
        <v>2.3732688311802721</v>
      </c>
      <c r="I58" s="3"/>
      <c r="J58" s="1539" t="str">
        <f t="shared" si="11"/>
        <v>Module Handler with Tractor</v>
      </c>
      <c r="K58" s="1569"/>
      <c r="L58" s="1298">
        <f t="shared" si="12"/>
        <v>1.7930530887365166</v>
      </c>
      <c r="M58" s="1298">
        <f t="shared" si="13"/>
        <v>0.27319956802778012</v>
      </c>
      <c r="N58" s="1298">
        <f t="shared" si="14"/>
        <v>4.7676516646750648E-2</v>
      </c>
      <c r="O58" s="1298">
        <f t="shared" si="15"/>
        <v>0.14570420885281568</v>
      </c>
      <c r="P58" s="1298">
        <f t="shared" si="16"/>
        <v>0.11363544891640869</v>
      </c>
      <c r="Q58" s="1299">
        <f t="shared" si="17"/>
        <v>2.3732688311802721</v>
      </c>
      <c r="R58" s="3"/>
      <c r="S58" s="3"/>
      <c r="T58" s="3"/>
      <c r="U58" s="3"/>
      <c r="V58" s="3"/>
      <c r="W58" s="3"/>
      <c r="X58" s="3"/>
    </row>
    <row r="59" spans="1:24" ht="13.15" x14ac:dyDescent="0.4">
      <c r="A59" s="1294" t="str">
        <f>Machine!A69</f>
        <v>Combine</v>
      </c>
      <c r="B59" s="1556"/>
      <c r="C59" s="1288">
        <f>Z2_Machine_Custom_Calculations!Z69-SUM(Z2_Machine_Custom_Calculations!W69:Y69)</f>
        <v>42.935926957738964</v>
      </c>
      <c r="D59" s="1288">
        <f>SUM(Z2_Machine_Custom_Calculations!W69:Y69)</f>
        <v>5.6717747278911572</v>
      </c>
      <c r="E59" s="1288">
        <f>Z2_Machine_Custom_Calculations!AC69+Z2_Machine_Custom_Calculations!AF69</f>
        <v>9.0865286271162944</v>
      </c>
      <c r="F59" s="1288">
        <f>Z2_Machine_Custom_Calculations!AJ69</f>
        <v>3.9485510204081633</v>
      </c>
      <c r="G59" s="1288">
        <f>Z2_Machine_Custom_Calculations!AM69</f>
        <v>1.8476969387755104</v>
      </c>
      <c r="H59" s="1289">
        <f t="shared" si="10"/>
        <v>63.490478271930087</v>
      </c>
      <c r="I59" s="3"/>
      <c r="J59" s="1540" t="s">
        <v>979</v>
      </c>
      <c r="K59" s="1556"/>
      <c r="L59" s="1288"/>
      <c r="M59" s="1288"/>
      <c r="N59" s="1288"/>
      <c r="O59" s="1288"/>
      <c r="P59" s="1288"/>
      <c r="Q59" s="1289"/>
      <c r="R59" s="3"/>
      <c r="S59" s="3"/>
      <c r="T59" s="3"/>
      <c r="U59" s="3"/>
      <c r="V59" s="3"/>
      <c r="W59" s="3"/>
      <c r="X59" s="3"/>
    </row>
    <row r="60" spans="1:24" ht="13.15" x14ac:dyDescent="0.4">
      <c r="A60" s="1295" t="str">
        <f>Machine!A70</f>
        <v>Corn Head</v>
      </c>
      <c r="B60" s="1555">
        <f>Z2_Machine_Custom_Calculations!K70</f>
        <v>25</v>
      </c>
      <c r="C60" s="1292">
        <f>Z2_Machine_Custom_Calculations!Z70-SUM(Z2_Machine_Custom_Calculations!W70:Y70)</f>
        <v>4.7339909722822338</v>
      </c>
      <c r="D60" s="1292">
        <f>SUM(Z2_Machine_Custom_Calculations!W70:Y70)</f>
        <v>0.62535345714285728</v>
      </c>
      <c r="E60" s="1292">
        <f>Z2_Machine_Custom_Calculations!AC70+Z2_Machine_Custom_Calculations!AF70</f>
        <v>3.4251018477670359</v>
      </c>
      <c r="F60" s="1292">
        <f>Z2_Machine_Custom_Calculations!AJ70</f>
        <v>0</v>
      </c>
      <c r="G60" s="1292">
        <f>Z2_Machine_Custom_Calculations!AM70</f>
        <v>0</v>
      </c>
      <c r="H60" s="1293">
        <f t="shared" si="10"/>
        <v>8.7844462771921279</v>
      </c>
      <c r="I60" s="3"/>
      <c r="J60" s="1295" t="str">
        <f t="shared" si="11"/>
        <v>Corn Head</v>
      </c>
      <c r="K60" s="1555">
        <f>Z2_Machine_Custom_Calculations!K70</f>
        <v>25</v>
      </c>
      <c r="L60" s="1292">
        <v>21.98052078811083</v>
      </c>
      <c r="M60" s="1292">
        <v>3.6379177551020416</v>
      </c>
      <c r="N60" s="1292">
        <v>8.2323601535394353</v>
      </c>
      <c r="O60" s="1292">
        <v>4.7767836734693887</v>
      </c>
      <c r="P60" s="1292">
        <v>1.9256914285714295</v>
      </c>
      <c r="Q60" s="1293">
        <v>40.553273798793121</v>
      </c>
      <c r="R60" s="3"/>
      <c r="S60" s="1292">
        <f t="shared" ref="S60:X63" si="18">C60+C$59</f>
        <v>47.669917930021199</v>
      </c>
      <c r="T60" s="1292">
        <f t="shared" si="18"/>
        <v>6.2971281850340146</v>
      </c>
      <c r="U60" s="1292">
        <f t="shared" si="18"/>
        <v>12.511630474883329</v>
      </c>
      <c r="V60" s="1292">
        <f t="shared" si="18"/>
        <v>3.9485510204081633</v>
      </c>
      <c r="W60" s="1292">
        <f t="shared" si="18"/>
        <v>1.8476969387755104</v>
      </c>
      <c r="X60" s="1292">
        <f t="shared" si="18"/>
        <v>72.274924549122218</v>
      </c>
    </row>
    <row r="61" spans="1:24" ht="13.15" x14ac:dyDescent="0.4">
      <c r="A61" s="1295" t="str">
        <f>Machine!A71</f>
        <v>Soybean Head</v>
      </c>
      <c r="B61" s="1555">
        <f>Z2_Machine_Custom_Calculations!K71</f>
        <v>30</v>
      </c>
      <c r="C61" s="1292">
        <f>Z2_Machine_Custom_Calculations!Z71-SUM(Z2_Machine_Custom_Calculations!W71:Y71)</f>
        <v>1.9792745760401087</v>
      </c>
      <c r="D61" s="1292">
        <f>SUM(Z2_Machine_Custom_Calculations!W71:Y71)</f>
        <v>0.26145934920634917</v>
      </c>
      <c r="E61" s="1292">
        <f>Z2_Machine_Custom_Calculations!AC71+Z2_Machine_Custom_Calculations!AF71</f>
        <v>1.4320299821706386</v>
      </c>
      <c r="F61" s="1292">
        <f>Z2_Machine_Custom_Calculations!AJ71</f>
        <v>0</v>
      </c>
      <c r="G61" s="1292">
        <f>Z2_Machine_Custom_Calculations!AM71</f>
        <v>0</v>
      </c>
      <c r="H61" s="1293">
        <f t="shared" si="10"/>
        <v>3.6727639074170964</v>
      </c>
      <c r="I61" s="3"/>
      <c r="J61" s="1295" t="str">
        <f t="shared" si="11"/>
        <v>Soybean Head</v>
      </c>
      <c r="K61" s="1555">
        <f>Z2_Machine_Custom_Calculations!K71</f>
        <v>30</v>
      </c>
      <c r="L61" s="1292">
        <v>13.236745875446951</v>
      </c>
      <c r="M61" s="1292">
        <v>2.1907666931216929</v>
      </c>
      <c r="N61" s="1292">
        <v>4.4203360317664231</v>
      </c>
      <c r="O61" s="1292">
        <v>3.0960634920634913</v>
      </c>
      <c r="P61" s="1292">
        <v>1.2481333333333335</v>
      </c>
      <c r="Q61" s="1293">
        <v>24.192045425731891</v>
      </c>
      <c r="R61" s="3"/>
      <c r="S61" s="1292">
        <f t="shared" si="18"/>
        <v>44.915201533779076</v>
      </c>
      <c r="T61" s="1292">
        <f t="shared" si="18"/>
        <v>5.9332340770975067</v>
      </c>
      <c r="U61" s="1292">
        <f t="shared" si="18"/>
        <v>10.518558609286933</v>
      </c>
      <c r="V61" s="1292">
        <f t="shared" si="18"/>
        <v>3.9485510204081633</v>
      </c>
      <c r="W61" s="1292">
        <f t="shared" si="18"/>
        <v>1.8476969387755104</v>
      </c>
      <c r="X61" s="1292">
        <f t="shared" si="18"/>
        <v>67.163242179347179</v>
      </c>
    </row>
    <row r="62" spans="1:24" ht="13.15" x14ac:dyDescent="0.4">
      <c r="A62" s="1295" t="str">
        <f>Machine!A72</f>
        <v>Rice Head</v>
      </c>
      <c r="B62" s="1555">
        <f>Z2_Machine_Custom_Calculations!K72</f>
        <v>30</v>
      </c>
      <c r="C62" s="1292">
        <f>Z2_Machine_Custom_Calculations!Z72-SUM(Z2_Machine_Custom_Calculations!W72:Y72)</f>
        <v>6.3933280141131181</v>
      </c>
      <c r="D62" s="1292">
        <f>SUM(Z2_Machine_Custom_Calculations!W72:Y72)</f>
        <v>0.84454951428571423</v>
      </c>
      <c r="E62" s="1292">
        <f>Z2_Machine_Custom_Calculations!AC72+Z2_Machine_Custom_Calculations!AF72</f>
        <v>4.6256530109018721</v>
      </c>
      <c r="F62" s="1292">
        <f>Z2_Machine_Custom_Calculations!AJ72</f>
        <v>0</v>
      </c>
      <c r="G62" s="1292">
        <f>Z2_Machine_Custom_Calculations!AM72</f>
        <v>0</v>
      </c>
      <c r="H62" s="1293">
        <f t="shared" si="10"/>
        <v>11.863530539300704</v>
      </c>
      <c r="I62" s="3"/>
      <c r="J62" s="1295" t="str">
        <f t="shared" si="11"/>
        <v>Rice Head</v>
      </c>
      <c r="K62" s="1555">
        <f>Z2_Machine_Custom_Calculations!K72</f>
        <v>30</v>
      </c>
      <c r="L62" s="1292">
        <v>25.70886228887899</v>
      </c>
      <c r="M62" s="1292">
        <v>4.254982285714286</v>
      </c>
      <c r="N62" s="1292">
        <v>9.66327072634183</v>
      </c>
      <c r="O62" s="1292">
        <v>5.572914285714285</v>
      </c>
      <c r="P62" s="1292">
        <v>2.2466400000000002</v>
      </c>
      <c r="Q62" s="1293">
        <v>47.446669586649392</v>
      </c>
      <c r="R62" s="3"/>
      <c r="S62" s="1292">
        <f t="shared" si="18"/>
        <v>49.32925497185208</v>
      </c>
      <c r="T62" s="1292">
        <f t="shared" si="18"/>
        <v>6.5163242421768715</v>
      </c>
      <c r="U62" s="1292">
        <f t="shared" si="18"/>
        <v>13.712181638018166</v>
      </c>
      <c r="V62" s="1292">
        <f t="shared" si="18"/>
        <v>3.9485510204081633</v>
      </c>
      <c r="W62" s="1292">
        <f t="shared" si="18"/>
        <v>1.8476969387755104</v>
      </c>
      <c r="X62" s="1292">
        <f t="shared" si="18"/>
        <v>75.354008811230784</v>
      </c>
    </row>
    <row r="63" spans="1:24" ht="13.15" x14ac:dyDescent="0.4">
      <c r="A63" s="1295" t="str">
        <f>Machine!A73</f>
        <v>Wheat/Sorghum Head</v>
      </c>
      <c r="B63" s="1555">
        <f>Z2_Machine_Custom_Calculations!K73</f>
        <v>30</v>
      </c>
      <c r="C63" s="1292">
        <f>Z2_Machine_Custom_Calculations!Z73-SUM(Z2_Machine_Custom_Calculations!W73:Y73)</f>
        <v>1.6907110615293692</v>
      </c>
      <c r="D63" s="1292">
        <f>SUM(Z2_Machine_Custom_Calculations!W73:Y73)</f>
        <v>0.22334052040816332</v>
      </c>
      <c r="E63" s="1292">
        <f>Z2_Machine_Custom_Calculations!AC73+Z2_Machine_Custom_Calculations!AF73</f>
        <v>1.2232506599167985</v>
      </c>
      <c r="F63" s="1292">
        <f>Z2_Machine_Custom_Calculations!AJ73</f>
        <v>0</v>
      </c>
      <c r="G63" s="1292">
        <f>Z2_Machine_Custom_Calculations!AM73</f>
        <v>0</v>
      </c>
      <c r="H63" s="1293">
        <f t="shared" si="10"/>
        <v>3.1373022418543313</v>
      </c>
      <c r="I63" s="3"/>
      <c r="J63" s="1295" t="str">
        <f t="shared" si="11"/>
        <v>Wheat/Sorghum Head</v>
      </c>
      <c r="K63" s="1555">
        <f>Z2_Machine_Custom_Calculations!K73</f>
        <v>30</v>
      </c>
      <c r="L63" s="1292">
        <v>16.972300861705829</v>
      </c>
      <c r="M63" s="1292">
        <v>2.8090251020408168</v>
      </c>
      <c r="N63" s="1292">
        <v>5.6412530785479085</v>
      </c>
      <c r="O63" s="1292">
        <v>3.9806530612244897</v>
      </c>
      <c r="P63" s="1292">
        <v>1.6047428571428575</v>
      </c>
      <c r="Q63" s="1293">
        <v>31.007974960661901</v>
      </c>
      <c r="R63" s="3"/>
      <c r="S63" s="1292">
        <f t="shared" si="18"/>
        <v>44.626638019268334</v>
      </c>
      <c r="T63" s="1292">
        <f t="shared" si="18"/>
        <v>5.8951152482993203</v>
      </c>
      <c r="U63" s="1292">
        <f t="shared" si="18"/>
        <v>10.309779287033093</v>
      </c>
      <c r="V63" s="1292">
        <f t="shared" si="18"/>
        <v>3.9485510204081633</v>
      </c>
      <c r="W63" s="1292">
        <f t="shared" si="18"/>
        <v>1.8476969387755104</v>
      </c>
      <c r="X63" s="1292">
        <f t="shared" si="18"/>
        <v>66.627780513784415</v>
      </c>
    </row>
    <row r="64" spans="1:24" ht="13.15" x14ac:dyDescent="0.4">
      <c r="A64" s="1296" t="str">
        <f>Machine!A74</f>
        <v>Grain Cart with Tractor</v>
      </c>
      <c r="B64" s="1554"/>
      <c r="C64" s="1298">
        <f>Z2_Machine_Custom_Calculations!Z74-SUM(Z2_Machine_Custom_Calculations!W74:Y74)</f>
        <v>10.023150920772292</v>
      </c>
      <c r="D64" s="1298">
        <f>SUM(Z2_Machine_Custom_Calculations!W74:Y74)</f>
        <v>1.4923782312925171</v>
      </c>
      <c r="E64" s="1298">
        <f>Z2_Machine_Custom_Calculations!AC74+Z2_Machine_Custom_Calculations!AF74</f>
        <v>2.257319758747407</v>
      </c>
      <c r="F64" s="1298">
        <f>Z2_Machine_Custom_Calculations!AJ74</f>
        <v>2.3691306122448981</v>
      </c>
      <c r="G64" s="1298">
        <f>Z2_Machine_Custom_Calculations!AM74</f>
        <v>1.8476969387755104</v>
      </c>
      <c r="H64" s="1299">
        <f t="shared" si="10"/>
        <v>17.989676461832623</v>
      </c>
      <c r="I64" s="3"/>
      <c r="J64" s="1296" t="str">
        <f t="shared" si="11"/>
        <v>Grain Cart with Tractor</v>
      </c>
      <c r="K64" s="1554"/>
      <c r="L64" s="1298">
        <v>4.4022115885720101</v>
      </c>
      <c r="M64" s="1298">
        <v>0.84035118386243379</v>
      </c>
      <c r="N64" s="1298">
        <v>1.1804457442519576</v>
      </c>
      <c r="O64" s="1298">
        <v>1.810006349206349</v>
      </c>
      <c r="P64" s="1298">
        <v>1.2481333333333335</v>
      </c>
      <c r="Q64" s="1299">
        <v>9.4811481992260838</v>
      </c>
      <c r="R64" s="3"/>
      <c r="S64" s="1292">
        <f t="shared" ref="S64:X64" si="19">C64</f>
        <v>10.023150920772292</v>
      </c>
      <c r="T64" s="1292">
        <f t="shared" si="19"/>
        <v>1.4923782312925171</v>
      </c>
      <c r="U64" s="1292">
        <f t="shared" si="19"/>
        <v>2.257319758747407</v>
      </c>
      <c r="V64" s="1292">
        <f t="shared" si="19"/>
        <v>2.3691306122448981</v>
      </c>
      <c r="W64" s="1292">
        <f t="shared" si="19"/>
        <v>1.8476969387755104</v>
      </c>
      <c r="X64" s="1292">
        <f t="shared" si="19"/>
        <v>17.989676461832623</v>
      </c>
    </row>
    <row r="65" spans="1:17" ht="13.15" x14ac:dyDescent="0.4">
      <c r="A65" s="1294" t="str">
        <f>Machine!A75</f>
        <v>Other Harvest</v>
      </c>
      <c r="B65" s="1557"/>
      <c r="C65" s="1287">
        <f>Z2_Machine_Custom_Calculations!Z75-SUM(Z2_Machine_Custom_Calculations!W75:Y75)</f>
        <v>0</v>
      </c>
      <c r="D65" s="1288">
        <f>SUM(Z2_Machine_Custom_Calculations!W75:Y75)</f>
        <v>0</v>
      </c>
      <c r="E65" s="1288">
        <f>Z2_Machine_Custom_Calculations!AC75+Z2_Machine_Custom_Calculations!AF75</f>
        <v>0.66521587044534414</v>
      </c>
      <c r="F65" s="1288">
        <f>Z2_Machine_Custom_Calculations!AJ75</f>
        <v>6.6521587044534414</v>
      </c>
      <c r="G65" s="1288">
        <f>Z2_Machine_Custom_Calculations!AM75</f>
        <v>4.398565991902835</v>
      </c>
      <c r="H65" s="1289">
        <f t="shared" si="10"/>
        <v>11.715940566801621</v>
      </c>
      <c r="I65" s="3"/>
      <c r="J65" s="1294" t="str">
        <f t="shared" si="11"/>
        <v>Other Harvest</v>
      </c>
      <c r="K65" s="1557"/>
      <c r="L65" s="1288">
        <f t="shared" si="12"/>
        <v>0</v>
      </c>
      <c r="M65" s="1288">
        <f t="shared" si="13"/>
        <v>0</v>
      </c>
      <c r="N65" s="1288">
        <f t="shared" si="14"/>
        <v>0.66521587044534414</v>
      </c>
      <c r="O65" s="1288">
        <f t="shared" si="15"/>
        <v>6.6521587044534414</v>
      </c>
      <c r="P65" s="1288">
        <f t="shared" si="16"/>
        <v>4.398565991902835</v>
      </c>
      <c r="Q65" s="1289">
        <f t="shared" si="17"/>
        <v>11.715940566801621</v>
      </c>
    </row>
    <row r="66" spans="1:17" ht="13.15" x14ac:dyDescent="0.4">
      <c r="A66" s="1295" t="str">
        <f>Machine!A76</f>
        <v>Peanut Harvester, with Tractor</v>
      </c>
      <c r="B66" s="1555">
        <f>Z2_Machine_Custom_Calculations!K76</f>
        <v>19</v>
      </c>
      <c r="C66" s="1291">
        <f>Z2_Machine_Custom_Calculations!Z76-SUM(Z2_Machine_Custom_Calculations!W76:Y76)</f>
        <v>71.801762291021518</v>
      </c>
      <c r="D66" s="1292">
        <f>SUM(Z2_Machine_Custom_Calculations!W76:Y76)</f>
        <v>9.8494695850202447</v>
      </c>
      <c r="E66" s="1292">
        <f>Z2_Machine_Custom_Calculations!AC76+Z2_Machine_Custom_Calculations!AF76</f>
        <v>6.3234446669429225</v>
      </c>
      <c r="F66" s="1292">
        <f>Z2_Machine_Custom_Calculations!AJ76</f>
        <v>8.3151983805668017</v>
      </c>
      <c r="G66" s="1292">
        <f>Z2_Machine_Custom_Calculations!AM76</f>
        <v>5.4982074898785438</v>
      </c>
      <c r="H66" s="1293">
        <f t="shared" si="10"/>
        <v>101.78808241343002</v>
      </c>
      <c r="I66" s="3"/>
      <c r="J66" s="1295" t="str">
        <f t="shared" si="11"/>
        <v>Peanut Harvester, with Tractor</v>
      </c>
      <c r="K66" s="1555">
        <f>Z2_Machine_Custom_Calculations!K76</f>
        <v>19</v>
      </c>
      <c r="L66" s="1292">
        <f t="shared" si="12"/>
        <v>71.801762291021518</v>
      </c>
      <c r="M66" s="1292">
        <f t="shared" si="13"/>
        <v>9.8494695850202447</v>
      </c>
      <c r="N66" s="1292">
        <f t="shared" si="14"/>
        <v>6.3234446669429225</v>
      </c>
      <c r="O66" s="1292">
        <f t="shared" si="15"/>
        <v>8.3151983805668017</v>
      </c>
      <c r="P66" s="1292">
        <f t="shared" si="16"/>
        <v>5.4982074898785438</v>
      </c>
      <c r="Q66" s="1293">
        <f t="shared" si="17"/>
        <v>101.78808241343002</v>
      </c>
    </row>
    <row r="67" spans="1:17" ht="13.15" x14ac:dyDescent="0.4">
      <c r="A67" s="1295" t="str">
        <f>Machine!A77</f>
        <v>Peanut Dump Cart with Tractor</v>
      </c>
      <c r="B67" s="1555"/>
      <c r="C67" s="1291">
        <f>Z2_Machine_Custom_Calculations!Z77-SUM(Z2_Machine_Custom_Calculations!W77:Y77)</f>
        <v>34.303541949495497</v>
      </c>
      <c r="D67" s="1292">
        <f>SUM(Z2_Machine_Custom_Calculations!W77:Y77)</f>
        <v>5.1312553390688258</v>
      </c>
      <c r="E67" s="1292">
        <f>Z2_Machine_Custom_Calculations!AC77+Z2_Machine_Custom_Calculations!AF77</f>
        <v>6.099391327771567</v>
      </c>
      <c r="F67" s="1292">
        <f>Z2_Machine_Custom_Calculations!AJ77</f>
        <v>7.049842105263159</v>
      </c>
      <c r="G67" s="1292">
        <f>Z2_Machine_Custom_Calculations!AM77</f>
        <v>5.4982074898785438</v>
      </c>
      <c r="H67" s="1293">
        <f t="shared" si="10"/>
        <v>58.082238211477602</v>
      </c>
      <c r="I67" s="3"/>
      <c r="J67" s="1295" t="str">
        <f t="shared" si="11"/>
        <v>Peanut Dump Cart with Tractor</v>
      </c>
      <c r="K67" s="1555"/>
      <c r="L67" s="1292">
        <f t="shared" si="12"/>
        <v>34.303541949495497</v>
      </c>
      <c r="M67" s="1292">
        <f t="shared" si="13"/>
        <v>5.1312553390688258</v>
      </c>
      <c r="N67" s="1292">
        <f t="shared" si="14"/>
        <v>6.099391327771567</v>
      </c>
      <c r="O67" s="1292">
        <f t="shared" si="15"/>
        <v>7.049842105263159</v>
      </c>
      <c r="P67" s="1292">
        <f t="shared" si="16"/>
        <v>5.4982074898785438</v>
      </c>
      <c r="Q67" s="1293">
        <f t="shared" si="17"/>
        <v>58.082238211477602</v>
      </c>
    </row>
    <row r="68" spans="1:17" ht="13.15" x14ac:dyDescent="0.4">
      <c r="A68" s="1296" t="str">
        <f>Machine!A78</f>
        <v>Peanut Wagon, 28 ft., with Tractor</v>
      </c>
      <c r="B68" s="1554"/>
      <c r="C68" s="1297">
        <f>Z2_Machine_Custom_Calculations!Z78-SUM(Z2_Machine_Custom_Calculations!W78:Y78)</f>
        <v>22.317811774659134</v>
      </c>
      <c r="D68" s="1298">
        <f>SUM(Z2_Machine_Custom_Calculations!W78:Y78)</f>
        <v>3.2832378036437246</v>
      </c>
      <c r="E68" s="1298">
        <f>Z2_Machine_Custom_Calculations!AC78+Z2_Machine_Custom_Calculations!AF78</f>
        <v>2.4677497484305371</v>
      </c>
      <c r="F68" s="1298">
        <f>Z2_Machine_Custom_Calculations!AJ78</f>
        <v>7.049842105263159</v>
      </c>
      <c r="G68" s="1298">
        <f>Z2_Machine_Custom_Calculations!AM78</f>
        <v>5.4982074898785438</v>
      </c>
      <c r="H68" s="1299">
        <f t="shared" si="10"/>
        <v>40.616848921875103</v>
      </c>
      <c r="I68" s="3"/>
      <c r="J68" s="1296" t="str">
        <f t="shared" si="11"/>
        <v>Peanut Wagon, 28 ft., with Tractor</v>
      </c>
      <c r="K68" s="1554"/>
      <c r="L68" s="1298">
        <f t="shared" si="12"/>
        <v>22.317811774659134</v>
      </c>
      <c r="M68" s="1298">
        <f t="shared" si="13"/>
        <v>3.2832378036437246</v>
      </c>
      <c r="N68" s="1298">
        <f t="shared" si="14"/>
        <v>2.4677497484305371</v>
      </c>
      <c r="O68" s="1298">
        <f t="shared" si="15"/>
        <v>7.049842105263159</v>
      </c>
      <c r="P68" s="1298">
        <f t="shared" si="16"/>
        <v>5.4982074898785438</v>
      </c>
      <c r="Q68" s="1299">
        <f t="shared" si="17"/>
        <v>40.616848921875103</v>
      </c>
    </row>
    <row r="69" spans="1:17" ht="13.15" x14ac:dyDescent="0.4">
      <c r="A69" s="1294" t="str">
        <f>Machine!A79</f>
        <v>Other Harvest</v>
      </c>
      <c r="B69" s="1551"/>
      <c r="C69" s="1287">
        <f>Z2_Machine_Custom_Calculations!Z79-SUM(Z2_Machine_Custom_Calculations!W79:Y79)</f>
        <v>0</v>
      </c>
      <c r="D69" s="1288">
        <f>SUM(Z2_Machine_Custom_Calculations!W79:Y79)</f>
        <v>0</v>
      </c>
      <c r="E69" s="1288">
        <f>Z2_Machine_Custom_Calculations!AC79+Z2_Machine_Custom_Calculations!AF79</f>
        <v>41.459785714285715</v>
      </c>
      <c r="F69" s="1288">
        <f>Z2_Machine_Custom_Calculations!AJ79</f>
        <v>414.59785714285709</v>
      </c>
      <c r="G69" s="1288">
        <f>Z2_Machine_Custom_Calculations!AM79</f>
        <v>194.0081785714286</v>
      </c>
      <c r="H69" s="1289">
        <f t="shared" si="10"/>
        <v>650.06582142857144</v>
      </c>
      <c r="I69" s="3"/>
      <c r="J69" s="1294" t="str">
        <f t="shared" si="11"/>
        <v>Other Harvest</v>
      </c>
      <c r="K69" s="1551"/>
      <c r="L69" s="1287">
        <f t="shared" si="12"/>
        <v>0</v>
      </c>
      <c r="M69" s="1288">
        <f t="shared" si="13"/>
        <v>0</v>
      </c>
      <c r="N69" s="1288">
        <f t="shared" si="14"/>
        <v>41.459785714285715</v>
      </c>
      <c r="O69" s="1288">
        <f t="shared" si="15"/>
        <v>414.59785714285709</v>
      </c>
      <c r="P69" s="1288">
        <f t="shared" si="16"/>
        <v>194.0081785714286</v>
      </c>
      <c r="Q69" s="1289">
        <f t="shared" si="17"/>
        <v>650.06582142857144</v>
      </c>
    </row>
    <row r="70" spans="1:17" ht="13.15" x14ac:dyDescent="0.4">
      <c r="A70" s="1295" t="str">
        <f>Machine!A80</f>
        <v>Other Harvest</v>
      </c>
      <c r="B70" s="1547"/>
      <c r="C70" s="1291">
        <f>Z2_Machine_Custom_Calculations!Z80-SUM(Z2_Machine_Custom_Calculations!W80:Y80)</f>
        <v>721.12537456078849</v>
      </c>
      <c r="D70" s="1292">
        <f>SUM(Z2_Machine_Custom_Calculations!W80:Y80)</f>
        <v>105.61744285714286</v>
      </c>
      <c r="E70" s="1292">
        <f>Z2_Machine_Custom_Calculations!AC80+Z2_Machine_Custom_Calculations!AF80</f>
        <v>66.96501428571429</v>
      </c>
      <c r="F70" s="1292">
        <f>Z2_Machine_Custom_Calculations!AJ80</f>
        <v>248.75871428571432</v>
      </c>
      <c r="G70" s="1292">
        <f>Z2_Machine_Custom_Calculations!AM80</f>
        <v>194.0081785714286</v>
      </c>
      <c r="H70" s="1293">
        <f t="shared" si="10"/>
        <v>1336.4747245607884</v>
      </c>
      <c r="I70" s="3"/>
      <c r="J70" s="1295" t="str">
        <f t="shared" si="11"/>
        <v>Other Harvest</v>
      </c>
      <c r="K70" s="1547"/>
      <c r="L70" s="1291">
        <f t="shared" si="12"/>
        <v>721.12537456078849</v>
      </c>
      <c r="M70" s="1292">
        <f t="shared" si="13"/>
        <v>105.61744285714286</v>
      </c>
      <c r="N70" s="1292">
        <f t="shared" si="14"/>
        <v>66.96501428571429</v>
      </c>
      <c r="O70" s="1292">
        <f t="shared" si="15"/>
        <v>248.75871428571432</v>
      </c>
      <c r="P70" s="1292">
        <f t="shared" si="16"/>
        <v>194.0081785714286</v>
      </c>
      <c r="Q70" s="1293">
        <f t="shared" si="17"/>
        <v>1336.4747245607884</v>
      </c>
    </row>
    <row r="71" spans="1:17" ht="13.15" x14ac:dyDescent="0.4">
      <c r="A71" s="1296" t="str">
        <f>Machine!A81</f>
        <v>Other Harvest</v>
      </c>
      <c r="B71" s="1548"/>
      <c r="C71" s="1297">
        <f>Z2_Machine_Custom_Calculations!Z81-SUM(Z2_Machine_Custom_Calculations!W81:Y81)</f>
        <v>721.12537456078849</v>
      </c>
      <c r="D71" s="1298">
        <f>SUM(Z2_Machine_Custom_Calculations!W81:Y81)</f>
        <v>105.61744285714286</v>
      </c>
      <c r="E71" s="1298">
        <f>Z2_Machine_Custom_Calculations!AC81+Z2_Machine_Custom_Calculations!AF81</f>
        <v>66.96501428571429</v>
      </c>
      <c r="F71" s="1298">
        <f>Z2_Machine_Custom_Calculations!AJ81</f>
        <v>248.75871428571432</v>
      </c>
      <c r="G71" s="1298">
        <f>Z2_Machine_Custom_Calculations!AM81</f>
        <v>194.0081785714286</v>
      </c>
      <c r="H71" s="1299">
        <f t="shared" si="10"/>
        <v>1336.4747245607884</v>
      </c>
      <c r="I71" s="3"/>
      <c r="J71" s="1296" t="str">
        <f t="shared" si="11"/>
        <v>Other Harvest</v>
      </c>
      <c r="K71" s="1548"/>
      <c r="L71" s="1297">
        <f t="shared" si="12"/>
        <v>721.12537456078849</v>
      </c>
      <c r="M71" s="1298">
        <f t="shared" si="13"/>
        <v>105.61744285714286</v>
      </c>
      <c r="N71" s="1298">
        <f t="shared" si="14"/>
        <v>66.96501428571429</v>
      </c>
      <c r="O71" s="1298">
        <f t="shared" si="15"/>
        <v>248.75871428571432</v>
      </c>
      <c r="P71" s="1298">
        <f t="shared" si="16"/>
        <v>194.0081785714286</v>
      </c>
      <c r="Q71" s="1299">
        <f t="shared" si="17"/>
        <v>1336.4747245607884</v>
      </c>
    </row>
    <row r="72" spans="1:17" x14ac:dyDescent="0.35">
      <c r="A72" s="1253"/>
      <c r="B72" s="1253"/>
      <c r="C72" s="1252"/>
      <c r="D72" s="1252"/>
      <c r="E72" s="1252"/>
      <c r="F72" s="1252"/>
      <c r="G72" s="1252"/>
      <c r="H72" s="1252"/>
      <c r="I72" s="3"/>
      <c r="J72" s="3"/>
      <c r="K72" s="3"/>
      <c r="L72" s="3"/>
      <c r="M72" s="3"/>
      <c r="N72" s="3"/>
      <c r="O72" s="3"/>
      <c r="P72" s="3"/>
      <c r="Q72" s="3"/>
    </row>
    <row r="73" spans="1:17" ht="13.15" x14ac:dyDescent="0.4">
      <c r="A73" s="167"/>
      <c r="B73" s="167"/>
      <c r="C73" s="537"/>
      <c r="D73" s="537"/>
      <c r="E73" s="537"/>
      <c r="F73" s="537"/>
      <c r="G73" s="537"/>
      <c r="H73" s="537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35">
      <c r="A74" s="1253"/>
      <c r="B74" s="1253"/>
      <c r="C74" s="1252"/>
      <c r="D74" s="1252"/>
      <c r="E74" s="1252"/>
      <c r="F74" s="1252"/>
      <c r="G74" s="1252"/>
      <c r="H74" s="1252"/>
      <c r="I74" s="3"/>
      <c r="J74" s="3"/>
      <c r="K74" s="3"/>
      <c r="L74" s="3"/>
      <c r="M74" s="3"/>
      <c r="N74" s="3"/>
      <c r="O74" s="3"/>
      <c r="P74" s="3"/>
      <c r="Q74" s="3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22"/>
  <sheetViews>
    <sheetView zoomScaleNormal="100" workbookViewId="0">
      <pane xSplit="3" ySplit="3" topLeftCell="D16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35"/>
  <cols>
    <col min="1" max="1" width="37.73046875" bestFit="1" customWidth="1"/>
    <col min="2" max="2" width="10.73046875" customWidth="1"/>
    <col min="3" max="3" width="0.86328125" customWidth="1"/>
    <col min="4" max="7" width="10.73046875" customWidth="1"/>
    <col min="8" max="8" width="10.265625" customWidth="1"/>
    <col min="9" max="10" width="10.73046875" customWidth="1"/>
    <col min="11" max="11" width="10.265625" customWidth="1"/>
    <col min="12" max="21" width="10.73046875" customWidth="1"/>
    <col min="22" max="25" width="11.53125" customWidth="1"/>
    <col min="26" max="34" width="10.73046875" customWidth="1"/>
    <col min="35" max="35" width="11.3984375" customWidth="1"/>
    <col min="36" max="36" width="11.59765625" customWidth="1"/>
    <col min="37" max="37" width="11.265625" customWidth="1"/>
    <col min="38" max="38" width="11.6640625" customWidth="1"/>
    <col min="39" max="39" width="11.19921875" customWidth="1"/>
    <col min="40" max="40" width="11.73046875" customWidth="1"/>
    <col min="41" max="53" width="10.73046875" customWidth="1"/>
    <col min="54" max="54" width="0.86328125" customWidth="1"/>
    <col min="55" max="58" width="10.73046875" customWidth="1"/>
    <col min="59" max="59" width="10.265625" customWidth="1"/>
    <col min="60" max="61" width="10.73046875" customWidth="1"/>
    <col min="62" max="62" width="10.265625" customWidth="1"/>
    <col min="63" max="104" width="10.73046875" customWidth="1"/>
  </cols>
  <sheetData>
    <row r="1" spans="1:104" x14ac:dyDescent="0.35">
      <c r="A1" s="3"/>
      <c r="B1" s="167" t="s">
        <v>958</v>
      </c>
      <c r="C1" s="3"/>
      <c r="D1" s="1100">
        <v>1</v>
      </c>
      <c r="E1" s="1100">
        <f>D1+1</f>
        <v>2</v>
      </c>
      <c r="F1" s="1100">
        <f t="shared" ref="F1:BA1" si="0">E1+1</f>
        <v>3</v>
      </c>
      <c r="G1" s="1100">
        <f t="shared" si="0"/>
        <v>4</v>
      </c>
      <c r="H1" s="1100">
        <f t="shared" si="0"/>
        <v>5</v>
      </c>
      <c r="I1" s="1100">
        <f t="shared" si="0"/>
        <v>6</v>
      </c>
      <c r="J1" s="1100">
        <f t="shared" si="0"/>
        <v>7</v>
      </c>
      <c r="K1" s="1100">
        <f t="shared" si="0"/>
        <v>8</v>
      </c>
      <c r="L1" s="1100">
        <f t="shared" si="0"/>
        <v>9</v>
      </c>
      <c r="M1" s="1100">
        <f t="shared" si="0"/>
        <v>10</v>
      </c>
      <c r="N1" s="1100">
        <f t="shared" si="0"/>
        <v>11</v>
      </c>
      <c r="O1" s="1100">
        <f t="shared" si="0"/>
        <v>12</v>
      </c>
      <c r="P1" s="1100">
        <f t="shared" si="0"/>
        <v>13</v>
      </c>
      <c r="Q1" s="1100">
        <f t="shared" si="0"/>
        <v>14</v>
      </c>
      <c r="R1" s="1100">
        <f t="shared" si="0"/>
        <v>15</v>
      </c>
      <c r="S1" s="1100">
        <f t="shared" si="0"/>
        <v>16</v>
      </c>
      <c r="T1" s="1100">
        <f t="shared" si="0"/>
        <v>17</v>
      </c>
      <c r="U1" s="1100">
        <f t="shared" si="0"/>
        <v>18</v>
      </c>
      <c r="V1" s="1100">
        <f t="shared" si="0"/>
        <v>19</v>
      </c>
      <c r="W1" s="1100">
        <f t="shared" si="0"/>
        <v>20</v>
      </c>
      <c r="X1" s="1100">
        <f t="shared" si="0"/>
        <v>21</v>
      </c>
      <c r="Y1" s="1100">
        <f t="shared" si="0"/>
        <v>22</v>
      </c>
      <c r="Z1" s="1100">
        <f t="shared" si="0"/>
        <v>23</v>
      </c>
      <c r="AA1" s="1100">
        <f t="shared" si="0"/>
        <v>24</v>
      </c>
      <c r="AB1" s="1100">
        <f t="shared" si="0"/>
        <v>25</v>
      </c>
      <c r="AC1" s="1100">
        <f t="shared" si="0"/>
        <v>26</v>
      </c>
      <c r="AD1" s="1100">
        <f t="shared" si="0"/>
        <v>27</v>
      </c>
      <c r="AE1" s="1100">
        <f t="shared" si="0"/>
        <v>28</v>
      </c>
      <c r="AF1" s="1100">
        <f t="shared" si="0"/>
        <v>29</v>
      </c>
      <c r="AG1" s="1100">
        <f t="shared" si="0"/>
        <v>30</v>
      </c>
      <c r="AH1" s="1100">
        <f t="shared" si="0"/>
        <v>31</v>
      </c>
      <c r="AI1" s="1100">
        <f t="shared" si="0"/>
        <v>32</v>
      </c>
      <c r="AJ1" s="1100">
        <f t="shared" si="0"/>
        <v>33</v>
      </c>
      <c r="AK1" s="1100">
        <f t="shared" si="0"/>
        <v>34</v>
      </c>
      <c r="AL1" s="1100">
        <f t="shared" si="0"/>
        <v>35</v>
      </c>
      <c r="AM1" s="1100">
        <f t="shared" si="0"/>
        <v>36</v>
      </c>
      <c r="AN1" s="1100">
        <f t="shared" si="0"/>
        <v>37</v>
      </c>
      <c r="AO1" s="1100">
        <f t="shared" si="0"/>
        <v>38</v>
      </c>
      <c r="AP1" s="1100">
        <f t="shared" si="0"/>
        <v>39</v>
      </c>
      <c r="AQ1" s="1100">
        <f t="shared" si="0"/>
        <v>40</v>
      </c>
      <c r="AR1" s="1100">
        <f t="shared" si="0"/>
        <v>41</v>
      </c>
      <c r="AS1" s="1100">
        <f t="shared" si="0"/>
        <v>42</v>
      </c>
      <c r="AT1" s="1100">
        <f t="shared" si="0"/>
        <v>43</v>
      </c>
      <c r="AU1" s="1100">
        <f t="shared" si="0"/>
        <v>44</v>
      </c>
      <c r="AV1" s="1100">
        <f t="shared" si="0"/>
        <v>45</v>
      </c>
      <c r="AW1" s="1100">
        <f t="shared" si="0"/>
        <v>46</v>
      </c>
      <c r="AX1" s="1100">
        <f t="shared" si="0"/>
        <v>47</v>
      </c>
      <c r="AY1" s="1100">
        <f t="shared" si="0"/>
        <v>48</v>
      </c>
      <c r="AZ1" s="1100">
        <f t="shared" si="0"/>
        <v>49</v>
      </c>
      <c r="BA1" s="1100">
        <f t="shared" si="0"/>
        <v>50</v>
      </c>
      <c r="BB1" s="20"/>
      <c r="BC1" s="1100">
        <v>1</v>
      </c>
      <c r="BD1" s="1100">
        <f t="shared" ref="BD1:CI1" si="1">BC1+1</f>
        <v>2</v>
      </c>
      <c r="BE1" s="1100">
        <f t="shared" si="1"/>
        <v>3</v>
      </c>
      <c r="BF1" s="1100">
        <f t="shared" si="1"/>
        <v>4</v>
      </c>
      <c r="BG1" s="1100">
        <f t="shared" si="1"/>
        <v>5</v>
      </c>
      <c r="BH1" s="1100">
        <f t="shared" si="1"/>
        <v>6</v>
      </c>
      <c r="BI1" s="1100">
        <f t="shared" si="1"/>
        <v>7</v>
      </c>
      <c r="BJ1" s="1100">
        <f t="shared" si="1"/>
        <v>8</v>
      </c>
      <c r="BK1" s="1100">
        <f t="shared" si="1"/>
        <v>9</v>
      </c>
      <c r="BL1" s="1100">
        <f t="shared" si="1"/>
        <v>10</v>
      </c>
      <c r="BM1" s="1100">
        <f t="shared" si="1"/>
        <v>11</v>
      </c>
      <c r="BN1" s="1100">
        <f t="shared" si="1"/>
        <v>12</v>
      </c>
      <c r="BO1" s="1100">
        <f t="shared" si="1"/>
        <v>13</v>
      </c>
      <c r="BP1" s="1100">
        <f t="shared" si="1"/>
        <v>14</v>
      </c>
      <c r="BQ1" s="1100">
        <f t="shared" si="1"/>
        <v>15</v>
      </c>
      <c r="BR1" s="1100">
        <f t="shared" si="1"/>
        <v>16</v>
      </c>
      <c r="BS1" s="1100">
        <f t="shared" si="1"/>
        <v>17</v>
      </c>
      <c r="BT1" s="1100">
        <f t="shared" si="1"/>
        <v>18</v>
      </c>
      <c r="BU1" s="1100">
        <f t="shared" si="1"/>
        <v>19</v>
      </c>
      <c r="BV1" s="1100">
        <f t="shared" si="1"/>
        <v>20</v>
      </c>
      <c r="BW1" s="1100">
        <f t="shared" si="1"/>
        <v>21</v>
      </c>
      <c r="BX1" s="1100">
        <f t="shared" si="1"/>
        <v>22</v>
      </c>
      <c r="BY1" s="1100">
        <f t="shared" si="1"/>
        <v>23</v>
      </c>
      <c r="BZ1" s="1100">
        <f t="shared" si="1"/>
        <v>24</v>
      </c>
      <c r="CA1" s="1100">
        <f t="shared" si="1"/>
        <v>25</v>
      </c>
      <c r="CB1" s="1100">
        <f t="shared" si="1"/>
        <v>26</v>
      </c>
      <c r="CC1" s="1100">
        <f t="shared" si="1"/>
        <v>27</v>
      </c>
      <c r="CD1" s="1100">
        <f t="shared" si="1"/>
        <v>28</v>
      </c>
      <c r="CE1" s="1100">
        <f t="shared" si="1"/>
        <v>29</v>
      </c>
      <c r="CF1" s="1100">
        <f t="shared" si="1"/>
        <v>30</v>
      </c>
      <c r="CG1" s="1100">
        <f t="shared" si="1"/>
        <v>31</v>
      </c>
      <c r="CH1" s="1100">
        <f t="shared" si="1"/>
        <v>32</v>
      </c>
      <c r="CI1" s="1100">
        <f t="shared" si="1"/>
        <v>33</v>
      </c>
      <c r="CJ1" s="1100">
        <f t="shared" ref="CJ1:CZ1" si="2">CI1+1</f>
        <v>34</v>
      </c>
      <c r="CK1" s="1100">
        <f t="shared" si="2"/>
        <v>35</v>
      </c>
      <c r="CL1" s="1100">
        <f t="shared" si="2"/>
        <v>36</v>
      </c>
      <c r="CM1" s="1100">
        <f t="shared" si="2"/>
        <v>37</v>
      </c>
      <c r="CN1" s="1100">
        <f t="shared" si="2"/>
        <v>38</v>
      </c>
      <c r="CO1" s="1100">
        <f t="shared" si="2"/>
        <v>39</v>
      </c>
      <c r="CP1" s="1100">
        <f t="shared" si="2"/>
        <v>40</v>
      </c>
      <c r="CQ1" s="1100">
        <f t="shared" si="2"/>
        <v>41</v>
      </c>
      <c r="CR1" s="1100">
        <f t="shared" si="2"/>
        <v>42</v>
      </c>
      <c r="CS1" s="1100">
        <f t="shared" si="2"/>
        <v>43</v>
      </c>
      <c r="CT1" s="1100">
        <f t="shared" si="2"/>
        <v>44</v>
      </c>
      <c r="CU1" s="1100">
        <f t="shared" si="2"/>
        <v>45</v>
      </c>
      <c r="CV1" s="1100">
        <f t="shared" si="2"/>
        <v>46</v>
      </c>
      <c r="CW1" s="1100">
        <f t="shared" si="2"/>
        <v>47</v>
      </c>
      <c r="CX1" s="1100">
        <f t="shared" si="2"/>
        <v>48</v>
      </c>
      <c r="CY1" s="1100">
        <f t="shared" si="2"/>
        <v>49</v>
      </c>
      <c r="CZ1" s="1100">
        <f t="shared" si="2"/>
        <v>50</v>
      </c>
    </row>
    <row r="2" spans="1:104" ht="13.15" x14ac:dyDescent="0.4">
      <c r="A2" s="1057" t="s">
        <v>663</v>
      </c>
      <c r="B2" s="995">
        <f>IF(OR(SUM(D2:BA2)&lt;1,SUM(D2:BA2)&gt;1),"Error",1)</f>
        <v>1</v>
      </c>
      <c r="C2" s="996"/>
      <c r="D2" s="1127">
        <f>IF(A2_Budget_Look_Up!$C$4=D122,1,0)</f>
        <v>0</v>
      </c>
      <c r="E2" s="1127">
        <f>IF(A2_Budget_Look_Up!$C$4=E122,1,0)</f>
        <v>0</v>
      </c>
      <c r="F2" s="1127">
        <f>IF(A2_Budget_Look_Up!$C$4=F122,1,0)</f>
        <v>0</v>
      </c>
      <c r="G2" s="1127">
        <f>IF(A2_Budget_Look_Up!$C$4=G122,1,0)</f>
        <v>0</v>
      </c>
      <c r="H2" s="1127">
        <f>IF(A2_Budget_Look_Up!$C$4=H122,1,0)</f>
        <v>0</v>
      </c>
      <c r="I2" s="1127">
        <f>IF(A2_Budget_Look_Up!$C$4=I122,1,0)</f>
        <v>0</v>
      </c>
      <c r="J2" s="1127">
        <f>IF(A2_Budget_Look_Up!$C$4=J122,1,0)</f>
        <v>0</v>
      </c>
      <c r="K2" s="1127">
        <f>IF(A2_Budget_Look_Up!$C$4=K122,1,0)</f>
        <v>0</v>
      </c>
      <c r="L2" s="1127">
        <f>IF(A2_Budget_Look_Up!$C$4=L122,1,0)</f>
        <v>0</v>
      </c>
      <c r="M2" s="1127">
        <f>IF(A2_Budget_Look_Up!$C$4=M122,1,0)</f>
        <v>0</v>
      </c>
      <c r="N2" s="1127">
        <f>IF(A2_Budget_Look_Up!$C$4=N122,1,0)</f>
        <v>1</v>
      </c>
      <c r="O2" s="1127">
        <f>IF(A2_Budget_Look_Up!$C$4=O122,1,0)</f>
        <v>0</v>
      </c>
      <c r="P2" s="1127">
        <f>IF(A2_Budget_Look_Up!$C$4=P122,1,0)</f>
        <v>0</v>
      </c>
      <c r="Q2" s="1127">
        <f>IF(A2_Budget_Look_Up!$C$4=Q122,1,0)</f>
        <v>0</v>
      </c>
      <c r="R2" s="1127">
        <f>IF(A2_Budget_Look_Up!$C$4=R122,1,0)</f>
        <v>0</v>
      </c>
      <c r="S2" s="1127">
        <f>IF(A2_Budget_Look_Up!$C$4=S122,1,0)</f>
        <v>0</v>
      </c>
      <c r="T2" s="1127">
        <f>IF(A2_Budget_Look_Up!$C$4=T122,1,0)</f>
        <v>0</v>
      </c>
      <c r="U2" s="1127">
        <f>IF(A2_Budget_Look_Up!$C$4=U122,1,0)</f>
        <v>0</v>
      </c>
      <c r="V2" s="1127">
        <f>IF(A2_Budget_Look_Up!$C$4=V122,1,0)</f>
        <v>0</v>
      </c>
      <c r="W2" s="1127">
        <f>IF(A2_Budget_Look_Up!$C$4=W122,1,0)</f>
        <v>0</v>
      </c>
      <c r="X2" s="1127">
        <f>IF(A2_Budget_Look_Up!$C$4=X122,1,0)</f>
        <v>0</v>
      </c>
      <c r="Y2" s="1127">
        <f>IF(A2_Budget_Look_Up!$C$4=Y122,1,0)</f>
        <v>0</v>
      </c>
      <c r="Z2" s="1127">
        <f>IF(A2_Budget_Look_Up!$C$4=Z122,1,0)</f>
        <v>0</v>
      </c>
      <c r="AA2" s="1127">
        <f>IF(A2_Budget_Look_Up!$C$4=AA122,1,0)</f>
        <v>0</v>
      </c>
      <c r="AB2" s="1127">
        <f>IF(A2_Budget_Look_Up!$C$4=AB122,1,0)</f>
        <v>0</v>
      </c>
      <c r="AC2" s="1127">
        <f>IF(A2_Budget_Look_Up!$C$4=AC122,1,0)</f>
        <v>0</v>
      </c>
      <c r="AD2" s="1127">
        <f>IF(A2_Budget_Look_Up!$C$4=AD122,1,0)</f>
        <v>0</v>
      </c>
      <c r="AE2" s="1127">
        <f>IF(A2_Budget_Look_Up!$C$4=AE122,1,0)</f>
        <v>0</v>
      </c>
      <c r="AF2" s="1127">
        <f>IF(A2_Budget_Look_Up!$C$4=AF122,1,0)</f>
        <v>0</v>
      </c>
      <c r="AG2" s="1127">
        <f>IF(A2_Budget_Look_Up!$C$4=AG122,1,0)</f>
        <v>0</v>
      </c>
      <c r="AH2" s="1127">
        <f>IF(A2_Budget_Look_Up!$C$4=AH122,1,0)</f>
        <v>0</v>
      </c>
      <c r="AI2" s="1127">
        <f>IF(A2_Budget_Look_Up!$C$4=AI122,1,0)</f>
        <v>0</v>
      </c>
      <c r="AJ2" s="1127">
        <f>IF(A2_Budget_Look_Up!$C$4=AJ122,1,0)</f>
        <v>0</v>
      </c>
      <c r="AK2" s="1127">
        <f>IF(A2_Budget_Look_Up!$C$4=AK122,1,0)</f>
        <v>0</v>
      </c>
      <c r="AL2" s="1127">
        <f>IF(A2_Budget_Look_Up!$C$4=AL122,1,0)</f>
        <v>0</v>
      </c>
      <c r="AM2" s="1127">
        <f>IF(A2_Budget_Look_Up!$C$4=AM122,1,0)</f>
        <v>0</v>
      </c>
      <c r="AN2" s="1127">
        <f>IF(A2_Budget_Look_Up!$C$4=AN122,1,0)</f>
        <v>0</v>
      </c>
      <c r="AO2" s="1127">
        <f>IF(A2_Budget_Look_Up!$C$4=AO122,1,0)</f>
        <v>0</v>
      </c>
      <c r="AP2" s="1127">
        <f>IF(A2_Budget_Look_Up!$C$4=AP122,1,0)</f>
        <v>0</v>
      </c>
      <c r="AQ2" s="1127">
        <f>IF(A2_Budget_Look_Up!$C$4=AQ122,1,0)</f>
        <v>0</v>
      </c>
      <c r="AR2" s="1127">
        <f>IF(A2_Budget_Look_Up!$C$4=AR122,1,0)</f>
        <v>0</v>
      </c>
      <c r="AS2" s="1127">
        <f>IF(A2_Budget_Look_Up!$C$4=AS122,1,0)</f>
        <v>0</v>
      </c>
      <c r="AT2" s="1127">
        <f>IF(A2_Budget_Look_Up!$C$4=AT122,1,0)</f>
        <v>0</v>
      </c>
      <c r="AU2" s="1127">
        <f>IF(A2_Budget_Look_Up!$C$4=AU122,1,0)</f>
        <v>0</v>
      </c>
      <c r="AV2" s="1127">
        <f>IF(A2_Budget_Look_Up!$C$4=AV122,1,0)</f>
        <v>0</v>
      </c>
      <c r="AW2" s="1127">
        <f>IF(A2_Budget_Look_Up!$C$4=AW122,1,0)</f>
        <v>0</v>
      </c>
      <c r="AX2" s="1127">
        <f>IF(A2_Budget_Look_Up!$C$4=AX122,1,0)</f>
        <v>0</v>
      </c>
      <c r="AY2" s="1127">
        <f>IF(A2_Budget_Look_Up!$C$4=AY122,1,0)</f>
        <v>0</v>
      </c>
      <c r="AZ2" s="1127">
        <f>IF(A2_Budget_Look_Up!$C$4=AZ122,1,0)</f>
        <v>0</v>
      </c>
      <c r="BA2" s="1127">
        <f>IF(A2_Budget_Look_Up!$C$4=BA122,1,0)</f>
        <v>0</v>
      </c>
      <c r="BB2" s="832"/>
      <c r="BC2" s="1078" t="str">
        <f>IF(D2&gt;0,A2_Budget_Look_Up!$C$4," ")</f>
        <v xml:space="preserve"> </v>
      </c>
      <c r="BD2" s="1078" t="str">
        <f>IF(E2&gt;0,A2_Budget_Look_Up!$C$4," ")</f>
        <v xml:space="preserve"> </v>
      </c>
      <c r="BE2" s="1078" t="str">
        <f>IF(F2&gt;0,A2_Budget_Look_Up!$C$4," ")</f>
        <v xml:space="preserve"> </v>
      </c>
      <c r="BF2" s="1078" t="str">
        <f>IF(G2&gt;0,A2_Budget_Look_Up!$C$4," ")</f>
        <v xml:space="preserve"> </v>
      </c>
      <c r="BG2" s="1078" t="str">
        <f>IF(H2&gt;0,A2_Budget_Look_Up!$C$4," ")</f>
        <v xml:space="preserve"> </v>
      </c>
      <c r="BH2" s="1078" t="str">
        <f>IF(I2&gt;0,A2_Budget_Look_Up!$C$4," ")</f>
        <v xml:space="preserve"> </v>
      </c>
      <c r="BI2" s="1078" t="str">
        <f>IF(J2&gt;0,A2_Budget_Look_Up!$C$4," ")</f>
        <v xml:space="preserve"> </v>
      </c>
      <c r="BJ2" s="1078" t="str">
        <f>IF(K2&gt;0,A2_Budget_Look_Up!$C$4," ")</f>
        <v xml:space="preserve"> </v>
      </c>
      <c r="BK2" s="1078" t="str">
        <f>IF(L2&gt;0,A2_Budget_Look_Up!$C$4," ")</f>
        <v xml:space="preserve"> </v>
      </c>
      <c r="BL2" s="1078" t="str">
        <f>IF(M2&gt;0,A2_Budget_Look_Up!$C$4," ")</f>
        <v xml:space="preserve"> </v>
      </c>
      <c r="BM2" s="1078">
        <f>IF(N2&gt;0,A2_Budget_Look_Up!$C$4," ")</f>
        <v>11</v>
      </c>
      <c r="BN2" s="1078" t="str">
        <f>IF(O2&gt;0,A2_Budget_Look_Up!$C$4," ")</f>
        <v xml:space="preserve"> </v>
      </c>
      <c r="BO2" s="1078" t="str">
        <f>IF(P2&gt;0,A2_Budget_Look_Up!$C$4," ")</f>
        <v xml:space="preserve"> </v>
      </c>
      <c r="BP2" s="1078" t="str">
        <f>IF(Q2&gt;0,A2_Budget_Look_Up!$C$4," ")</f>
        <v xml:space="preserve"> </v>
      </c>
      <c r="BQ2" s="1078" t="str">
        <f>IF(R2&gt;0,A2_Budget_Look_Up!$C$4," ")</f>
        <v xml:space="preserve"> </v>
      </c>
      <c r="BR2" s="1078" t="str">
        <f>IF(S2&gt;0,A2_Budget_Look_Up!$C$4," ")</f>
        <v xml:space="preserve"> </v>
      </c>
      <c r="BS2" s="1078" t="str">
        <f>IF(T2&gt;0,A2_Budget_Look_Up!$C$4," ")</f>
        <v xml:space="preserve"> </v>
      </c>
      <c r="BT2" s="1078" t="str">
        <f>IF(U2&gt;0,A2_Budget_Look_Up!$C$4," ")</f>
        <v xml:space="preserve"> </v>
      </c>
      <c r="BU2" s="1078" t="str">
        <f>IF(V2&gt;0,A2_Budget_Look_Up!$C$4," ")</f>
        <v xml:space="preserve"> </v>
      </c>
      <c r="BV2" s="1078" t="str">
        <f>IF(W2&gt;0,A2_Budget_Look_Up!$C$4," ")</f>
        <v xml:space="preserve"> </v>
      </c>
      <c r="BW2" s="1078" t="str">
        <f>IF(X2&gt;0,A2_Budget_Look_Up!$C$4," ")</f>
        <v xml:space="preserve"> </v>
      </c>
      <c r="BX2" s="1078" t="str">
        <f>IF(Y2&gt;0,A2_Budget_Look_Up!$C$4," ")</f>
        <v xml:space="preserve"> </v>
      </c>
      <c r="BY2" s="1078" t="str">
        <f>IF(Z2&gt;0,A2_Budget_Look_Up!$C$4," ")</f>
        <v xml:space="preserve"> </v>
      </c>
      <c r="BZ2" s="1078" t="str">
        <f>IF(AA2&gt;0,A2_Budget_Look_Up!$C$4," ")</f>
        <v xml:space="preserve"> </v>
      </c>
      <c r="CA2" s="1078" t="str">
        <f>IF(AB2&gt;0,A2_Budget_Look_Up!$C$4," ")</f>
        <v xml:space="preserve"> </v>
      </c>
      <c r="CB2" s="1078" t="str">
        <f>IF(AC2&gt;0,A2_Budget_Look_Up!$C$4," ")</f>
        <v xml:space="preserve"> </v>
      </c>
      <c r="CC2" s="1078" t="str">
        <f>IF(AD2&gt;0,A2_Budget_Look_Up!$C$4," ")</f>
        <v xml:space="preserve"> </v>
      </c>
      <c r="CD2" s="1078" t="str">
        <f>IF(AE2&gt;0,A2_Budget_Look_Up!$C$4," ")</f>
        <v xml:space="preserve"> </v>
      </c>
      <c r="CE2" s="1078" t="str">
        <f>IF(AF2&gt;0,A2_Budget_Look_Up!$C$4," ")</f>
        <v xml:space="preserve"> </v>
      </c>
      <c r="CF2" s="1078" t="str">
        <f>IF(AG2&gt;0,A2_Budget_Look_Up!$C$4," ")</f>
        <v xml:space="preserve"> </v>
      </c>
      <c r="CG2" s="1078" t="str">
        <f>IF(AH2&gt;0,A2_Budget_Look_Up!$C$4," ")</f>
        <v xml:space="preserve"> </v>
      </c>
      <c r="CH2" s="1078" t="str">
        <f>IF(AI2&gt;0,A2_Budget_Look_Up!$C$4," ")</f>
        <v xml:space="preserve"> </v>
      </c>
      <c r="CI2" s="1078" t="str">
        <f>IF(AJ2&gt;0,A2_Budget_Look_Up!$C$4," ")</f>
        <v xml:space="preserve"> </v>
      </c>
      <c r="CJ2" s="1078" t="str">
        <f>IF(AK2&gt;0,A2_Budget_Look_Up!$C$4," ")</f>
        <v xml:space="preserve"> </v>
      </c>
      <c r="CK2" s="1078" t="str">
        <f>IF(AL2&gt;0,A2_Budget_Look_Up!$C$4," ")</f>
        <v xml:space="preserve"> </v>
      </c>
      <c r="CL2" s="1078" t="str">
        <f>IF(AM2&gt;0,A2_Budget_Look_Up!$C$4," ")</f>
        <v xml:space="preserve"> </v>
      </c>
      <c r="CM2" s="1078" t="str">
        <f>IF(AN2&gt;0,A2_Budget_Look_Up!$C$4," ")</f>
        <v xml:space="preserve"> </v>
      </c>
      <c r="CN2" s="1078" t="str">
        <f>IF(AO2&gt;0,A2_Budget_Look_Up!$C$4," ")</f>
        <v xml:space="preserve"> </v>
      </c>
      <c r="CO2" s="1078" t="str">
        <f>IF(AP2&gt;0,A2_Budget_Look_Up!$C$4," ")</f>
        <v xml:space="preserve"> </v>
      </c>
      <c r="CP2" s="1078" t="str">
        <f>IF(AQ2&gt;0,A2_Budget_Look_Up!$C$4," ")</f>
        <v xml:space="preserve"> </v>
      </c>
      <c r="CQ2" s="1078" t="str">
        <f>IF(AR2&gt;0,A2_Budget_Look_Up!$C$4," ")</f>
        <v xml:space="preserve"> </v>
      </c>
      <c r="CR2" s="1078" t="str">
        <f>IF(AS2&gt;0,A2_Budget_Look_Up!$C$4," ")</f>
        <v xml:space="preserve"> </v>
      </c>
      <c r="CS2" s="1078" t="str">
        <f>IF(AT2&gt;0,A2_Budget_Look_Up!$C$4," ")</f>
        <v xml:space="preserve"> </v>
      </c>
      <c r="CT2" s="1078" t="str">
        <f>IF(AU2&gt;0,A2_Budget_Look_Up!$C$4," ")</f>
        <v xml:space="preserve"> </v>
      </c>
      <c r="CU2" s="1078" t="str">
        <f>IF(AV2&gt;0,A2_Budget_Look_Up!$C$4," ")</f>
        <v xml:space="preserve"> </v>
      </c>
      <c r="CV2" s="1078" t="str">
        <f>IF(AW2&gt;0,A2_Budget_Look_Up!$C$4," ")</f>
        <v xml:space="preserve"> </v>
      </c>
      <c r="CW2" s="1078" t="str">
        <f>IF(AX2&gt;0,A2_Budget_Look_Up!$C$4," ")</f>
        <v xml:space="preserve"> </v>
      </c>
      <c r="CX2" s="1078" t="str">
        <f>IF(AY2&gt;0,A2_Budget_Look_Up!$C$4," ")</f>
        <v xml:space="preserve"> </v>
      </c>
      <c r="CY2" s="1078" t="str">
        <f>IF(AZ2&gt;0,A2_Budget_Look_Up!$C$4," ")</f>
        <v xml:space="preserve"> </v>
      </c>
      <c r="CZ2" s="1078" t="str">
        <f>IF(BA2&gt;0,A2_Budget_Look_Up!$C$4," ")</f>
        <v xml:space="preserve"> </v>
      </c>
    </row>
    <row r="3" spans="1:104" ht="37.9" customHeight="1" x14ac:dyDescent="0.35">
      <c r="A3" s="998"/>
      <c r="B3" s="995" t="s">
        <v>573</v>
      </c>
      <c r="C3" s="996"/>
      <c r="D3" s="1155" t="s">
        <v>1078</v>
      </c>
      <c r="E3" s="1155" t="s">
        <v>1079</v>
      </c>
      <c r="F3" s="1155" t="s">
        <v>1080</v>
      </c>
      <c r="G3" s="1155" t="s">
        <v>1103</v>
      </c>
      <c r="H3" s="1155" t="s">
        <v>1222</v>
      </c>
      <c r="I3" s="1155" t="s">
        <v>1104</v>
      </c>
      <c r="J3" s="1155" t="s">
        <v>1178</v>
      </c>
      <c r="K3" s="1155" t="s">
        <v>1179</v>
      </c>
      <c r="L3" s="1155" t="s">
        <v>1180</v>
      </c>
      <c r="M3" s="1155" t="s">
        <v>961</v>
      </c>
      <c r="N3" s="1155" t="s">
        <v>715</v>
      </c>
      <c r="O3" s="1155" t="s">
        <v>716</v>
      </c>
      <c r="P3" s="1155" t="s">
        <v>727</v>
      </c>
      <c r="Q3" s="1155" t="s">
        <v>728</v>
      </c>
      <c r="R3" s="1155" t="s">
        <v>729</v>
      </c>
      <c r="S3" s="1155" t="s">
        <v>730</v>
      </c>
      <c r="T3" s="1155" t="s">
        <v>1059</v>
      </c>
      <c r="U3" s="1155" t="s">
        <v>721</v>
      </c>
      <c r="V3" s="1155" t="s">
        <v>1168</v>
      </c>
      <c r="W3" s="1155" t="s">
        <v>1167</v>
      </c>
      <c r="X3" s="1155" t="s">
        <v>1166</v>
      </c>
      <c r="Y3" s="1155" t="s">
        <v>1165</v>
      </c>
      <c r="Z3" s="1155" t="s">
        <v>1105</v>
      </c>
      <c r="AA3" s="1155" t="s">
        <v>1106</v>
      </c>
      <c r="AB3" s="1155" t="s">
        <v>1107</v>
      </c>
      <c r="AC3" s="1155" t="s">
        <v>1108</v>
      </c>
      <c r="AD3" s="1155" t="s">
        <v>1164</v>
      </c>
      <c r="AE3" s="1155" t="s">
        <v>181</v>
      </c>
      <c r="AF3" s="1155" t="s">
        <v>773</v>
      </c>
      <c r="AG3" s="1155" t="s">
        <v>774</v>
      </c>
      <c r="AH3" s="1155" t="s">
        <v>1042</v>
      </c>
      <c r="AI3" s="1155" t="s">
        <v>1169</v>
      </c>
      <c r="AJ3" s="1155" t="s">
        <v>1170</v>
      </c>
      <c r="AK3" s="1155" t="s">
        <v>1109</v>
      </c>
      <c r="AL3" s="1155" t="s">
        <v>1160</v>
      </c>
      <c r="AM3" s="1155" t="s">
        <v>1161</v>
      </c>
      <c r="AN3" s="1155" t="s">
        <v>1162</v>
      </c>
      <c r="AO3" s="1155" t="s">
        <v>851</v>
      </c>
      <c r="AP3" s="1155" t="s">
        <v>1163</v>
      </c>
      <c r="AQ3" s="1155" t="s">
        <v>829</v>
      </c>
      <c r="AR3" s="1155" t="s">
        <v>830</v>
      </c>
      <c r="AS3" s="1155" t="s">
        <v>831</v>
      </c>
      <c r="AT3" s="1155" t="s">
        <v>832</v>
      </c>
      <c r="AU3" s="1155" t="s">
        <v>1055</v>
      </c>
      <c r="AV3" s="1155" t="s">
        <v>1056</v>
      </c>
      <c r="AW3" s="1155" t="s">
        <v>833</v>
      </c>
      <c r="AX3" s="1155" t="s">
        <v>834</v>
      </c>
      <c r="AY3" s="1155" t="s">
        <v>835</v>
      </c>
      <c r="AZ3" s="1155" t="s">
        <v>836</v>
      </c>
      <c r="BA3" s="1155" t="s">
        <v>837</v>
      </c>
      <c r="BB3" s="832"/>
      <c r="BC3" s="1000" t="str">
        <f t="shared" ref="BC3:CK3" si="3">D3</f>
        <v>Corn Stacked, Furrow</v>
      </c>
      <c r="BD3" s="1000" t="str">
        <f t="shared" si="3"/>
        <v>Corn Stacked, Pivot</v>
      </c>
      <c r="BE3" s="1000" t="str">
        <f t="shared" si="3"/>
        <v>Corn Stacked, NonIrrigated</v>
      </c>
      <c r="BF3" s="1000" t="str">
        <f t="shared" si="3"/>
        <v>Cotton B3XF, Furrow</v>
      </c>
      <c r="BG3" s="1000" t="str">
        <f t="shared" si="3"/>
        <v>Cotton B3XF,   Pivot</v>
      </c>
      <c r="BH3" s="1000" t="str">
        <f t="shared" si="3"/>
        <v>Cotton B3XF, NonIrrigated</v>
      </c>
      <c r="BI3" s="1000" t="str">
        <f t="shared" si="3"/>
        <v>Cotton ThriveOn, Furrow</v>
      </c>
      <c r="BJ3" s="1000" t="str">
        <f t="shared" si="3"/>
        <v>Cotton ThriveOn,        Pivot</v>
      </c>
      <c r="BK3" s="1000" t="str">
        <f t="shared" si="3"/>
        <v>Cotton ThriveOn, NonIrrigated</v>
      </c>
      <c r="BL3" s="1000" t="str">
        <f t="shared" si="3"/>
        <v>Convention. Cotton, Furrow</v>
      </c>
      <c r="BM3" s="1000" t="str">
        <f t="shared" si="3"/>
        <v>Grain Sorghum, Furrow</v>
      </c>
      <c r="BN3" s="1000" t="str">
        <f t="shared" si="3"/>
        <v>Grain Sorghum, Pivot</v>
      </c>
      <c r="BO3" s="1000" t="str">
        <f t="shared" si="3"/>
        <v>Grain Sorghum, NonIrrigated</v>
      </c>
      <c r="BP3" s="1000" t="str">
        <f t="shared" si="3"/>
        <v>Rice, Convent.</v>
      </c>
      <c r="BQ3" s="1000" t="str">
        <f t="shared" si="3"/>
        <v>Rice, Clearfield</v>
      </c>
      <c r="BR3" s="1000" t="str">
        <f t="shared" si="3"/>
        <v>Rice, Hybrid</v>
      </c>
      <c r="BS3" s="1000" t="str">
        <f t="shared" si="3"/>
        <v>Rice, FullPage Hybrid</v>
      </c>
      <c r="BT3" s="1000" t="str">
        <f t="shared" si="3"/>
        <v>Rice, Water Seeded</v>
      </c>
      <c r="BU3" s="1000" t="str">
        <f t="shared" si="3"/>
        <v>Soybeans RR2XtendFlex Furrow</v>
      </c>
      <c r="BV3" s="1000" t="str">
        <f t="shared" si="3"/>
        <v>Soybeans RR2XtendFlex Pivot</v>
      </c>
      <c r="BW3" s="1000" t="str">
        <f t="shared" si="3"/>
        <v>Soybeans RR2XtendFlex Nonirrigated</v>
      </c>
      <c r="BX3" s="1000" t="str">
        <f t="shared" si="3"/>
        <v>Soybeans RR2XtendFlex Flood</v>
      </c>
      <c r="BY3" s="1000" t="str">
        <f t="shared" si="3"/>
        <v>Soybeans Enlist E3,     Furrow</v>
      </c>
      <c r="BZ3" s="1000" t="str">
        <f t="shared" si="3"/>
        <v>Soybeans EnlistE3,       Pivot</v>
      </c>
      <c r="CA3" s="1000" t="str">
        <f t="shared" si="3"/>
        <v>Soybeans EnlistE3, Nonirrigated</v>
      </c>
      <c r="CB3" s="1000" t="str">
        <f t="shared" si="3"/>
        <v>Soybeans EnlistE3,       Flood</v>
      </c>
      <c r="CC3" s="1000" t="str">
        <f t="shared" si="3"/>
        <v>Conventional Soybeans, Furrow</v>
      </c>
      <c r="CD3" s="1000" t="str">
        <f t="shared" si="3"/>
        <v>Wheat</v>
      </c>
      <c r="CE3" s="1000" t="str">
        <f t="shared" si="3"/>
        <v>Peanuts, Furrow</v>
      </c>
      <c r="CF3" s="1000" t="str">
        <f t="shared" si="3"/>
        <v>Peanuts, Pivot</v>
      </c>
      <c r="CG3" s="1000" t="str">
        <f t="shared" si="3"/>
        <v>Peanuts, Nonirrigated</v>
      </c>
      <c r="CH3" s="1000" t="str">
        <f t="shared" si="3"/>
        <v>Conventional Corn,  Furrow</v>
      </c>
      <c r="CI3" s="1000" t="str">
        <f t="shared" si="3"/>
        <v>Conventional Corn,      Pivot</v>
      </c>
      <c r="CJ3" s="1000" t="str">
        <f t="shared" si="3"/>
        <v>Conventional Corn, NonIrrigated</v>
      </c>
      <c r="CK3" s="1000" t="str">
        <f t="shared" si="3"/>
        <v>Conventional Soybeans,      Pivot</v>
      </c>
      <c r="CL3" s="1000" t="str">
        <f t="shared" ref="CL3:CZ3" si="4">AM3</f>
        <v>Conventional Soybeans, Nonirrigated</v>
      </c>
      <c r="CM3" s="1000" t="str">
        <f t="shared" si="4"/>
        <v>Conventional Soybeans,     Flood</v>
      </c>
      <c r="CN3" s="1000" t="str">
        <f t="shared" si="4"/>
        <v>Conventional Cotton, Pivot</v>
      </c>
      <c r="CO3" s="1000" t="str">
        <f t="shared" si="4"/>
        <v>Conventional Cotton, NonIrrigated</v>
      </c>
      <c r="CP3" s="1000" t="str">
        <f t="shared" si="4"/>
        <v>Row Rice, Convent.</v>
      </c>
      <c r="CQ3" s="1000" t="str">
        <f t="shared" si="4"/>
        <v>Row Rice, Clearfield</v>
      </c>
      <c r="CR3" s="1000" t="str">
        <f t="shared" si="4"/>
        <v>Row Rice, Hybrid</v>
      </c>
      <c r="CS3" s="1000" t="str">
        <f t="shared" si="4"/>
        <v>Row Rice, Clearfield Hybrid</v>
      </c>
      <c r="CT3" s="1000" t="str">
        <f t="shared" si="4"/>
        <v>Rice, Provisia</v>
      </c>
      <c r="CU3" s="1000" t="str">
        <f t="shared" si="4"/>
        <v>Rice, MaxAce</v>
      </c>
      <c r="CV3" s="1000" t="str">
        <f t="shared" si="4"/>
        <v>Other 3</v>
      </c>
      <c r="CW3" s="1000" t="str">
        <f t="shared" si="4"/>
        <v>Other 4</v>
      </c>
      <c r="CX3" s="1000" t="str">
        <f t="shared" si="4"/>
        <v>Other 5</v>
      </c>
      <c r="CY3" s="1000" t="str">
        <f t="shared" si="4"/>
        <v>Other 6</v>
      </c>
      <c r="CZ3" s="1000" t="str">
        <f t="shared" si="4"/>
        <v>Other 7</v>
      </c>
    </row>
    <row r="4" spans="1:104" ht="12.75" customHeight="1" x14ac:dyDescent="0.35">
      <c r="A4" s="1039" t="s">
        <v>15</v>
      </c>
      <c r="B4" s="1029">
        <f>IF(B$2=1,SUM(BC4:CZ4),"Error")</f>
        <v>105</v>
      </c>
      <c r="C4" s="1040"/>
      <c r="D4" s="1021">
        <v>215</v>
      </c>
      <c r="E4" s="1021">
        <v>210</v>
      </c>
      <c r="F4" s="1021">
        <v>125</v>
      </c>
      <c r="G4" s="1021">
        <v>1200</v>
      </c>
      <c r="H4" s="1021">
        <v>1200</v>
      </c>
      <c r="I4" s="1021">
        <v>800</v>
      </c>
      <c r="J4" s="1021">
        <v>1200</v>
      </c>
      <c r="K4" s="1021">
        <v>1200</v>
      </c>
      <c r="L4" s="1021">
        <v>800</v>
      </c>
      <c r="M4" s="1021">
        <v>1200</v>
      </c>
      <c r="N4" s="1021">
        <v>105</v>
      </c>
      <c r="O4" s="1021">
        <v>105</v>
      </c>
      <c r="P4" s="1021">
        <v>100</v>
      </c>
      <c r="Q4" s="1021">
        <v>170</v>
      </c>
      <c r="R4" s="1021">
        <v>170</v>
      </c>
      <c r="S4" s="1021">
        <v>190</v>
      </c>
      <c r="T4" s="1021">
        <v>190</v>
      </c>
      <c r="U4" s="1021">
        <v>0</v>
      </c>
      <c r="V4" s="1021">
        <v>60</v>
      </c>
      <c r="W4" s="1021">
        <v>60</v>
      </c>
      <c r="X4" s="1021">
        <v>30</v>
      </c>
      <c r="Y4" s="1021">
        <v>60</v>
      </c>
      <c r="Z4" s="1021">
        <v>60</v>
      </c>
      <c r="AA4" s="1021">
        <v>60</v>
      </c>
      <c r="AB4" s="1021">
        <v>30</v>
      </c>
      <c r="AC4" s="1021">
        <v>60</v>
      </c>
      <c r="AD4" s="1021">
        <v>55</v>
      </c>
      <c r="AE4" s="1021">
        <v>70</v>
      </c>
      <c r="AF4" s="1031">
        <v>2.6</v>
      </c>
      <c r="AG4" s="1031">
        <v>2.6</v>
      </c>
      <c r="AH4" s="1031">
        <v>1.5</v>
      </c>
      <c r="AI4" s="1021">
        <v>210</v>
      </c>
      <c r="AJ4" s="1021">
        <v>210</v>
      </c>
      <c r="AK4" s="1021">
        <v>125</v>
      </c>
      <c r="AL4" s="1021">
        <v>55</v>
      </c>
      <c r="AM4" s="1021">
        <v>30</v>
      </c>
      <c r="AN4" s="1021">
        <v>55</v>
      </c>
      <c r="AO4" s="1021">
        <v>1200</v>
      </c>
      <c r="AP4" s="1021">
        <v>800</v>
      </c>
      <c r="AQ4" s="1021">
        <v>0</v>
      </c>
      <c r="AR4" s="1021">
        <v>0</v>
      </c>
      <c r="AS4" s="1021">
        <v>0</v>
      </c>
      <c r="AT4" s="1021">
        <v>190</v>
      </c>
      <c r="AU4" s="1021">
        <v>170</v>
      </c>
      <c r="AV4" s="1021">
        <v>170</v>
      </c>
      <c r="AW4" s="1021"/>
      <c r="AX4" s="1021"/>
      <c r="AY4" s="1021"/>
      <c r="AZ4" s="1021"/>
      <c r="BA4" s="1021"/>
      <c r="BB4" s="1022"/>
      <c r="BC4" s="1023">
        <f t="shared" ref="BC4:BL6" si="5">IF(D$2=1,D4,0)</f>
        <v>0</v>
      </c>
      <c r="BD4" s="1023">
        <f t="shared" si="5"/>
        <v>0</v>
      </c>
      <c r="BE4" s="1023">
        <f t="shared" si="5"/>
        <v>0</v>
      </c>
      <c r="BF4" s="1023">
        <f t="shared" si="5"/>
        <v>0</v>
      </c>
      <c r="BG4" s="1023">
        <f t="shared" si="5"/>
        <v>0</v>
      </c>
      <c r="BH4" s="1023">
        <f t="shared" si="5"/>
        <v>0</v>
      </c>
      <c r="BI4" s="1023">
        <f t="shared" si="5"/>
        <v>0</v>
      </c>
      <c r="BJ4" s="1023">
        <f t="shared" si="5"/>
        <v>0</v>
      </c>
      <c r="BK4" s="1023">
        <f t="shared" si="5"/>
        <v>0</v>
      </c>
      <c r="BL4" s="1023">
        <f t="shared" si="5"/>
        <v>0</v>
      </c>
      <c r="BM4" s="1023">
        <f t="shared" ref="BM4:BV6" si="6">IF(N$2=1,N4,0)</f>
        <v>105</v>
      </c>
      <c r="BN4" s="1023">
        <f t="shared" si="6"/>
        <v>0</v>
      </c>
      <c r="BO4" s="1023">
        <f t="shared" si="6"/>
        <v>0</v>
      </c>
      <c r="BP4" s="1023">
        <f t="shared" si="6"/>
        <v>0</v>
      </c>
      <c r="BQ4" s="1023">
        <f t="shared" si="6"/>
        <v>0</v>
      </c>
      <c r="BR4" s="1023">
        <f t="shared" si="6"/>
        <v>0</v>
      </c>
      <c r="BS4" s="1023">
        <f t="shared" si="6"/>
        <v>0</v>
      </c>
      <c r="BT4" s="1023">
        <f t="shared" si="6"/>
        <v>0</v>
      </c>
      <c r="BU4" s="1023">
        <f t="shared" si="6"/>
        <v>0</v>
      </c>
      <c r="BV4" s="1023">
        <f t="shared" si="6"/>
        <v>0</v>
      </c>
      <c r="BW4" s="1023">
        <f t="shared" ref="BW4:CA6" si="7">IF(X$2=1,X4,0)</f>
        <v>0</v>
      </c>
      <c r="BX4" s="1023">
        <f t="shared" si="7"/>
        <v>0</v>
      </c>
      <c r="BY4" s="1023">
        <f t="shared" si="7"/>
        <v>0</v>
      </c>
      <c r="BZ4" s="1023">
        <f t="shared" si="7"/>
        <v>0</v>
      </c>
      <c r="CA4" s="1023">
        <f t="shared" si="7"/>
        <v>0</v>
      </c>
      <c r="CB4" s="1023">
        <f t="shared" ref="CB4:CD6" si="8">IF(AC$2=1,AC4,0)</f>
        <v>0</v>
      </c>
      <c r="CC4" s="1023">
        <f t="shared" si="8"/>
        <v>0</v>
      </c>
      <c r="CD4" s="1023">
        <f t="shared" si="8"/>
        <v>0</v>
      </c>
      <c r="CE4" s="1033">
        <f t="shared" ref="CE4:CN6" si="9">IF(AF$2=1,AF4,0)</f>
        <v>0</v>
      </c>
      <c r="CF4" s="1033">
        <f t="shared" si="9"/>
        <v>0</v>
      </c>
      <c r="CG4" s="1033">
        <f t="shared" si="9"/>
        <v>0</v>
      </c>
      <c r="CH4" s="1023">
        <f t="shared" si="9"/>
        <v>0</v>
      </c>
      <c r="CI4" s="1023">
        <f t="shared" si="9"/>
        <v>0</v>
      </c>
      <c r="CJ4" s="1023">
        <f t="shared" si="9"/>
        <v>0</v>
      </c>
      <c r="CK4" s="1023">
        <f t="shared" si="9"/>
        <v>0</v>
      </c>
      <c r="CL4" s="1023">
        <f t="shared" si="9"/>
        <v>0</v>
      </c>
      <c r="CM4" s="1023">
        <f t="shared" si="9"/>
        <v>0</v>
      </c>
      <c r="CN4" s="1023">
        <f t="shared" si="9"/>
        <v>0</v>
      </c>
      <c r="CO4" s="1023">
        <f t="shared" ref="CO4:CX6" si="10">IF(AP$2=1,AP4,0)</f>
        <v>0</v>
      </c>
      <c r="CP4" s="1023">
        <f t="shared" si="10"/>
        <v>0</v>
      </c>
      <c r="CQ4" s="1023">
        <f t="shared" si="10"/>
        <v>0</v>
      </c>
      <c r="CR4" s="1023">
        <f t="shared" si="10"/>
        <v>0</v>
      </c>
      <c r="CS4" s="1023">
        <f t="shared" si="10"/>
        <v>0</v>
      </c>
      <c r="CT4" s="1023">
        <f t="shared" si="10"/>
        <v>0</v>
      </c>
      <c r="CU4" s="1023">
        <f t="shared" si="10"/>
        <v>0</v>
      </c>
      <c r="CV4" s="1023">
        <f t="shared" si="10"/>
        <v>0</v>
      </c>
      <c r="CW4" s="1023">
        <f t="shared" si="10"/>
        <v>0</v>
      </c>
      <c r="CX4" s="1023">
        <f t="shared" si="10"/>
        <v>0</v>
      </c>
      <c r="CY4" s="1023">
        <f t="shared" ref="CY4:CZ6" si="11">IF(AZ$2=1,AZ4,0)</f>
        <v>0</v>
      </c>
      <c r="CZ4" s="1023">
        <f t="shared" si="11"/>
        <v>0</v>
      </c>
    </row>
    <row r="5" spans="1:104" ht="12.75" customHeight="1" x14ac:dyDescent="0.35">
      <c r="A5" s="1039" t="s">
        <v>21</v>
      </c>
      <c r="B5" s="1029">
        <f>IF(B$2=1,SUM(BC5:CZ5),"Error")</f>
        <v>4.75</v>
      </c>
      <c r="C5" s="1030"/>
      <c r="D5" s="1031">
        <v>4.5</v>
      </c>
      <c r="E5" s="1031">
        <v>4.5</v>
      </c>
      <c r="F5" s="1031">
        <v>4.5</v>
      </c>
      <c r="G5" s="1031">
        <v>0.69</v>
      </c>
      <c r="H5" s="1031">
        <v>0.69</v>
      </c>
      <c r="I5" s="1031">
        <v>0.69</v>
      </c>
      <c r="J5" s="1031">
        <v>0.69</v>
      </c>
      <c r="K5" s="1031">
        <v>0.69</v>
      </c>
      <c r="L5" s="1031">
        <v>0.69</v>
      </c>
      <c r="M5" s="1031">
        <v>0.69</v>
      </c>
      <c r="N5" s="1031">
        <v>4.75</v>
      </c>
      <c r="O5" s="1031">
        <v>4.75</v>
      </c>
      <c r="P5" s="1031">
        <v>4.75</v>
      </c>
      <c r="Q5" s="1031">
        <v>5.8</v>
      </c>
      <c r="R5" s="1031">
        <v>5.8</v>
      </c>
      <c r="S5" s="1031">
        <v>5.8</v>
      </c>
      <c r="T5" s="1031">
        <v>5.8</v>
      </c>
      <c r="U5" s="1031">
        <v>5.8</v>
      </c>
      <c r="V5" s="1031">
        <v>10.25</v>
      </c>
      <c r="W5" s="1031">
        <v>10.25</v>
      </c>
      <c r="X5" s="1031">
        <v>10.25</v>
      </c>
      <c r="Y5" s="1031">
        <v>10.25</v>
      </c>
      <c r="Z5" s="1031">
        <v>10.25</v>
      </c>
      <c r="AA5" s="1031">
        <v>10.25</v>
      </c>
      <c r="AB5" s="1031">
        <v>10.25</v>
      </c>
      <c r="AC5" s="1031">
        <v>10.25</v>
      </c>
      <c r="AD5" s="1031">
        <v>10.25</v>
      </c>
      <c r="AE5" s="1031">
        <v>5.5</v>
      </c>
      <c r="AF5" s="1031">
        <v>400</v>
      </c>
      <c r="AG5" s="1031">
        <v>400</v>
      </c>
      <c r="AH5" s="1031">
        <v>400</v>
      </c>
      <c r="AI5" s="1031">
        <v>4.5</v>
      </c>
      <c r="AJ5" s="1031">
        <v>4.5</v>
      </c>
      <c r="AK5" s="1031">
        <v>4.5</v>
      </c>
      <c r="AL5" s="1031">
        <v>10.25</v>
      </c>
      <c r="AM5" s="1031">
        <v>10.25</v>
      </c>
      <c r="AN5" s="1031">
        <v>10.25</v>
      </c>
      <c r="AO5" s="1031">
        <v>0.69</v>
      </c>
      <c r="AP5" s="1031">
        <v>0.65</v>
      </c>
      <c r="AQ5" s="1031">
        <v>5.8</v>
      </c>
      <c r="AR5" s="1031">
        <v>5.8</v>
      </c>
      <c r="AS5" s="1031">
        <v>5.8</v>
      </c>
      <c r="AT5" s="1031">
        <v>5.8</v>
      </c>
      <c r="AU5" s="1031">
        <v>5.8</v>
      </c>
      <c r="AV5" s="1031">
        <v>5.8</v>
      </c>
      <c r="AW5" s="1031"/>
      <c r="AX5" s="1031"/>
      <c r="AY5" s="1031"/>
      <c r="AZ5" s="1031"/>
      <c r="BA5" s="1031"/>
      <c r="BB5" s="1032"/>
      <c r="BC5" s="1033">
        <f t="shared" si="5"/>
        <v>0</v>
      </c>
      <c r="BD5" s="1033">
        <f t="shared" si="5"/>
        <v>0</v>
      </c>
      <c r="BE5" s="1033">
        <f t="shared" si="5"/>
        <v>0</v>
      </c>
      <c r="BF5" s="1033">
        <f t="shared" si="5"/>
        <v>0</v>
      </c>
      <c r="BG5" s="1033">
        <f t="shared" si="5"/>
        <v>0</v>
      </c>
      <c r="BH5" s="1033">
        <f t="shared" si="5"/>
        <v>0</v>
      </c>
      <c r="BI5" s="1033">
        <f t="shared" si="5"/>
        <v>0</v>
      </c>
      <c r="BJ5" s="1033">
        <f t="shared" si="5"/>
        <v>0</v>
      </c>
      <c r="BK5" s="1033">
        <f t="shared" si="5"/>
        <v>0</v>
      </c>
      <c r="BL5" s="1033">
        <f t="shared" si="5"/>
        <v>0</v>
      </c>
      <c r="BM5" s="1033">
        <f t="shared" si="6"/>
        <v>4.75</v>
      </c>
      <c r="BN5" s="1033">
        <f t="shared" si="6"/>
        <v>0</v>
      </c>
      <c r="BO5" s="1033">
        <f t="shared" si="6"/>
        <v>0</v>
      </c>
      <c r="BP5" s="1033">
        <f t="shared" si="6"/>
        <v>0</v>
      </c>
      <c r="BQ5" s="1033">
        <f t="shared" si="6"/>
        <v>0</v>
      </c>
      <c r="BR5" s="1033">
        <f t="shared" si="6"/>
        <v>0</v>
      </c>
      <c r="BS5" s="1033">
        <f t="shared" si="6"/>
        <v>0</v>
      </c>
      <c r="BT5" s="1033">
        <f t="shared" si="6"/>
        <v>0</v>
      </c>
      <c r="BU5" s="1033">
        <f t="shared" si="6"/>
        <v>0</v>
      </c>
      <c r="BV5" s="1033">
        <f t="shared" si="6"/>
        <v>0</v>
      </c>
      <c r="BW5" s="1033">
        <f t="shared" si="7"/>
        <v>0</v>
      </c>
      <c r="BX5" s="1033">
        <f t="shared" si="7"/>
        <v>0</v>
      </c>
      <c r="BY5" s="1033">
        <f t="shared" si="7"/>
        <v>0</v>
      </c>
      <c r="BZ5" s="1033">
        <f t="shared" si="7"/>
        <v>0</v>
      </c>
      <c r="CA5" s="1033">
        <f t="shared" si="7"/>
        <v>0</v>
      </c>
      <c r="CB5" s="1033">
        <f t="shared" si="8"/>
        <v>0</v>
      </c>
      <c r="CC5" s="1033">
        <f t="shared" si="8"/>
        <v>0</v>
      </c>
      <c r="CD5" s="1033">
        <f t="shared" si="8"/>
        <v>0</v>
      </c>
      <c r="CE5" s="1033">
        <f t="shared" si="9"/>
        <v>0</v>
      </c>
      <c r="CF5" s="1033">
        <f t="shared" si="9"/>
        <v>0</v>
      </c>
      <c r="CG5" s="1033">
        <f t="shared" si="9"/>
        <v>0</v>
      </c>
      <c r="CH5" s="1033">
        <f t="shared" si="9"/>
        <v>0</v>
      </c>
      <c r="CI5" s="1033">
        <f t="shared" si="9"/>
        <v>0</v>
      </c>
      <c r="CJ5" s="1033">
        <f t="shared" si="9"/>
        <v>0</v>
      </c>
      <c r="CK5" s="1033">
        <f t="shared" si="9"/>
        <v>0</v>
      </c>
      <c r="CL5" s="1033">
        <f t="shared" si="9"/>
        <v>0</v>
      </c>
      <c r="CM5" s="1033">
        <f t="shared" si="9"/>
        <v>0</v>
      </c>
      <c r="CN5" s="1033">
        <f t="shared" si="9"/>
        <v>0</v>
      </c>
      <c r="CO5" s="1033">
        <f t="shared" si="10"/>
        <v>0</v>
      </c>
      <c r="CP5" s="1033">
        <f t="shared" si="10"/>
        <v>0</v>
      </c>
      <c r="CQ5" s="1033">
        <f t="shared" si="10"/>
        <v>0</v>
      </c>
      <c r="CR5" s="1033">
        <f t="shared" si="10"/>
        <v>0</v>
      </c>
      <c r="CS5" s="1033">
        <f t="shared" si="10"/>
        <v>0</v>
      </c>
      <c r="CT5" s="1033">
        <f t="shared" si="10"/>
        <v>0</v>
      </c>
      <c r="CU5" s="1033">
        <f t="shared" si="10"/>
        <v>0</v>
      </c>
      <c r="CV5" s="1033">
        <f t="shared" si="10"/>
        <v>0</v>
      </c>
      <c r="CW5" s="1033">
        <f t="shared" si="10"/>
        <v>0</v>
      </c>
      <c r="CX5" s="1033">
        <f t="shared" si="10"/>
        <v>0</v>
      </c>
      <c r="CY5" s="1033">
        <f t="shared" si="11"/>
        <v>0</v>
      </c>
      <c r="CZ5" s="1033">
        <f t="shared" si="11"/>
        <v>0</v>
      </c>
    </row>
    <row r="6" spans="1:104" ht="12.75" customHeight="1" x14ac:dyDescent="0.35">
      <c r="A6" s="1039" t="s">
        <v>582</v>
      </c>
      <c r="B6" s="1270">
        <f>IF(B$2=1,SUM(BC6:CZ6),"Error")</f>
        <v>0</v>
      </c>
      <c r="C6" s="1030"/>
      <c r="D6" s="1268">
        <v>0</v>
      </c>
      <c r="E6" s="1268">
        <v>0</v>
      </c>
      <c r="F6" s="1268">
        <v>0</v>
      </c>
      <c r="G6" s="1268">
        <v>0</v>
      </c>
      <c r="H6" s="1268">
        <v>0</v>
      </c>
      <c r="I6" s="1268">
        <v>0</v>
      </c>
      <c r="J6" s="1268">
        <v>0</v>
      </c>
      <c r="K6" s="1268">
        <v>0</v>
      </c>
      <c r="L6" s="1268">
        <v>0</v>
      </c>
      <c r="M6" s="1268">
        <v>0</v>
      </c>
      <c r="N6" s="1268">
        <v>0</v>
      </c>
      <c r="O6" s="1268">
        <v>0</v>
      </c>
      <c r="P6" s="1268">
        <v>0</v>
      </c>
      <c r="Q6" s="1268">
        <v>0</v>
      </c>
      <c r="R6" s="1268">
        <v>0</v>
      </c>
      <c r="S6" s="1268">
        <v>0</v>
      </c>
      <c r="T6" s="1268">
        <v>0</v>
      </c>
      <c r="U6" s="1268">
        <v>0</v>
      </c>
      <c r="V6" s="1268">
        <v>0</v>
      </c>
      <c r="W6" s="1268">
        <v>0</v>
      </c>
      <c r="X6" s="1268">
        <v>0</v>
      </c>
      <c r="Y6" s="1268">
        <v>0</v>
      </c>
      <c r="Z6" s="1268">
        <v>0</v>
      </c>
      <c r="AA6" s="1268">
        <v>0</v>
      </c>
      <c r="AB6" s="1268">
        <v>0</v>
      </c>
      <c r="AC6" s="1268">
        <v>0</v>
      </c>
      <c r="AD6" s="1268">
        <v>0</v>
      </c>
      <c r="AE6" s="1268">
        <v>0</v>
      </c>
      <c r="AF6" s="1268">
        <v>0</v>
      </c>
      <c r="AG6" s="1268">
        <v>0</v>
      </c>
      <c r="AH6" s="1268">
        <v>0</v>
      </c>
      <c r="AI6" s="1031">
        <v>0</v>
      </c>
      <c r="AJ6" s="1031">
        <v>0</v>
      </c>
      <c r="AK6" s="1031">
        <v>0</v>
      </c>
      <c r="AL6" s="1268">
        <v>0</v>
      </c>
      <c r="AM6" s="1268">
        <v>0</v>
      </c>
      <c r="AN6" s="1268">
        <v>0</v>
      </c>
      <c r="AO6" s="1268">
        <v>0</v>
      </c>
      <c r="AP6" s="1268">
        <v>0</v>
      </c>
      <c r="AQ6" s="1268">
        <v>0</v>
      </c>
      <c r="AR6" s="1268">
        <v>0</v>
      </c>
      <c r="AS6" s="1268">
        <v>0</v>
      </c>
      <c r="AT6" s="1268">
        <v>0</v>
      </c>
      <c r="AU6" s="1268">
        <v>0</v>
      </c>
      <c r="AV6" s="1268">
        <v>0</v>
      </c>
      <c r="AW6" s="1031"/>
      <c r="AX6" s="1031"/>
      <c r="AY6" s="1031"/>
      <c r="AZ6" s="1031"/>
      <c r="BA6" s="1031"/>
      <c r="BB6" s="1032"/>
      <c r="BC6" s="1269">
        <f t="shared" si="5"/>
        <v>0</v>
      </c>
      <c r="BD6" s="1269">
        <f t="shared" si="5"/>
        <v>0</v>
      </c>
      <c r="BE6" s="1269">
        <f t="shared" si="5"/>
        <v>0</v>
      </c>
      <c r="BF6" s="1269">
        <f t="shared" si="5"/>
        <v>0</v>
      </c>
      <c r="BG6" s="1269">
        <f t="shared" si="5"/>
        <v>0</v>
      </c>
      <c r="BH6" s="1269">
        <f t="shared" si="5"/>
        <v>0</v>
      </c>
      <c r="BI6" s="1269">
        <f t="shared" si="5"/>
        <v>0</v>
      </c>
      <c r="BJ6" s="1269">
        <f t="shared" si="5"/>
        <v>0</v>
      </c>
      <c r="BK6" s="1269">
        <f t="shared" si="5"/>
        <v>0</v>
      </c>
      <c r="BL6" s="1269">
        <f t="shared" si="5"/>
        <v>0</v>
      </c>
      <c r="BM6" s="1269">
        <f t="shared" si="6"/>
        <v>0</v>
      </c>
      <c r="BN6" s="1269">
        <f t="shared" si="6"/>
        <v>0</v>
      </c>
      <c r="BO6" s="1269">
        <f t="shared" si="6"/>
        <v>0</v>
      </c>
      <c r="BP6" s="1269">
        <f t="shared" si="6"/>
        <v>0</v>
      </c>
      <c r="BQ6" s="1269">
        <f t="shared" si="6"/>
        <v>0</v>
      </c>
      <c r="BR6" s="1269">
        <f t="shared" si="6"/>
        <v>0</v>
      </c>
      <c r="BS6" s="1269">
        <f t="shared" si="6"/>
        <v>0</v>
      </c>
      <c r="BT6" s="1269">
        <f t="shared" si="6"/>
        <v>0</v>
      </c>
      <c r="BU6" s="1269">
        <f t="shared" si="6"/>
        <v>0</v>
      </c>
      <c r="BV6" s="1269">
        <f t="shared" si="6"/>
        <v>0</v>
      </c>
      <c r="BW6" s="1269">
        <f t="shared" si="7"/>
        <v>0</v>
      </c>
      <c r="BX6" s="1269">
        <f t="shared" si="7"/>
        <v>0</v>
      </c>
      <c r="BY6" s="1269">
        <f t="shared" si="7"/>
        <v>0</v>
      </c>
      <c r="BZ6" s="1269">
        <f t="shared" si="7"/>
        <v>0</v>
      </c>
      <c r="CA6" s="1269">
        <f t="shared" si="7"/>
        <v>0</v>
      </c>
      <c r="CB6" s="1269">
        <f t="shared" si="8"/>
        <v>0</v>
      </c>
      <c r="CC6" s="1269">
        <f t="shared" si="8"/>
        <v>0</v>
      </c>
      <c r="CD6" s="1269">
        <f t="shared" si="8"/>
        <v>0</v>
      </c>
      <c r="CE6" s="1269">
        <f t="shared" si="9"/>
        <v>0</v>
      </c>
      <c r="CF6" s="1269">
        <f t="shared" si="9"/>
        <v>0</v>
      </c>
      <c r="CG6" s="1269">
        <f t="shared" si="9"/>
        <v>0</v>
      </c>
      <c r="CH6" s="1269">
        <f t="shared" si="9"/>
        <v>0</v>
      </c>
      <c r="CI6" s="1269">
        <f t="shared" si="9"/>
        <v>0</v>
      </c>
      <c r="CJ6" s="1269">
        <f t="shared" si="9"/>
        <v>0</v>
      </c>
      <c r="CK6" s="1269">
        <f t="shared" si="9"/>
        <v>0</v>
      </c>
      <c r="CL6" s="1269">
        <f t="shared" si="9"/>
        <v>0</v>
      </c>
      <c r="CM6" s="1269">
        <f t="shared" si="9"/>
        <v>0</v>
      </c>
      <c r="CN6" s="1269">
        <f t="shared" si="9"/>
        <v>0</v>
      </c>
      <c r="CO6" s="1269">
        <f t="shared" si="10"/>
        <v>0</v>
      </c>
      <c r="CP6" s="1269">
        <f t="shared" si="10"/>
        <v>0</v>
      </c>
      <c r="CQ6" s="1269">
        <f t="shared" si="10"/>
        <v>0</v>
      </c>
      <c r="CR6" s="1269">
        <f t="shared" si="10"/>
        <v>0</v>
      </c>
      <c r="CS6" s="1269">
        <f t="shared" si="10"/>
        <v>0</v>
      </c>
      <c r="CT6" s="1269">
        <f t="shared" si="10"/>
        <v>0</v>
      </c>
      <c r="CU6" s="1269">
        <f t="shared" si="10"/>
        <v>0</v>
      </c>
      <c r="CV6" s="1269">
        <f t="shared" si="10"/>
        <v>0</v>
      </c>
      <c r="CW6" s="1269">
        <f t="shared" si="10"/>
        <v>0</v>
      </c>
      <c r="CX6" s="1269">
        <f t="shared" si="10"/>
        <v>0</v>
      </c>
      <c r="CY6" s="1269">
        <f t="shared" si="11"/>
        <v>0</v>
      </c>
      <c r="CZ6" s="1269">
        <f t="shared" si="11"/>
        <v>0</v>
      </c>
    </row>
    <row r="7" spans="1:104" ht="12.75" customHeight="1" x14ac:dyDescent="0.35">
      <c r="A7" s="998"/>
      <c r="B7" s="995"/>
      <c r="C7" s="996"/>
      <c r="D7" s="999"/>
      <c r="E7" s="999"/>
      <c r="F7" s="999"/>
      <c r="G7" s="999"/>
      <c r="H7" s="999"/>
      <c r="I7" s="999"/>
      <c r="J7" s="999"/>
      <c r="K7" s="999"/>
      <c r="L7" s="999"/>
      <c r="M7" s="999"/>
      <c r="N7" s="999"/>
      <c r="O7" s="999"/>
      <c r="P7" s="999"/>
      <c r="Q7" s="999"/>
      <c r="R7" s="999"/>
      <c r="S7" s="999"/>
      <c r="T7" s="999"/>
      <c r="U7" s="999"/>
      <c r="V7" s="999"/>
      <c r="W7" s="999"/>
      <c r="X7" s="999"/>
      <c r="Y7" s="999"/>
      <c r="Z7" s="999"/>
      <c r="AA7" s="999"/>
      <c r="AB7" s="999"/>
      <c r="AC7" s="999"/>
      <c r="AD7" s="999"/>
      <c r="AE7" s="999"/>
      <c r="AF7" s="999"/>
      <c r="AG7" s="999"/>
      <c r="AH7" s="999"/>
      <c r="AI7" s="999"/>
      <c r="AJ7" s="999"/>
      <c r="AK7" s="999"/>
      <c r="AL7" s="999"/>
      <c r="AM7" s="999"/>
      <c r="AN7" s="999"/>
      <c r="AO7" s="999"/>
      <c r="AP7" s="999"/>
      <c r="AQ7" s="999"/>
      <c r="AR7" s="999"/>
      <c r="AS7" s="999"/>
      <c r="AT7" s="999"/>
      <c r="AU7" s="999"/>
      <c r="AV7" s="999"/>
      <c r="AW7" s="999"/>
      <c r="AX7" s="999"/>
      <c r="AY7" s="999"/>
      <c r="AZ7" s="999"/>
      <c r="BA7" s="999"/>
      <c r="BB7" s="832"/>
      <c r="BC7" s="1000"/>
      <c r="BD7" s="1000"/>
      <c r="BE7" s="1000"/>
      <c r="BF7" s="1000"/>
      <c r="BG7" s="1000"/>
      <c r="BH7" s="1000"/>
      <c r="BI7" s="1000"/>
      <c r="BJ7" s="1000"/>
      <c r="BK7" s="1000"/>
      <c r="BL7" s="1000"/>
      <c r="BM7" s="1000"/>
      <c r="BN7" s="1000"/>
      <c r="BO7" s="1000"/>
      <c r="BP7" s="1000"/>
      <c r="BQ7" s="1000"/>
      <c r="BR7" s="1000"/>
      <c r="BS7" s="1000"/>
      <c r="BT7" s="1000"/>
      <c r="BU7" s="1000"/>
      <c r="BV7" s="1000"/>
      <c r="BW7" s="1000"/>
      <c r="BX7" s="1000"/>
      <c r="BY7" s="1000"/>
      <c r="BZ7" s="1000"/>
      <c r="CA7" s="1000"/>
      <c r="CB7" s="1000"/>
      <c r="CC7" s="1000"/>
      <c r="CD7" s="1000"/>
      <c r="CE7" s="1000"/>
      <c r="CF7" s="1000"/>
      <c r="CG7" s="1000"/>
      <c r="CH7" s="1000"/>
      <c r="CI7" s="1000"/>
      <c r="CJ7" s="1000"/>
      <c r="CK7" s="1000"/>
      <c r="CL7" s="1000"/>
      <c r="CM7" s="1000"/>
      <c r="CN7" s="1000"/>
      <c r="CO7" s="1000"/>
      <c r="CP7" s="1000"/>
      <c r="CQ7" s="1000"/>
      <c r="CR7" s="1000"/>
      <c r="CS7" s="1000"/>
      <c r="CT7" s="1000"/>
      <c r="CU7" s="1000"/>
      <c r="CV7" s="1000"/>
      <c r="CW7" s="1000"/>
      <c r="CX7" s="1000"/>
      <c r="CY7" s="1000"/>
      <c r="CZ7" s="1000"/>
    </row>
    <row r="8" spans="1:104" ht="12.75" customHeight="1" x14ac:dyDescent="0.4">
      <c r="A8" s="1005" t="s">
        <v>420</v>
      </c>
      <c r="B8" s="1006"/>
      <c r="C8" s="1007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08"/>
      <c r="R8" s="1008"/>
      <c r="S8" s="1008"/>
      <c r="T8" s="1008"/>
      <c r="U8" s="1008"/>
      <c r="V8" s="1008"/>
      <c r="W8" s="1008"/>
      <c r="X8" s="1008"/>
      <c r="Y8" s="1008"/>
      <c r="Z8" s="1008"/>
      <c r="AA8" s="1008"/>
      <c r="AB8" s="1008"/>
      <c r="AC8" s="1008"/>
      <c r="AD8" s="1008"/>
      <c r="AE8" s="1008"/>
      <c r="AF8" s="1008"/>
      <c r="AG8" s="1008"/>
      <c r="AH8" s="1008"/>
      <c r="AI8" s="1008"/>
      <c r="AJ8" s="1008"/>
      <c r="AK8" s="1008"/>
      <c r="AL8" s="1008"/>
      <c r="AM8" s="1008"/>
      <c r="AN8" s="1008"/>
      <c r="AO8" s="1008"/>
      <c r="AP8" s="1008"/>
      <c r="AQ8" s="1008"/>
      <c r="AR8" s="1008"/>
      <c r="AS8" s="1008"/>
      <c r="AT8" s="1008"/>
      <c r="AU8" s="1008"/>
      <c r="AV8" s="1008"/>
      <c r="AW8" s="1008"/>
      <c r="AX8" s="1008"/>
      <c r="AY8" s="1008"/>
      <c r="AZ8" s="1008"/>
      <c r="BA8" s="1008"/>
      <c r="BB8" s="1009"/>
      <c r="BC8" s="1010"/>
      <c r="BD8" s="1010"/>
      <c r="BE8" s="1010"/>
      <c r="BF8" s="1010"/>
      <c r="BG8" s="1010"/>
      <c r="BH8" s="1010"/>
      <c r="BI8" s="1010"/>
      <c r="BJ8" s="1010"/>
      <c r="BK8" s="1010"/>
      <c r="BL8" s="1010"/>
      <c r="BM8" s="1010"/>
      <c r="BN8" s="1010"/>
      <c r="BO8" s="1010"/>
      <c r="BP8" s="1010"/>
      <c r="BQ8" s="1010"/>
      <c r="BR8" s="1010"/>
      <c r="BS8" s="1010"/>
      <c r="BT8" s="1010"/>
      <c r="BU8" s="1010"/>
      <c r="BV8" s="1010"/>
      <c r="BW8" s="1010"/>
      <c r="BX8" s="1010"/>
      <c r="BY8" s="1010"/>
      <c r="BZ8" s="1010"/>
      <c r="CA8" s="1010"/>
      <c r="CB8" s="1010"/>
      <c r="CC8" s="1010"/>
      <c r="CD8" s="1010"/>
      <c r="CE8" s="1010"/>
      <c r="CF8" s="1010"/>
      <c r="CG8" s="1010"/>
      <c r="CH8" s="1010"/>
      <c r="CI8" s="1010"/>
      <c r="CJ8" s="1010"/>
      <c r="CK8" s="1010"/>
      <c r="CL8" s="1010"/>
      <c r="CM8" s="1010"/>
      <c r="CN8" s="1010"/>
      <c r="CO8" s="1010"/>
      <c r="CP8" s="1010"/>
      <c r="CQ8" s="1010"/>
      <c r="CR8" s="1010"/>
      <c r="CS8" s="1010"/>
      <c r="CT8" s="1010"/>
      <c r="CU8" s="1010"/>
      <c r="CV8" s="1010"/>
      <c r="CW8" s="1010"/>
      <c r="CX8" s="1010"/>
      <c r="CY8" s="1010"/>
      <c r="CZ8" s="1010"/>
    </row>
    <row r="9" spans="1:104" ht="12.75" customHeight="1" x14ac:dyDescent="0.35">
      <c r="A9" s="300" t="s">
        <v>345</v>
      </c>
      <c r="B9" s="1024">
        <f t="shared" ref="B9:B20" si="12">IF(B$2=1,SUM(BC9:CZ9),"Error")</f>
        <v>350</v>
      </c>
      <c r="C9" s="1025"/>
      <c r="D9" s="1026">
        <v>435</v>
      </c>
      <c r="E9" s="1026">
        <v>435</v>
      </c>
      <c r="F9" s="1026">
        <v>300</v>
      </c>
      <c r="G9" s="1026">
        <v>275</v>
      </c>
      <c r="H9" s="1026">
        <v>275</v>
      </c>
      <c r="I9" s="1026">
        <v>225</v>
      </c>
      <c r="J9" s="1026">
        <v>275</v>
      </c>
      <c r="K9" s="1026">
        <v>275</v>
      </c>
      <c r="L9" s="1026">
        <v>225</v>
      </c>
      <c r="M9" s="1026">
        <v>275</v>
      </c>
      <c r="N9" s="1026">
        <v>350</v>
      </c>
      <c r="O9" s="1026">
        <v>350</v>
      </c>
      <c r="P9" s="1026">
        <v>200</v>
      </c>
      <c r="Q9" s="1026">
        <v>330</v>
      </c>
      <c r="R9" s="1026">
        <v>330</v>
      </c>
      <c r="S9" s="1026">
        <v>330</v>
      </c>
      <c r="T9" s="1026">
        <v>330</v>
      </c>
      <c r="U9" s="1026">
        <v>330</v>
      </c>
      <c r="V9" s="1026">
        <v>0</v>
      </c>
      <c r="W9" s="1026">
        <v>0</v>
      </c>
      <c r="X9" s="1026">
        <v>0</v>
      </c>
      <c r="Y9" s="1026">
        <v>0</v>
      </c>
      <c r="Z9" s="1026">
        <v>0</v>
      </c>
      <c r="AA9" s="1026">
        <v>0</v>
      </c>
      <c r="AB9" s="1026">
        <v>0</v>
      </c>
      <c r="AC9" s="1026">
        <v>0</v>
      </c>
      <c r="AD9" s="1026">
        <v>0</v>
      </c>
      <c r="AE9" s="1026">
        <v>250</v>
      </c>
      <c r="AF9" s="1026">
        <v>0</v>
      </c>
      <c r="AG9" s="1026">
        <v>0</v>
      </c>
      <c r="AH9" s="1026">
        <v>0</v>
      </c>
      <c r="AI9" s="1026">
        <v>100</v>
      </c>
      <c r="AJ9" s="1026">
        <v>100</v>
      </c>
      <c r="AK9" s="1026">
        <v>0</v>
      </c>
      <c r="AL9" s="1026">
        <v>0</v>
      </c>
      <c r="AM9" s="1026">
        <v>0</v>
      </c>
      <c r="AN9" s="1026">
        <v>0</v>
      </c>
      <c r="AO9" s="1026">
        <v>0</v>
      </c>
      <c r="AP9" s="1026"/>
      <c r="AQ9" s="1026">
        <v>330</v>
      </c>
      <c r="AR9" s="1026">
        <v>330</v>
      </c>
      <c r="AS9" s="1026">
        <v>330</v>
      </c>
      <c r="AT9" s="1026">
        <v>330</v>
      </c>
      <c r="AU9" s="1026">
        <v>330</v>
      </c>
      <c r="AV9" s="1026">
        <v>330</v>
      </c>
      <c r="AW9" s="1026"/>
      <c r="AX9" s="1026"/>
      <c r="AY9" s="1026"/>
      <c r="AZ9" s="1026"/>
      <c r="BA9" s="1026"/>
      <c r="BB9" s="1027"/>
      <c r="BC9" s="1028">
        <f t="shared" ref="BC9:BC19" si="13">IF(D$2=1,D9,0)</f>
        <v>0</v>
      </c>
      <c r="BD9" s="1028">
        <f t="shared" ref="BD9:BD19" si="14">IF(E$2=1,E9,0)</f>
        <v>0</v>
      </c>
      <c r="BE9" s="1028">
        <f t="shared" ref="BE9:BE19" si="15">IF(F$2=1,F9,0)</f>
        <v>0</v>
      </c>
      <c r="BF9" s="1028">
        <f t="shared" ref="BF9:BF19" si="16">IF(G$2=1,G9,0)</f>
        <v>0</v>
      </c>
      <c r="BG9" s="1028">
        <f t="shared" ref="BG9:BG19" si="17">IF(H$2=1,H9,0)</f>
        <v>0</v>
      </c>
      <c r="BH9" s="1028">
        <f t="shared" ref="BH9:BH19" si="18">IF(I$2=1,I9,0)</f>
        <v>0</v>
      </c>
      <c r="BI9" s="1028">
        <f t="shared" ref="BI9:BI19" si="19">IF(J$2=1,J9,0)</f>
        <v>0</v>
      </c>
      <c r="BJ9" s="1028">
        <f t="shared" ref="BJ9:BJ19" si="20">IF(K$2=1,K9,0)</f>
        <v>0</v>
      </c>
      <c r="BK9" s="1028">
        <f t="shared" ref="BK9:BK19" si="21">IF(L$2=1,L9,0)</f>
        <v>0</v>
      </c>
      <c r="BL9" s="1028">
        <f t="shared" ref="BL9:BL19" si="22">IF(M$2=1,M9,0)</f>
        <v>0</v>
      </c>
      <c r="BM9" s="1028">
        <f t="shared" ref="BM9:BM19" si="23">IF(N$2=1,N9,0)</f>
        <v>350</v>
      </c>
      <c r="BN9" s="1028">
        <f t="shared" ref="BN9:BN19" si="24">IF(O$2=1,O9,0)</f>
        <v>0</v>
      </c>
      <c r="BO9" s="1028">
        <f t="shared" ref="BO9:BO19" si="25">IF(P$2=1,P9,0)</f>
        <v>0</v>
      </c>
      <c r="BP9" s="1028">
        <f t="shared" ref="BP9:BP20" si="26">IF(Q$2=1,Q9,0)</f>
        <v>0</v>
      </c>
      <c r="BQ9" s="1028">
        <f t="shared" ref="BQ9:BQ19" si="27">IF(R$2=1,R9,0)</f>
        <v>0</v>
      </c>
      <c r="BR9" s="1028">
        <f t="shared" ref="BR9:BR19" si="28">IF(S$2=1,S9,0)</f>
        <v>0</v>
      </c>
      <c r="BS9" s="1028">
        <f t="shared" ref="BS9:BS19" si="29">IF(T$2=1,T9,0)</f>
        <v>0</v>
      </c>
      <c r="BT9" s="1028">
        <f t="shared" ref="BT9:BT19" si="30">IF(U$2=1,U9,0)</f>
        <v>0</v>
      </c>
      <c r="BU9" s="1028">
        <f t="shared" ref="BU9:BU19" si="31">IF(V$2=1,V9,0)</f>
        <v>0</v>
      </c>
      <c r="BV9" s="1028">
        <f t="shared" ref="BV9:BV19" si="32">IF(W$2=1,W9,0)</f>
        <v>0</v>
      </c>
      <c r="BW9" s="1028">
        <f t="shared" ref="BW9:BW19" si="33">IF(X$2=1,X9,0)</f>
        <v>0</v>
      </c>
      <c r="BX9" s="1028">
        <f t="shared" ref="BX9:BX19" si="34">IF(Y$2=1,Y9,0)</f>
        <v>0</v>
      </c>
      <c r="BY9" s="1028">
        <f t="shared" ref="BY9:BY19" si="35">IF(Z$2=1,Z9,0)</f>
        <v>0</v>
      </c>
      <c r="BZ9" s="1028">
        <f t="shared" ref="BZ9:BZ19" si="36">IF(AA$2=1,AA9,0)</f>
        <v>0</v>
      </c>
      <c r="CA9" s="1028">
        <f t="shared" ref="CA9:CA19" si="37">IF(AB$2=1,AB9,0)</f>
        <v>0</v>
      </c>
      <c r="CB9" s="1028">
        <f t="shared" ref="CB9:CB19" si="38">IF(AC$2=1,AC9,0)</f>
        <v>0</v>
      </c>
      <c r="CC9" s="1028">
        <f t="shared" ref="CC9:CC19" si="39">IF(AD$2=1,AD9,0)</f>
        <v>0</v>
      </c>
      <c r="CD9" s="1028">
        <f t="shared" ref="CD9:CD19" si="40">IF(AE$2=1,AE9,0)</f>
        <v>0</v>
      </c>
      <c r="CE9" s="1028">
        <f t="shared" ref="CE9:CE19" si="41">IF(AF$2=1,AF9,0)</f>
        <v>0</v>
      </c>
      <c r="CF9" s="1028">
        <f t="shared" ref="CF9:CF19" si="42">IF(AG$2=1,AG9,0)</f>
        <v>0</v>
      </c>
      <c r="CG9" s="1028">
        <f t="shared" ref="CG9:CG19" si="43">IF(AH$2=1,AH9,0)</f>
        <v>0</v>
      </c>
      <c r="CH9" s="1028">
        <f t="shared" ref="CH9:CH19" si="44">IF(AI$2=1,AI9,0)</f>
        <v>0</v>
      </c>
      <c r="CI9" s="1028">
        <f t="shared" ref="CI9:CI19" si="45">IF(AJ$2=1,AJ9,0)</f>
        <v>0</v>
      </c>
      <c r="CJ9" s="1028">
        <f t="shared" ref="CJ9:CJ19" si="46">IF(AK$2=1,AK9,0)</f>
        <v>0</v>
      </c>
      <c r="CK9" s="1028">
        <f t="shared" ref="CK9:CK19" si="47">IF(AL$2=1,AL9,0)</f>
        <v>0</v>
      </c>
      <c r="CL9" s="1028">
        <f t="shared" ref="CL9:CL20" si="48">IF(AM$2=1,AM9,0)</f>
        <v>0</v>
      </c>
      <c r="CM9" s="1028">
        <f t="shared" ref="CM9:CM20" si="49">IF(AN$2=1,AN9,0)</f>
        <v>0</v>
      </c>
      <c r="CN9" s="1028">
        <f t="shared" ref="CN9:CN20" si="50">IF(AO$2=1,AO9,0)</f>
        <v>0</v>
      </c>
      <c r="CO9" s="1028">
        <f t="shared" ref="CO9:CO20" si="51">IF(AP$2=1,AP9,0)</f>
        <v>0</v>
      </c>
      <c r="CP9" s="1028">
        <f t="shared" ref="CP9:CP20" si="52">IF(AQ$2=1,AQ9,0)</f>
        <v>0</v>
      </c>
      <c r="CQ9" s="1028">
        <f t="shared" ref="CQ9:CQ20" si="53">IF(AR$2=1,AR9,0)</f>
        <v>0</v>
      </c>
      <c r="CR9" s="1028">
        <f t="shared" ref="CR9:CR20" si="54">IF(AS$2=1,AS9,0)</f>
        <v>0</v>
      </c>
      <c r="CS9" s="1028">
        <f t="shared" ref="CS9:CS20" si="55">IF(AT$2=1,AT9,0)</f>
        <v>0</v>
      </c>
      <c r="CT9" s="1028">
        <f t="shared" ref="CT9:CT20" si="56">IF(AU$2=1,AU9,0)</f>
        <v>0</v>
      </c>
      <c r="CU9" s="1028">
        <f t="shared" ref="CU9:CU20" si="57">IF(AV$2=1,AV9,0)</f>
        <v>0</v>
      </c>
      <c r="CV9" s="1028">
        <f t="shared" ref="CV9:CV20" si="58">IF(AW$2=1,AW9,0)</f>
        <v>0</v>
      </c>
      <c r="CW9" s="1028">
        <f t="shared" ref="CW9:CW20" si="59">IF(AX$2=1,AX9,0)</f>
        <v>0</v>
      </c>
      <c r="CX9" s="1028">
        <f t="shared" ref="CX9:CX20" si="60">IF(AY$2=1,AY9,0)</f>
        <v>0</v>
      </c>
      <c r="CY9" s="1028">
        <f t="shared" ref="CY9:CY20" si="61">IF(AZ$2=1,AZ9,0)</f>
        <v>0</v>
      </c>
      <c r="CZ9" s="1028">
        <f t="shared" ref="CZ9:CZ20" si="62">IF(BA$2=1,BA9,0)</f>
        <v>0</v>
      </c>
    </row>
    <row r="10" spans="1:104" ht="12.75" customHeight="1" x14ac:dyDescent="0.35">
      <c r="A10" s="1050">
        <v>0.32</v>
      </c>
      <c r="B10" s="1024">
        <f t="shared" si="12"/>
        <v>0</v>
      </c>
      <c r="C10" s="1025"/>
      <c r="D10" s="1026">
        <v>0</v>
      </c>
      <c r="E10" s="1026">
        <v>0</v>
      </c>
      <c r="F10" s="1026">
        <v>0</v>
      </c>
      <c r="G10" s="1026">
        <v>0</v>
      </c>
      <c r="H10" s="1026">
        <v>0</v>
      </c>
      <c r="I10" s="1026">
        <v>0</v>
      </c>
      <c r="J10" s="1026">
        <v>0</v>
      </c>
      <c r="K10" s="1026">
        <v>0</v>
      </c>
      <c r="L10" s="1026">
        <v>0</v>
      </c>
      <c r="M10" s="1026">
        <v>0</v>
      </c>
      <c r="N10" s="1026">
        <v>0</v>
      </c>
      <c r="O10" s="1026">
        <v>0</v>
      </c>
      <c r="P10" s="1026">
        <v>0</v>
      </c>
      <c r="Q10" s="1026">
        <v>0</v>
      </c>
      <c r="R10" s="1026">
        <v>0</v>
      </c>
      <c r="S10" s="1026">
        <v>0</v>
      </c>
      <c r="T10" s="1026">
        <v>0</v>
      </c>
      <c r="U10" s="1026">
        <v>0</v>
      </c>
      <c r="V10" s="1026">
        <v>0</v>
      </c>
      <c r="W10" s="1026">
        <v>0</v>
      </c>
      <c r="X10" s="1026">
        <v>0</v>
      </c>
      <c r="Y10" s="1026">
        <v>0</v>
      </c>
      <c r="Z10" s="1026">
        <v>0</v>
      </c>
      <c r="AA10" s="1026">
        <v>0</v>
      </c>
      <c r="AB10" s="1026">
        <v>0</v>
      </c>
      <c r="AC10" s="1026">
        <v>0</v>
      </c>
      <c r="AD10" s="1026">
        <v>0</v>
      </c>
      <c r="AE10" s="1026">
        <v>0</v>
      </c>
      <c r="AF10" s="1026">
        <v>0</v>
      </c>
      <c r="AG10" s="1026">
        <v>0</v>
      </c>
      <c r="AH10" s="1026">
        <v>0</v>
      </c>
      <c r="AI10" s="1026">
        <v>29</v>
      </c>
      <c r="AJ10" s="1026">
        <v>29</v>
      </c>
      <c r="AK10" s="1026">
        <v>0</v>
      </c>
      <c r="AL10" s="1026">
        <v>0</v>
      </c>
      <c r="AM10" s="1026">
        <v>0</v>
      </c>
      <c r="AN10" s="1026">
        <v>0</v>
      </c>
      <c r="AO10" s="1026">
        <v>0</v>
      </c>
      <c r="AP10" s="1026"/>
      <c r="AQ10" s="1026">
        <v>0</v>
      </c>
      <c r="AR10" s="1026">
        <v>0</v>
      </c>
      <c r="AS10" s="1026">
        <v>0</v>
      </c>
      <c r="AT10" s="1026">
        <v>0</v>
      </c>
      <c r="AU10" s="1026">
        <v>0</v>
      </c>
      <c r="AV10" s="1026">
        <v>0</v>
      </c>
      <c r="AW10" s="1026"/>
      <c r="AX10" s="1026"/>
      <c r="AY10" s="1026"/>
      <c r="AZ10" s="1026"/>
      <c r="BA10" s="1026"/>
      <c r="BB10" s="1027"/>
      <c r="BC10" s="1028">
        <f t="shared" ref="BC10:BH13" si="63">IF(D$2=1,D10,0)</f>
        <v>0</v>
      </c>
      <c r="BD10" s="1028">
        <f t="shared" si="63"/>
        <v>0</v>
      </c>
      <c r="BE10" s="1028">
        <f t="shared" si="63"/>
        <v>0</v>
      </c>
      <c r="BF10" s="1028">
        <f t="shared" si="63"/>
        <v>0</v>
      </c>
      <c r="BG10" s="1028">
        <f t="shared" si="63"/>
        <v>0</v>
      </c>
      <c r="BH10" s="1028">
        <f t="shared" si="63"/>
        <v>0</v>
      </c>
      <c r="BI10" s="1028">
        <f t="shared" si="19"/>
        <v>0</v>
      </c>
      <c r="BJ10" s="1028">
        <f t="shared" si="20"/>
        <v>0</v>
      </c>
      <c r="BK10" s="1028">
        <f t="shared" si="21"/>
        <v>0</v>
      </c>
      <c r="BL10" s="1028">
        <f t="shared" si="22"/>
        <v>0</v>
      </c>
      <c r="BM10" s="1028">
        <f t="shared" si="23"/>
        <v>0</v>
      </c>
      <c r="BN10" s="1028">
        <f t="shared" si="24"/>
        <v>0</v>
      </c>
      <c r="BO10" s="1028">
        <f t="shared" si="25"/>
        <v>0</v>
      </c>
      <c r="BP10" s="1028">
        <f t="shared" si="26"/>
        <v>0</v>
      </c>
      <c r="BQ10" s="1028">
        <f t="shared" si="27"/>
        <v>0</v>
      </c>
      <c r="BR10" s="1028">
        <f t="shared" si="28"/>
        <v>0</v>
      </c>
      <c r="BS10" s="1028">
        <f t="shared" si="29"/>
        <v>0</v>
      </c>
      <c r="BT10" s="1028">
        <f t="shared" si="30"/>
        <v>0</v>
      </c>
      <c r="BU10" s="1028">
        <f t="shared" si="31"/>
        <v>0</v>
      </c>
      <c r="BV10" s="1028">
        <f t="shared" si="32"/>
        <v>0</v>
      </c>
      <c r="BW10" s="1028">
        <f t="shared" si="33"/>
        <v>0</v>
      </c>
      <c r="BX10" s="1028">
        <f t="shared" si="34"/>
        <v>0</v>
      </c>
      <c r="BY10" s="1028">
        <f t="shared" si="35"/>
        <v>0</v>
      </c>
      <c r="BZ10" s="1028">
        <f t="shared" si="36"/>
        <v>0</v>
      </c>
      <c r="CA10" s="1028">
        <f t="shared" si="37"/>
        <v>0</v>
      </c>
      <c r="CB10" s="1028">
        <f t="shared" si="38"/>
        <v>0</v>
      </c>
      <c r="CC10" s="1028">
        <f t="shared" si="39"/>
        <v>0</v>
      </c>
      <c r="CD10" s="1028">
        <f t="shared" si="40"/>
        <v>0</v>
      </c>
      <c r="CE10" s="1028">
        <f t="shared" si="41"/>
        <v>0</v>
      </c>
      <c r="CF10" s="1028">
        <f t="shared" si="42"/>
        <v>0</v>
      </c>
      <c r="CG10" s="1028">
        <f t="shared" si="43"/>
        <v>0</v>
      </c>
      <c r="CH10" s="1028">
        <f t="shared" si="44"/>
        <v>0</v>
      </c>
      <c r="CI10" s="1028">
        <f t="shared" si="45"/>
        <v>0</v>
      </c>
      <c r="CJ10" s="1028">
        <f t="shared" si="46"/>
        <v>0</v>
      </c>
      <c r="CK10" s="1028">
        <f t="shared" si="47"/>
        <v>0</v>
      </c>
      <c r="CL10" s="1028">
        <f t="shared" si="48"/>
        <v>0</v>
      </c>
      <c r="CM10" s="1028">
        <f t="shared" si="49"/>
        <v>0</v>
      </c>
      <c r="CN10" s="1028">
        <f t="shared" si="50"/>
        <v>0</v>
      </c>
      <c r="CO10" s="1028">
        <f t="shared" si="51"/>
        <v>0</v>
      </c>
      <c r="CP10" s="1028">
        <f t="shared" si="52"/>
        <v>0</v>
      </c>
      <c r="CQ10" s="1028">
        <f t="shared" si="53"/>
        <v>0</v>
      </c>
      <c r="CR10" s="1028">
        <f t="shared" si="54"/>
        <v>0</v>
      </c>
      <c r="CS10" s="1028">
        <f t="shared" si="55"/>
        <v>0</v>
      </c>
      <c r="CT10" s="1028">
        <f t="shared" si="56"/>
        <v>0</v>
      </c>
      <c r="CU10" s="1028">
        <f t="shared" si="57"/>
        <v>0</v>
      </c>
      <c r="CV10" s="1028">
        <f t="shared" si="58"/>
        <v>0</v>
      </c>
      <c r="CW10" s="1028">
        <f t="shared" si="59"/>
        <v>0</v>
      </c>
      <c r="CX10" s="1028">
        <f t="shared" si="60"/>
        <v>0</v>
      </c>
      <c r="CY10" s="1028">
        <f t="shared" si="61"/>
        <v>0</v>
      </c>
      <c r="CZ10" s="1028">
        <f t="shared" si="62"/>
        <v>0</v>
      </c>
    </row>
    <row r="11" spans="1:104" ht="12.75" customHeight="1" x14ac:dyDescent="0.35">
      <c r="A11" s="1050">
        <v>0.3</v>
      </c>
      <c r="B11" s="1024">
        <f t="shared" si="12"/>
        <v>0</v>
      </c>
      <c r="C11" s="1025"/>
      <c r="D11" s="1026">
        <v>0</v>
      </c>
      <c r="E11" s="1026">
        <v>0</v>
      </c>
      <c r="F11" s="1026">
        <v>0</v>
      </c>
      <c r="G11" s="1026">
        <v>0</v>
      </c>
      <c r="H11" s="1026">
        <v>0</v>
      </c>
      <c r="I11" s="1026">
        <v>0</v>
      </c>
      <c r="J11" s="1026">
        <v>0</v>
      </c>
      <c r="K11" s="1026">
        <v>0</v>
      </c>
      <c r="L11" s="1026">
        <v>0</v>
      </c>
      <c r="M11" s="1026">
        <v>0</v>
      </c>
      <c r="N11" s="1026">
        <v>0</v>
      </c>
      <c r="O11" s="1026">
        <v>0</v>
      </c>
      <c r="P11" s="1026">
        <v>0</v>
      </c>
      <c r="Q11" s="1026">
        <v>0</v>
      </c>
      <c r="R11" s="1026">
        <v>0</v>
      </c>
      <c r="S11" s="1026">
        <v>0</v>
      </c>
      <c r="T11" s="1026">
        <v>0</v>
      </c>
      <c r="U11" s="1026">
        <v>0</v>
      </c>
      <c r="V11" s="1026">
        <v>0</v>
      </c>
      <c r="W11" s="1026">
        <v>0</v>
      </c>
      <c r="X11" s="1026">
        <v>0</v>
      </c>
      <c r="Y11" s="1026">
        <v>0</v>
      </c>
      <c r="Z11" s="1026">
        <v>0</v>
      </c>
      <c r="AA11" s="1026">
        <v>0</v>
      </c>
      <c r="AB11" s="1026">
        <v>0</v>
      </c>
      <c r="AC11" s="1026">
        <v>0</v>
      </c>
      <c r="AD11" s="1026">
        <v>0</v>
      </c>
      <c r="AE11" s="1026">
        <v>0</v>
      </c>
      <c r="AF11" s="1026">
        <v>0</v>
      </c>
      <c r="AG11" s="1026">
        <v>0</v>
      </c>
      <c r="AH11" s="1026">
        <v>0</v>
      </c>
      <c r="AI11" s="1026">
        <v>0</v>
      </c>
      <c r="AJ11" s="1026">
        <v>0</v>
      </c>
      <c r="AK11" s="1026">
        <v>0</v>
      </c>
      <c r="AL11" s="1026">
        <v>0</v>
      </c>
      <c r="AM11" s="1026">
        <v>0</v>
      </c>
      <c r="AN11" s="1026">
        <v>0</v>
      </c>
      <c r="AO11" s="1026">
        <v>0</v>
      </c>
      <c r="AP11" s="1026"/>
      <c r="AQ11" s="1026">
        <v>0</v>
      </c>
      <c r="AR11" s="1026">
        <v>0</v>
      </c>
      <c r="AS11" s="1026">
        <v>0</v>
      </c>
      <c r="AT11" s="1026">
        <v>0</v>
      </c>
      <c r="AU11" s="1026">
        <v>0</v>
      </c>
      <c r="AV11" s="1026">
        <v>0</v>
      </c>
      <c r="AW11" s="1026"/>
      <c r="AX11" s="1026"/>
      <c r="AY11" s="1026"/>
      <c r="AZ11" s="1026"/>
      <c r="BA11" s="1026"/>
      <c r="BB11" s="1027"/>
      <c r="BC11" s="1028">
        <f t="shared" si="63"/>
        <v>0</v>
      </c>
      <c r="BD11" s="1028">
        <f t="shared" si="63"/>
        <v>0</v>
      </c>
      <c r="BE11" s="1028">
        <f t="shared" si="63"/>
        <v>0</v>
      </c>
      <c r="BF11" s="1028">
        <f t="shared" si="63"/>
        <v>0</v>
      </c>
      <c r="BG11" s="1028">
        <f t="shared" si="63"/>
        <v>0</v>
      </c>
      <c r="BH11" s="1028">
        <f t="shared" si="63"/>
        <v>0</v>
      </c>
      <c r="BI11" s="1028">
        <f t="shared" si="19"/>
        <v>0</v>
      </c>
      <c r="BJ11" s="1028">
        <f t="shared" si="20"/>
        <v>0</v>
      </c>
      <c r="BK11" s="1028">
        <f t="shared" si="21"/>
        <v>0</v>
      </c>
      <c r="BL11" s="1028">
        <f t="shared" si="22"/>
        <v>0</v>
      </c>
      <c r="BM11" s="1028">
        <f t="shared" si="23"/>
        <v>0</v>
      </c>
      <c r="BN11" s="1028">
        <f t="shared" si="24"/>
        <v>0</v>
      </c>
      <c r="BO11" s="1028">
        <f t="shared" si="25"/>
        <v>0</v>
      </c>
      <c r="BP11" s="1028">
        <f t="shared" si="26"/>
        <v>0</v>
      </c>
      <c r="BQ11" s="1028">
        <f t="shared" si="27"/>
        <v>0</v>
      </c>
      <c r="BR11" s="1028">
        <f t="shared" si="28"/>
        <v>0</v>
      </c>
      <c r="BS11" s="1028">
        <f t="shared" si="29"/>
        <v>0</v>
      </c>
      <c r="BT11" s="1028">
        <f t="shared" si="30"/>
        <v>0</v>
      </c>
      <c r="BU11" s="1028">
        <f t="shared" si="31"/>
        <v>0</v>
      </c>
      <c r="BV11" s="1028">
        <f t="shared" si="32"/>
        <v>0</v>
      </c>
      <c r="BW11" s="1028">
        <f t="shared" si="33"/>
        <v>0</v>
      </c>
      <c r="BX11" s="1028">
        <f t="shared" si="34"/>
        <v>0</v>
      </c>
      <c r="BY11" s="1028">
        <f t="shared" si="35"/>
        <v>0</v>
      </c>
      <c r="BZ11" s="1028">
        <f t="shared" si="36"/>
        <v>0</v>
      </c>
      <c r="CA11" s="1028">
        <f t="shared" si="37"/>
        <v>0</v>
      </c>
      <c r="CB11" s="1028">
        <f t="shared" si="38"/>
        <v>0</v>
      </c>
      <c r="CC11" s="1028">
        <f t="shared" si="39"/>
        <v>0</v>
      </c>
      <c r="CD11" s="1028">
        <f t="shared" si="40"/>
        <v>0</v>
      </c>
      <c r="CE11" s="1028">
        <f t="shared" si="41"/>
        <v>0</v>
      </c>
      <c r="CF11" s="1028">
        <f t="shared" si="42"/>
        <v>0</v>
      </c>
      <c r="CG11" s="1028">
        <f t="shared" si="43"/>
        <v>0</v>
      </c>
      <c r="CH11" s="1028">
        <f t="shared" si="44"/>
        <v>0</v>
      </c>
      <c r="CI11" s="1028">
        <f t="shared" si="45"/>
        <v>0</v>
      </c>
      <c r="CJ11" s="1028">
        <f t="shared" si="46"/>
        <v>0</v>
      </c>
      <c r="CK11" s="1028">
        <f t="shared" si="47"/>
        <v>0</v>
      </c>
      <c r="CL11" s="1028">
        <f t="shared" si="48"/>
        <v>0</v>
      </c>
      <c r="CM11" s="1028">
        <f t="shared" si="49"/>
        <v>0</v>
      </c>
      <c r="CN11" s="1028">
        <f t="shared" si="50"/>
        <v>0</v>
      </c>
      <c r="CO11" s="1028">
        <f t="shared" si="51"/>
        <v>0</v>
      </c>
      <c r="CP11" s="1028">
        <f t="shared" si="52"/>
        <v>0</v>
      </c>
      <c r="CQ11" s="1028">
        <f t="shared" si="53"/>
        <v>0</v>
      </c>
      <c r="CR11" s="1028">
        <f t="shared" si="54"/>
        <v>0</v>
      </c>
      <c r="CS11" s="1028">
        <f t="shared" si="55"/>
        <v>0</v>
      </c>
      <c r="CT11" s="1028">
        <f t="shared" si="56"/>
        <v>0</v>
      </c>
      <c r="CU11" s="1028">
        <f t="shared" si="57"/>
        <v>0</v>
      </c>
      <c r="CV11" s="1028">
        <f t="shared" si="58"/>
        <v>0</v>
      </c>
      <c r="CW11" s="1028">
        <f t="shared" si="59"/>
        <v>0</v>
      </c>
      <c r="CX11" s="1028">
        <f t="shared" si="60"/>
        <v>0</v>
      </c>
      <c r="CY11" s="1028">
        <f t="shared" si="61"/>
        <v>0</v>
      </c>
      <c r="CZ11" s="1028">
        <f t="shared" si="62"/>
        <v>0</v>
      </c>
    </row>
    <row r="12" spans="1:104" ht="12.75" customHeight="1" x14ac:dyDescent="0.35">
      <c r="A12" s="1050">
        <v>0.28000000000000003</v>
      </c>
      <c r="B12" s="1024">
        <f t="shared" si="12"/>
        <v>0</v>
      </c>
      <c r="C12" s="1025"/>
      <c r="D12" s="1026">
        <v>0</v>
      </c>
      <c r="E12" s="1026">
        <v>0</v>
      </c>
      <c r="F12" s="1026">
        <v>0</v>
      </c>
      <c r="G12" s="1026">
        <v>0</v>
      </c>
      <c r="H12" s="1026">
        <v>0</v>
      </c>
      <c r="I12" s="1026">
        <v>0</v>
      </c>
      <c r="J12" s="1026">
        <v>0</v>
      </c>
      <c r="K12" s="1026">
        <v>0</v>
      </c>
      <c r="L12" s="1026">
        <v>0</v>
      </c>
      <c r="M12" s="1026">
        <v>0</v>
      </c>
      <c r="N12" s="1026">
        <v>0</v>
      </c>
      <c r="O12" s="1026">
        <v>0</v>
      </c>
      <c r="P12" s="1026">
        <v>0</v>
      </c>
      <c r="Q12" s="1026">
        <v>0</v>
      </c>
      <c r="R12" s="1026">
        <v>0</v>
      </c>
      <c r="S12" s="1026">
        <v>0</v>
      </c>
      <c r="T12" s="1026">
        <v>0</v>
      </c>
      <c r="U12" s="1026">
        <v>0</v>
      </c>
      <c r="V12" s="1026">
        <v>0</v>
      </c>
      <c r="W12" s="1026">
        <v>0</v>
      </c>
      <c r="X12" s="1026">
        <v>0</v>
      </c>
      <c r="Y12" s="1026">
        <v>0</v>
      </c>
      <c r="Z12" s="1026">
        <v>0</v>
      </c>
      <c r="AA12" s="1026">
        <v>0</v>
      </c>
      <c r="AB12" s="1026">
        <v>0</v>
      </c>
      <c r="AC12" s="1026">
        <v>0</v>
      </c>
      <c r="AD12" s="1026">
        <v>0</v>
      </c>
      <c r="AE12" s="1026">
        <v>0</v>
      </c>
      <c r="AF12" s="1026">
        <v>0</v>
      </c>
      <c r="AG12" s="1026">
        <v>0</v>
      </c>
      <c r="AH12" s="1026">
        <v>0</v>
      </c>
      <c r="AI12" s="1026">
        <v>0</v>
      </c>
      <c r="AJ12" s="1026">
        <v>0</v>
      </c>
      <c r="AK12" s="1026">
        <v>0</v>
      </c>
      <c r="AL12" s="1026">
        <v>0</v>
      </c>
      <c r="AM12" s="1026">
        <v>0</v>
      </c>
      <c r="AN12" s="1026">
        <v>0</v>
      </c>
      <c r="AO12" s="1026">
        <v>0</v>
      </c>
      <c r="AP12" s="1026"/>
      <c r="AQ12" s="1026">
        <v>0</v>
      </c>
      <c r="AR12" s="1026">
        <v>0</v>
      </c>
      <c r="AS12" s="1026">
        <v>0</v>
      </c>
      <c r="AT12" s="1026">
        <v>0</v>
      </c>
      <c r="AU12" s="1026">
        <v>0</v>
      </c>
      <c r="AV12" s="1026">
        <v>0</v>
      </c>
      <c r="AW12" s="1026"/>
      <c r="AX12" s="1026"/>
      <c r="AY12" s="1026"/>
      <c r="AZ12" s="1026"/>
      <c r="BA12" s="1026"/>
      <c r="BB12" s="1027"/>
      <c r="BC12" s="1028">
        <f t="shared" si="63"/>
        <v>0</v>
      </c>
      <c r="BD12" s="1028">
        <f t="shared" si="63"/>
        <v>0</v>
      </c>
      <c r="BE12" s="1028">
        <f t="shared" si="63"/>
        <v>0</v>
      </c>
      <c r="BF12" s="1028">
        <f t="shared" si="63"/>
        <v>0</v>
      </c>
      <c r="BG12" s="1028">
        <f t="shared" si="63"/>
        <v>0</v>
      </c>
      <c r="BH12" s="1028">
        <f t="shared" si="63"/>
        <v>0</v>
      </c>
      <c r="BI12" s="1028">
        <f t="shared" si="19"/>
        <v>0</v>
      </c>
      <c r="BJ12" s="1028">
        <f t="shared" si="20"/>
        <v>0</v>
      </c>
      <c r="BK12" s="1028">
        <f t="shared" si="21"/>
        <v>0</v>
      </c>
      <c r="BL12" s="1028">
        <f t="shared" si="22"/>
        <v>0</v>
      </c>
      <c r="BM12" s="1028">
        <f t="shared" si="23"/>
        <v>0</v>
      </c>
      <c r="BN12" s="1028">
        <f t="shared" si="24"/>
        <v>0</v>
      </c>
      <c r="BO12" s="1028">
        <f t="shared" si="25"/>
        <v>0</v>
      </c>
      <c r="BP12" s="1028">
        <f t="shared" si="26"/>
        <v>0</v>
      </c>
      <c r="BQ12" s="1028">
        <f t="shared" si="27"/>
        <v>0</v>
      </c>
      <c r="BR12" s="1028">
        <f t="shared" si="28"/>
        <v>0</v>
      </c>
      <c r="BS12" s="1028">
        <f t="shared" si="29"/>
        <v>0</v>
      </c>
      <c r="BT12" s="1028">
        <f t="shared" si="30"/>
        <v>0</v>
      </c>
      <c r="BU12" s="1028">
        <f t="shared" si="31"/>
        <v>0</v>
      </c>
      <c r="BV12" s="1028">
        <f t="shared" si="32"/>
        <v>0</v>
      </c>
      <c r="BW12" s="1028">
        <f t="shared" si="33"/>
        <v>0</v>
      </c>
      <c r="BX12" s="1028">
        <f t="shared" si="34"/>
        <v>0</v>
      </c>
      <c r="BY12" s="1028">
        <f t="shared" si="35"/>
        <v>0</v>
      </c>
      <c r="BZ12" s="1028">
        <f t="shared" si="36"/>
        <v>0</v>
      </c>
      <c r="CA12" s="1028">
        <f t="shared" si="37"/>
        <v>0</v>
      </c>
      <c r="CB12" s="1028">
        <f t="shared" si="38"/>
        <v>0</v>
      </c>
      <c r="CC12" s="1028">
        <f t="shared" si="39"/>
        <v>0</v>
      </c>
      <c r="CD12" s="1028">
        <f t="shared" si="40"/>
        <v>0</v>
      </c>
      <c r="CE12" s="1028">
        <f t="shared" si="41"/>
        <v>0</v>
      </c>
      <c r="CF12" s="1028">
        <f t="shared" si="42"/>
        <v>0</v>
      </c>
      <c r="CG12" s="1028">
        <f t="shared" si="43"/>
        <v>0</v>
      </c>
      <c r="CH12" s="1028">
        <f t="shared" si="44"/>
        <v>0</v>
      </c>
      <c r="CI12" s="1028">
        <f t="shared" si="45"/>
        <v>0</v>
      </c>
      <c r="CJ12" s="1028">
        <f t="shared" si="46"/>
        <v>0</v>
      </c>
      <c r="CK12" s="1028">
        <f t="shared" si="47"/>
        <v>0</v>
      </c>
      <c r="CL12" s="1028">
        <f t="shared" si="48"/>
        <v>0</v>
      </c>
      <c r="CM12" s="1028">
        <f t="shared" si="49"/>
        <v>0</v>
      </c>
      <c r="CN12" s="1028">
        <f t="shared" si="50"/>
        <v>0</v>
      </c>
      <c r="CO12" s="1028">
        <f t="shared" si="51"/>
        <v>0</v>
      </c>
      <c r="CP12" s="1028">
        <f t="shared" si="52"/>
        <v>0</v>
      </c>
      <c r="CQ12" s="1028">
        <f t="shared" si="53"/>
        <v>0</v>
      </c>
      <c r="CR12" s="1028">
        <f t="shared" si="54"/>
        <v>0</v>
      </c>
      <c r="CS12" s="1028">
        <f t="shared" si="55"/>
        <v>0</v>
      </c>
      <c r="CT12" s="1028">
        <f t="shared" si="56"/>
        <v>0</v>
      </c>
      <c r="CU12" s="1028">
        <f t="shared" si="57"/>
        <v>0</v>
      </c>
      <c r="CV12" s="1028">
        <f t="shared" si="58"/>
        <v>0</v>
      </c>
      <c r="CW12" s="1028">
        <f t="shared" si="59"/>
        <v>0</v>
      </c>
      <c r="CX12" s="1028">
        <f t="shared" si="60"/>
        <v>0</v>
      </c>
      <c r="CY12" s="1028">
        <f t="shared" si="61"/>
        <v>0</v>
      </c>
      <c r="CZ12" s="1028">
        <f t="shared" si="62"/>
        <v>0</v>
      </c>
    </row>
    <row r="13" spans="1:104" ht="12.75" customHeight="1" x14ac:dyDescent="0.35">
      <c r="A13" s="301" t="s">
        <v>708</v>
      </c>
      <c r="B13" s="1024">
        <f t="shared" si="12"/>
        <v>0</v>
      </c>
      <c r="C13" s="1025"/>
      <c r="D13" s="1026">
        <v>0</v>
      </c>
      <c r="E13" s="1026">
        <v>0</v>
      </c>
      <c r="F13" s="1026">
        <v>0</v>
      </c>
      <c r="G13" s="1026">
        <v>0</v>
      </c>
      <c r="H13" s="1026">
        <v>0</v>
      </c>
      <c r="I13" s="1026">
        <v>0</v>
      </c>
      <c r="J13" s="1026">
        <v>0</v>
      </c>
      <c r="K13" s="1026">
        <v>0</v>
      </c>
      <c r="L13" s="1026">
        <v>0</v>
      </c>
      <c r="M13" s="1026">
        <v>0</v>
      </c>
      <c r="N13" s="1026">
        <v>0</v>
      </c>
      <c r="O13" s="1026">
        <v>0</v>
      </c>
      <c r="P13" s="1026">
        <v>0</v>
      </c>
      <c r="Q13" s="1026">
        <v>0</v>
      </c>
      <c r="R13" s="1026">
        <v>0</v>
      </c>
      <c r="S13" s="1026">
        <v>0</v>
      </c>
      <c r="T13" s="1026">
        <v>0</v>
      </c>
      <c r="U13" s="1026">
        <v>0</v>
      </c>
      <c r="V13" s="1026">
        <v>0</v>
      </c>
      <c r="W13" s="1026">
        <v>0</v>
      </c>
      <c r="X13" s="1026">
        <v>0</v>
      </c>
      <c r="Y13" s="1026">
        <v>0</v>
      </c>
      <c r="Z13" s="1026">
        <v>0</v>
      </c>
      <c r="AA13" s="1026">
        <v>0</v>
      </c>
      <c r="AB13" s="1026">
        <v>0</v>
      </c>
      <c r="AC13" s="1026">
        <v>0</v>
      </c>
      <c r="AD13" s="1026">
        <v>0</v>
      </c>
      <c r="AE13" s="1026">
        <v>0</v>
      </c>
      <c r="AF13" s="1026">
        <v>0</v>
      </c>
      <c r="AG13" s="1026">
        <v>0</v>
      </c>
      <c r="AH13" s="1026">
        <v>0</v>
      </c>
      <c r="AI13" s="1026">
        <v>75</v>
      </c>
      <c r="AJ13" s="1026">
        <v>75</v>
      </c>
      <c r="AK13" s="1026">
        <v>50</v>
      </c>
      <c r="AL13" s="1026">
        <v>0</v>
      </c>
      <c r="AM13" s="1026">
        <v>0</v>
      </c>
      <c r="AN13" s="1026">
        <v>0</v>
      </c>
      <c r="AO13" s="1026">
        <v>30</v>
      </c>
      <c r="AP13" s="1026"/>
      <c r="AQ13" s="1026">
        <v>0</v>
      </c>
      <c r="AR13" s="1026">
        <v>0</v>
      </c>
      <c r="AS13" s="1026">
        <v>0</v>
      </c>
      <c r="AT13" s="1026">
        <v>0</v>
      </c>
      <c r="AU13" s="1026">
        <v>0</v>
      </c>
      <c r="AV13" s="1026">
        <v>0</v>
      </c>
      <c r="AW13" s="1026"/>
      <c r="AX13" s="1026"/>
      <c r="AY13" s="1026"/>
      <c r="AZ13" s="1026"/>
      <c r="BA13" s="1026"/>
      <c r="BB13" s="1027"/>
      <c r="BC13" s="1028">
        <f t="shared" si="63"/>
        <v>0</v>
      </c>
      <c r="BD13" s="1028">
        <f t="shared" si="63"/>
        <v>0</v>
      </c>
      <c r="BE13" s="1028">
        <f t="shared" si="63"/>
        <v>0</v>
      </c>
      <c r="BF13" s="1028">
        <f t="shared" si="63"/>
        <v>0</v>
      </c>
      <c r="BG13" s="1028">
        <f t="shared" si="63"/>
        <v>0</v>
      </c>
      <c r="BH13" s="1028">
        <f t="shared" si="63"/>
        <v>0</v>
      </c>
      <c r="BI13" s="1028">
        <f t="shared" si="19"/>
        <v>0</v>
      </c>
      <c r="BJ13" s="1028">
        <f t="shared" si="20"/>
        <v>0</v>
      </c>
      <c r="BK13" s="1028">
        <f t="shared" si="21"/>
        <v>0</v>
      </c>
      <c r="BL13" s="1028">
        <f t="shared" si="22"/>
        <v>0</v>
      </c>
      <c r="BM13" s="1028">
        <f t="shared" si="23"/>
        <v>0</v>
      </c>
      <c r="BN13" s="1028">
        <f t="shared" si="24"/>
        <v>0</v>
      </c>
      <c r="BO13" s="1028">
        <f t="shared" si="25"/>
        <v>0</v>
      </c>
      <c r="BP13" s="1028">
        <f t="shared" si="26"/>
        <v>0</v>
      </c>
      <c r="BQ13" s="1028">
        <f t="shared" si="27"/>
        <v>0</v>
      </c>
      <c r="BR13" s="1028">
        <f t="shared" si="28"/>
        <v>0</v>
      </c>
      <c r="BS13" s="1028">
        <f t="shared" si="29"/>
        <v>0</v>
      </c>
      <c r="BT13" s="1028">
        <f t="shared" si="30"/>
        <v>0</v>
      </c>
      <c r="BU13" s="1028">
        <f t="shared" si="31"/>
        <v>0</v>
      </c>
      <c r="BV13" s="1028">
        <f t="shared" si="32"/>
        <v>0</v>
      </c>
      <c r="BW13" s="1028">
        <f t="shared" si="33"/>
        <v>0</v>
      </c>
      <c r="BX13" s="1028">
        <f t="shared" si="34"/>
        <v>0</v>
      </c>
      <c r="BY13" s="1028">
        <f t="shared" si="35"/>
        <v>0</v>
      </c>
      <c r="BZ13" s="1028">
        <f t="shared" si="36"/>
        <v>0</v>
      </c>
      <c r="CA13" s="1028">
        <f t="shared" si="37"/>
        <v>0</v>
      </c>
      <c r="CB13" s="1028">
        <f t="shared" si="38"/>
        <v>0</v>
      </c>
      <c r="CC13" s="1028">
        <f t="shared" si="39"/>
        <v>0</v>
      </c>
      <c r="CD13" s="1028">
        <f t="shared" si="40"/>
        <v>0</v>
      </c>
      <c r="CE13" s="1028">
        <f t="shared" si="41"/>
        <v>0</v>
      </c>
      <c r="CF13" s="1028">
        <f t="shared" si="42"/>
        <v>0</v>
      </c>
      <c r="CG13" s="1028">
        <f t="shared" si="43"/>
        <v>0</v>
      </c>
      <c r="CH13" s="1028">
        <f t="shared" si="44"/>
        <v>0</v>
      </c>
      <c r="CI13" s="1028">
        <f t="shared" si="45"/>
        <v>0</v>
      </c>
      <c r="CJ13" s="1028">
        <f t="shared" si="46"/>
        <v>0</v>
      </c>
      <c r="CK13" s="1028">
        <f t="shared" si="47"/>
        <v>0</v>
      </c>
      <c r="CL13" s="1028">
        <f t="shared" si="48"/>
        <v>0</v>
      </c>
      <c r="CM13" s="1028">
        <f t="shared" si="49"/>
        <v>0</v>
      </c>
      <c r="CN13" s="1028">
        <f t="shared" si="50"/>
        <v>0</v>
      </c>
      <c r="CO13" s="1028">
        <f t="shared" si="51"/>
        <v>0</v>
      </c>
      <c r="CP13" s="1028">
        <f t="shared" si="52"/>
        <v>0</v>
      </c>
      <c r="CQ13" s="1028">
        <f t="shared" si="53"/>
        <v>0</v>
      </c>
      <c r="CR13" s="1028">
        <f t="shared" si="54"/>
        <v>0</v>
      </c>
      <c r="CS13" s="1028">
        <f t="shared" si="55"/>
        <v>0</v>
      </c>
      <c r="CT13" s="1028">
        <f t="shared" si="56"/>
        <v>0</v>
      </c>
      <c r="CU13" s="1028">
        <f t="shared" si="57"/>
        <v>0</v>
      </c>
      <c r="CV13" s="1028">
        <f t="shared" si="58"/>
        <v>0</v>
      </c>
      <c r="CW13" s="1028">
        <f t="shared" si="59"/>
        <v>0</v>
      </c>
      <c r="CX13" s="1028">
        <f t="shared" si="60"/>
        <v>0</v>
      </c>
      <c r="CY13" s="1028">
        <f t="shared" si="61"/>
        <v>0</v>
      </c>
      <c r="CZ13" s="1028">
        <f t="shared" si="62"/>
        <v>0</v>
      </c>
    </row>
    <row r="14" spans="1:104" ht="12.75" customHeight="1" x14ac:dyDescent="0.35">
      <c r="A14" s="301" t="str">
        <f>Program_Variables!C7</f>
        <v>Phosphate (0-46-0)</v>
      </c>
      <c r="B14" s="1024">
        <f t="shared" si="12"/>
        <v>150</v>
      </c>
      <c r="C14" s="1025"/>
      <c r="D14" s="1026">
        <v>175</v>
      </c>
      <c r="E14" s="1026">
        <v>175</v>
      </c>
      <c r="F14" s="1026">
        <v>150</v>
      </c>
      <c r="G14" s="1026">
        <v>100</v>
      </c>
      <c r="H14" s="1026">
        <v>100</v>
      </c>
      <c r="I14" s="1026">
        <v>75</v>
      </c>
      <c r="J14" s="1026">
        <v>100</v>
      </c>
      <c r="K14" s="1026">
        <v>100</v>
      </c>
      <c r="L14" s="1026">
        <v>75</v>
      </c>
      <c r="M14" s="1026">
        <v>100</v>
      </c>
      <c r="N14" s="1026">
        <v>150</v>
      </c>
      <c r="O14" s="1026">
        <v>150</v>
      </c>
      <c r="P14" s="1026">
        <v>110</v>
      </c>
      <c r="Q14" s="1026">
        <v>87</v>
      </c>
      <c r="R14" s="1026">
        <v>87</v>
      </c>
      <c r="S14" s="1026">
        <v>87</v>
      </c>
      <c r="T14" s="1026">
        <v>87</v>
      </c>
      <c r="U14" s="1026">
        <v>0</v>
      </c>
      <c r="V14" s="1026">
        <v>90</v>
      </c>
      <c r="W14" s="1026">
        <v>90</v>
      </c>
      <c r="X14" s="1026">
        <v>90</v>
      </c>
      <c r="Y14" s="1026">
        <v>90</v>
      </c>
      <c r="Z14" s="1026">
        <v>90</v>
      </c>
      <c r="AA14" s="1026">
        <v>90</v>
      </c>
      <c r="AB14" s="1026">
        <v>90</v>
      </c>
      <c r="AC14" s="1026">
        <v>90</v>
      </c>
      <c r="AD14" s="1026">
        <v>90</v>
      </c>
      <c r="AE14" s="1026">
        <v>150</v>
      </c>
      <c r="AF14" s="1026">
        <v>65</v>
      </c>
      <c r="AG14" s="1026">
        <v>65</v>
      </c>
      <c r="AH14" s="1026">
        <v>65</v>
      </c>
      <c r="AI14" s="1026">
        <v>175</v>
      </c>
      <c r="AJ14" s="1026">
        <v>175</v>
      </c>
      <c r="AK14" s="1026">
        <v>150</v>
      </c>
      <c r="AL14" s="1026">
        <v>90</v>
      </c>
      <c r="AM14" s="1026">
        <v>90</v>
      </c>
      <c r="AN14" s="1026">
        <v>90</v>
      </c>
      <c r="AO14" s="1026">
        <v>0</v>
      </c>
      <c r="AP14" s="1026"/>
      <c r="AQ14" s="1026">
        <v>87</v>
      </c>
      <c r="AR14" s="1026">
        <v>87</v>
      </c>
      <c r="AS14" s="1026">
        <v>87</v>
      </c>
      <c r="AT14" s="1026">
        <v>87</v>
      </c>
      <c r="AU14" s="1026">
        <v>87</v>
      </c>
      <c r="AV14" s="1026">
        <v>87</v>
      </c>
      <c r="AW14" s="1026"/>
      <c r="AX14" s="1026"/>
      <c r="AY14" s="1026"/>
      <c r="AZ14" s="1026"/>
      <c r="BA14" s="1026"/>
      <c r="BB14" s="1027"/>
      <c r="BC14" s="1028">
        <f t="shared" si="13"/>
        <v>0</v>
      </c>
      <c r="BD14" s="1028">
        <f t="shared" si="14"/>
        <v>0</v>
      </c>
      <c r="BE14" s="1028">
        <f t="shared" si="15"/>
        <v>0</v>
      </c>
      <c r="BF14" s="1028">
        <f t="shared" si="16"/>
        <v>0</v>
      </c>
      <c r="BG14" s="1028">
        <f t="shared" si="17"/>
        <v>0</v>
      </c>
      <c r="BH14" s="1028">
        <f t="shared" si="18"/>
        <v>0</v>
      </c>
      <c r="BI14" s="1028">
        <f t="shared" si="19"/>
        <v>0</v>
      </c>
      <c r="BJ14" s="1028">
        <f t="shared" si="20"/>
        <v>0</v>
      </c>
      <c r="BK14" s="1028">
        <f t="shared" si="21"/>
        <v>0</v>
      </c>
      <c r="BL14" s="1028">
        <f t="shared" si="22"/>
        <v>0</v>
      </c>
      <c r="BM14" s="1028">
        <f t="shared" si="23"/>
        <v>150</v>
      </c>
      <c r="BN14" s="1028">
        <f t="shared" si="24"/>
        <v>0</v>
      </c>
      <c r="BO14" s="1028">
        <f t="shared" si="25"/>
        <v>0</v>
      </c>
      <c r="BP14" s="1028">
        <f t="shared" si="26"/>
        <v>0</v>
      </c>
      <c r="BQ14" s="1028">
        <f t="shared" si="27"/>
        <v>0</v>
      </c>
      <c r="BR14" s="1028">
        <f t="shared" si="28"/>
        <v>0</v>
      </c>
      <c r="BS14" s="1028">
        <f t="shared" si="29"/>
        <v>0</v>
      </c>
      <c r="BT14" s="1028">
        <f t="shared" si="30"/>
        <v>0</v>
      </c>
      <c r="BU14" s="1028">
        <f t="shared" si="31"/>
        <v>0</v>
      </c>
      <c r="BV14" s="1028">
        <f t="shared" si="32"/>
        <v>0</v>
      </c>
      <c r="BW14" s="1028">
        <f t="shared" si="33"/>
        <v>0</v>
      </c>
      <c r="BX14" s="1028">
        <f t="shared" si="34"/>
        <v>0</v>
      </c>
      <c r="BY14" s="1028">
        <f t="shared" si="35"/>
        <v>0</v>
      </c>
      <c r="BZ14" s="1028">
        <f t="shared" si="36"/>
        <v>0</v>
      </c>
      <c r="CA14" s="1028">
        <f t="shared" si="37"/>
        <v>0</v>
      </c>
      <c r="CB14" s="1028">
        <f t="shared" si="38"/>
        <v>0</v>
      </c>
      <c r="CC14" s="1028">
        <f t="shared" si="39"/>
        <v>0</v>
      </c>
      <c r="CD14" s="1028">
        <f t="shared" si="40"/>
        <v>0</v>
      </c>
      <c r="CE14" s="1028">
        <f t="shared" si="41"/>
        <v>0</v>
      </c>
      <c r="CF14" s="1028">
        <f t="shared" si="42"/>
        <v>0</v>
      </c>
      <c r="CG14" s="1028">
        <f t="shared" si="43"/>
        <v>0</v>
      </c>
      <c r="CH14" s="1028">
        <f t="shared" si="44"/>
        <v>0</v>
      </c>
      <c r="CI14" s="1028">
        <f t="shared" si="45"/>
        <v>0</v>
      </c>
      <c r="CJ14" s="1028">
        <f t="shared" si="46"/>
        <v>0</v>
      </c>
      <c r="CK14" s="1028">
        <f t="shared" si="47"/>
        <v>0</v>
      </c>
      <c r="CL14" s="1028">
        <f t="shared" si="48"/>
        <v>0</v>
      </c>
      <c r="CM14" s="1028">
        <f t="shared" si="49"/>
        <v>0</v>
      </c>
      <c r="CN14" s="1028">
        <f t="shared" si="50"/>
        <v>0</v>
      </c>
      <c r="CO14" s="1028">
        <f t="shared" si="51"/>
        <v>0</v>
      </c>
      <c r="CP14" s="1028">
        <f t="shared" si="52"/>
        <v>0</v>
      </c>
      <c r="CQ14" s="1028">
        <f t="shared" si="53"/>
        <v>0</v>
      </c>
      <c r="CR14" s="1028">
        <f t="shared" si="54"/>
        <v>0</v>
      </c>
      <c r="CS14" s="1028">
        <f t="shared" si="55"/>
        <v>0</v>
      </c>
      <c r="CT14" s="1028">
        <f t="shared" si="56"/>
        <v>0</v>
      </c>
      <c r="CU14" s="1028">
        <f t="shared" si="57"/>
        <v>0</v>
      </c>
      <c r="CV14" s="1028">
        <f t="shared" si="58"/>
        <v>0</v>
      </c>
      <c r="CW14" s="1028">
        <f t="shared" si="59"/>
        <v>0</v>
      </c>
      <c r="CX14" s="1028">
        <f t="shared" si="60"/>
        <v>0</v>
      </c>
      <c r="CY14" s="1028">
        <f t="shared" si="61"/>
        <v>0</v>
      </c>
      <c r="CZ14" s="1028">
        <f t="shared" si="62"/>
        <v>0</v>
      </c>
    </row>
    <row r="15" spans="1:104" ht="12.75" customHeight="1" x14ac:dyDescent="0.35">
      <c r="A15" s="301" t="str">
        <f>Program_Variables!C8</f>
        <v>Potash (0-0-60)</v>
      </c>
      <c r="B15" s="1024">
        <f t="shared" si="12"/>
        <v>120</v>
      </c>
      <c r="C15" s="1025"/>
      <c r="D15" s="1026">
        <v>130</v>
      </c>
      <c r="E15" s="1026">
        <v>130</v>
      </c>
      <c r="F15" s="1026">
        <v>120</v>
      </c>
      <c r="G15" s="1026">
        <v>100</v>
      </c>
      <c r="H15" s="1026">
        <v>100</v>
      </c>
      <c r="I15" s="1026">
        <v>75</v>
      </c>
      <c r="J15" s="1026">
        <v>100</v>
      </c>
      <c r="K15" s="1026">
        <v>100</v>
      </c>
      <c r="L15" s="1026">
        <v>75</v>
      </c>
      <c r="M15" s="1026">
        <v>100</v>
      </c>
      <c r="N15" s="1026">
        <v>120</v>
      </c>
      <c r="O15" s="1026">
        <v>120</v>
      </c>
      <c r="P15" s="1026">
        <v>100</v>
      </c>
      <c r="Q15" s="1026">
        <v>100</v>
      </c>
      <c r="R15" s="1026">
        <v>100</v>
      </c>
      <c r="S15" s="1026">
        <v>100</v>
      </c>
      <c r="T15" s="1026">
        <v>100</v>
      </c>
      <c r="U15" s="1026">
        <v>0</v>
      </c>
      <c r="V15" s="1026">
        <v>100</v>
      </c>
      <c r="W15" s="1026">
        <v>100</v>
      </c>
      <c r="X15" s="1026">
        <v>100</v>
      </c>
      <c r="Y15" s="1026">
        <v>100</v>
      </c>
      <c r="Z15" s="1026">
        <v>100</v>
      </c>
      <c r="AA15" s="1026">
        <v>100</v>
      </c>
      <c r="AB15" s="1026">
        <v>100</v>
      </c>
      <c r="AC15" s="1026">
        <v>100</v>
      </c>
      <c r="AD15" s="1026">
        <v>100</v>
      </c>
      <c r="AE15" s="1026">
        <v>100</v>
      </c>
      <c r="AF15" s="1026">
        <v>85</v>
      </c>
      <c r="AG15" s="1026">
        <v>85</v>
      </c>
      <c r="AH15" s="1026">
        <v>85</v>
      </c>
      <c r="AI15" s="1026">
        <v>130</v>
      </c>
      <c r="AJ15" s="1026">
        <v>130</v>
      </c>
      <c r="AK15" s="1026">
        <v>120</v>
      </c>
      <c r="AL15" s="1026">
        <v>100</v>
      </c>
      <c r="AM15" s="1026">
        <v>100</v>
      </c>
      <c r="AN15" s="1026">
        <v>100</v>
      </c>
      <c r="AO15" s="1026">
        <v>100</v>
      </c>
      <c r="AP15" s="1026"/>
      <c r="AQ15" s="1026">
        <v>100</v>
      </c>
      <c r="AR15" s="1026">
        <v>100</v>
      </c>
      <c r="AS15" s="1026">
        <v>100</v>
      </c>
      <c r="AT15" s="1026">
        <v>100</v>
      </c>
      <c r="AU15" s="1026">
        <v>100</v>
      </c>
      <c r="AV15" s="1026">
        <v>100</v>
      </c>
      <c r="AW15" s="1026"/>
      <c r="AX15" s="1026"/>
      <c r="AY15" s="1026"/>
      <c r="AZ15" s="1026"/>
      <c r="BA15" s="1026"/>
      <c r="BB15" s="1027"/>
      <c r="BC15" s="1028">
        <f t="shared" si="13"/>
        <v>0</v>
      </c>
      <c r="BD15" s="1028">
        <f t="shared" si="14"/>
        <v>0</v>
      </c>
      <c r="BE15" s="1028">
        <f t="shared" si="15"/>
        <v>0</v>
      </c>
      <c r="BF15" s="1028">
        <f t="shared" si="16"/>
        <v>0</v>
      </c>
      <c r="BG15" s="1028">
        <f t="shared" si="17"/>
        <v>0</v>
      </c>
      <c r="BH15" s="1028">
        <f t="shared" si="18"/>
        <v>0</v>
      </c>
      <c r="BI15" s="1028">
        <f t="shared" si="19"/>
        <v>0</v>
      </c>
      <c r="BJ15" s="1028">
        <f t="shared" si="20"/>
        <v>0</v>
      </c>
      <c r="BK15" s="1028">
        <f t="shared" si="21"/>
        <v>0</v>
      </c>
      <c r="BL15" s="1028">
        <f t="shared" si="22"/>
        <v>0</v>
      </c>
      <c r="BM15" s="1028">
        <f t="shared" si="23"/>
        <v>120</v>
      </c>
      <c r="BN15" s="1028">
        <f t="shared" si="24"/>
        <v>0</v>
      </c>
      <c r="BO15" s="1028">
        <f t="shared" si="25"/>
        <v>0</v>
      </c>
      <c r="BP15" s="1028">
        <f t="shared" si="26"/>
        <v>0</v>
      </c>
      <c r="BQ15" s="1028">
        <f t="shared" si="27"/>
        <v>0</v>
      </c>
      <c r="BR15" s="1028">
        <f t="shared" si="28"/>
        <v>0</v>
      </c>
      <c r="BS15" s="1028">
        <f t="shared" si="29"/>
        <v>0</v>
      </c>
      <c r="BT15" s="1028">
        <f t="shared" si="30"/>
        <v>0</v>
      </c>
      <c r="BU15" s="1028">
        <f t="shared" si="31"/>
        <v>0</v>
      </c>
      <c r="BV15" s="1028">
        <f t="shared" si="32"/>
        <v>0</v>
      </c>
      <c r="BW15" s="1028">
        <f t="shared" si="33"/>
        <v>0</v>
      </c>
      <c r="BX15" s="1028">
        <f t="shared" si="34"/>
        <v>0</v>
      </c>
      <c r="BY15" s="1028">
        <f t="shared" si="35"/>
        <v>0</v>
      </c>
      <c r="BZ15" s="1028">
        <f t="shared" si="36"/>
        <v>0</v>
      </c>
      <c r="CA15" s="1028">
        <f t="shared" si="37"/>
        <v>0</v>
      </c>
      <c r="CB15" s="1028">
        <f t="shared" si="38"/>
        <v>0</v>
      </c>
      <c r="CC15" s="1028">
        <f t="shared" si="39"/>
        <v>0</v>
      </c>
      <c r="CD15" s="1028">
        <f t="shared" si="40"/>
        <v>0</v>
      </c>
      <c r="CE15" s="1028">
        <f t="shared" si="41"/>
        <v>0</v>
      </c>
      <c r="CF15" s="1028">
        <f t="shared" si="42"/>
        <v>0</v>
      </c>
      <c r="CG15" s="1028">
        <f t="shared" si="43"/>
        <v>0</v>
      </c>
      <c r="CH15" s="1028">
        <f t="shared" si="44"/>
        <v>0</v>
      </c>
      <c r="CI15" s="1028">
        <f t="shared" si="45"/>
        <v>0</v>
      </c>
      <c r="CJ15" s="1028">
        <f t="shared" si="46"/>
        <v>0</v>
      </c>
      <c r="CK15" s="1028">
        <f t="shared" si="47"/>
        <v>0</v>
      </c>
      <c r="CL15" s="1028">
        <f t="shared" si="48"/>
        <v>0</v>
      </c>
      <c r="CM15" s="1028">
        <f t="shared" si="49"/>
        <v>0</v>
      </c>
      <c r="CN15" s="1028">
        <f t="shared" si="50"/>
        <v>0</v>
      </c>
      <c r="CO15" s="1028">
        <f t="shared" si="51"/>
        <v>0</v>
      </c>
      <c r="CP15" s="1028">
        <f t="shared" si="52"/>
        <v>0</v>
      </c>
      <c r="CQ15" s="1028">
        <f t="shared" si="53"/>
        <v>0</v>
      </c>
      <c r="CR15" s="1028">
        <f t="shared" si="54"/>
        <v>0</v>
      </c>
      <c r="CS15" s="1028">
        <f t="shared" si="55"/>
        <v>0</v>
      </c>
      <c r="CT15" s="1028">
        <f t="shared" si="56"/>
        <v>0</v>
      </c>
      <c r="CU15" s="1028">
        <f t="shared" si="57"/>
        <v>0</v>
      </c>
      <c r="CV15" s="1028">
        <f t="shared" si="58"/>
        <v>0</v>
      </c>
      <c r="CW15" s="1028">
        <f t="shared" si="59"/>
        <v>0</v>
      </c>
      <c r="CX15" s="1028">
        <f t="shared" si="60"/>
        <v>0</v>
      </c>
      <c r="CY15" s="1028">
        <f t="shared" si="61"/>
        <v>0</v>
      </c>
      <c r="CZ15" s="1028">
        <f t="shared" si="62"/>
        <v>0</v>
      </c>
    </row>
    <row r="16" spans="1:104" ht="12.75" customHeight="1" x14ac:dyDescent="0.35">
      <c r="A16" s="301" t="str">
        <f>Program_Variables!C9</f>
        <v>Ammonium Sulfate (21-0-0-24)</v>
      </c>
      <c r="B16" s="1024">
        <f t="shared" si="12"/>
        <v>0</v>
      </c>
      <c r="C16" s="1025"/>
      <c r="D16" s="1026">
        <v>100</v>
      </c>
      <c r="E16" s="1026">
        <v>100</v>
      </c>
      <c r="F16" s="1026">
        <v>100</v>
      </c>
      <c r="G16" s="1026">
        <v>50</v>
      </c>
      <c r="H16" s="1026">
        <v>50</v>
      </c>
      <c r="I16" s="1026">
        <v>0</v>
      </c>
      <c r="J16" s="1026">
        <v>50</v>
      </c>
      <c r="K16" s="1026">
        <v>50</v>
      </c>
      <c r="L16" s="1026">
        <v>0</v>
      </c>
      <c r="M16" s="1026">
        <v>50</v>
      </c>
      <c r="N16" s="1026">
        <v>0</v>
      </c>
      <c r="O16" s="1026">
        <v>0</v>
      </c>
      <c r="P16" s="1026">
        <v>0</v>
      </c>
      <c r="Q16" s="1026">
        <v>0</v>
      </c>
      <c r="R16" s="1026">
        <v>0</v>
      </c>
      <c r="S16" s="1026">
        <v>0</v>
      </c>
      <c r="T16" s="1026">
        <v>0</v>
      </c>
      <c r="U16" s="1026">
        <v>0</v>
      </c>
      <c r="V16" s="1026">
        <v>0</v>
      </c>
      <c r="W16" s="1026">
        <v>0</v>
      </c>
      <c r="X16" s="1026">
        <v>0</v>
      </c>
      <c r="Y16" s="1026">
        <v>0</v>
      </c>
      <c r="Z16" s="1026">
        <v>0</v>
      </c>
      <c r="AA16" s="1026">
        <v>0</v>
      </c>
      <c r="AB16" s="1026">
        <v>0</v>
      </c>
      <c r="AC16" s="1026">
        <v>0</v>
      </c>
      <c r="AD16" s="1026">
        <v>0</v>
      </c>
      <c r="AE16" s="1026">
        <v>50</v>
      </c>
      <c r="AF16" s="1026">
        <v>0</v>
      </c>
      <c r="AG16" s="1026">
        <v>0</v>
      </c>
      <c r="AH16" s="1026">
        <v>0</v>
      </c>
      <c r="AI16" s="1026">
        <v>100</v>
      </c>
      <c r="AJ16" s="1026">
        <v>100</v>
      </c>
      <c r="AK16" s="1026">
        <v>100</v>
      </c>
      <c r="AL16" s="1026">
        <v>0</v>
      </c>
      <c r="AM16" s="1026">
        <v>0</v>
      </c>
      <c r="AN16" s="1026">
        <v>0</v>
      </c>
      <c r="AO16" s="1026">
        <v>50</v>
      </c>
      <c r="AP16" s="1026"/>
      <c r="AQ16" s="1026">
        <v>0</v>
      </c>
      <c r="AR16" s="1026">
        <v>0</v>
      </c>
      <c r="AS16" s="1026">
        <v>0</v>
      </c>
      <c r="AT16" s="1026">
        <v>0</v>
      </c>
      <c r="AU16" s="1026">
        <v>0</v>
      </c>
      <c r="AV16" s="1026">
        <v>0</v>
      </c>
      <c r="AW16" s="1026"/>
      <c r="AX16" s="1026"/>
      <c r="AY16" s="1026"/>
      <c r="AZ16" s="1026"/>
      <c r="BA16" s="1026"/>
      <c r="BB16" s="1027"/>
      <c r="BC16" s="1028">
        <f t="shared" si="13"/>
        <v>0</v>
      </c>
      <c r="BD16" s="1028">
        <f t="shared" si="14"/>
        <v>0</v>
      </c>
      <c r="BE16" s="1028">
        <f t="shared" si="15"/>
        <v>0</v>
      </c>
      <c r="BF16" s="1028">
        <f t="shared" si="16"/>
        <v>0</v>
      </c>
      <c r="BG16" s="1028">
        <f t="shared" si="17"/>
        <v>0</v>
      </c>
      <c r="BH16" s="1028">
        <f t="shared" si="18"/>
        <v>0</v>
      </c>
      <c r="BI16" s="1028">
        <f t="shared" si="19"/>
        <v>0</v>
      </c>
      <c r="BJ16" s="1028">
        <f t="shared" si="20"/>
        <v>0</v>
      </c>
      <c r="BK16" s="1028">
        <f t="shared" si="21"/>
        <v>0</v>
      </c>
      <c r="BL16" s="1028">
        <f t="shared" si="22"/>
        <v>0</v>
      </c>
      <c r="BM16" s="1028">
        <f t="shared" si="23"/>
        <v>0</v>
      </c>
      <c r="BN16" s="1028">
        <f t="shared" si="24"/>
        <v>0</v>
      </c>
      <c r="BO16" s="1028">
        <f t="shared" si="25"/>
        <v>0</v>
      </c>
      <c r="BP16" s="1028">
        <f t="shared" si="26"/>
        <v>0</v>
      </c>
      <c r="BQ16" s="1028">
        <f t="shared" si="27"/>
        <v>0</v>
      </c>
      <c r="BR16" s="1028">
        <f t="shared" si="28"/>
        <v>0</v>
      </c>
      <c r="BS16" s="1028">
        <f t="shared" si="29"/>
        <v>0</v>
      </c>
      <c r="BT16" s="1028">
        <f t="shared" si="30"/>
        <v>0</v>
      </c>
      <c r="BU16" s="1028">
        <f t="shared" si="31"/>
        <v>0</v>
      </c>
      <c r="BV16" s="1028">
        <f t="shared" si="32"/>
        <v>0</v>
      </c>
      <c r="BW16" s="1028">
        <f t="shared" si="33"/>
        <v>0</v>
      </c>
      <c r="BX16" s="1028">
        <f t="shared" si="34"/>
        <v>0</v>
      </c>
      <c r="BY16" s="1028">
        <f t="shared" si="35"/>
        <v>0</v>
      </c>
      <c r="BZ16" s="1028">
        <f t="shared" si="36"/>
        <v>0</v>
      </c>
      <c r="CA16" s="1028">
        <f t="shared" si="37"/>
        <v>0</v>
      </c>
      <c r="CB16" s="1028">
        <f t="shared" si="38"/>
        <v>0</v>
      </c>
      <c r="CC16" s="1028">
        <f t="shared" si="39"/>
        <v>0</v>
      </c>
      <c r="CD16" s="1028">
        <f t="shared" si="40"/>
        <v>0</v>
      </c>
      <c r="CE16" s="1028">
        <f t="shared" si="41"/>
        <v>0</v>
      </c>
      <c r="CF16" s="1028">
        <f t="shared" si="42"/>
        <v>0</v>
      </c>
      <c r="CG16" s="1028">
        <f t="shared" si="43"/>
        <v>0</v>
      </c>
      <c r="CH16" s="1028">
        <f t="shared" si="44"/>
        <v>0</v>
      </c>
      <c r="CI16" s="1028">
        <f t="shared" si="45"/>
        <v>0</v>
      </c>
      <c r="CJ16" s="1028">
        <f t="shared" si="46"/>
        <v>0</v>
      </c>
      <c r="CK16" s="1028">
        <f t="shared" si="47"/>
        <v>0</v>
      </c>
      <c r="CL16" s="1028">
        <f t="shared" si="48"/>
        <v>0</v>
      </c>
      <c r="CM16" s="1028">
        <f t="shared" si="49"/>
        <v>0</v>
      </c>
      <c r="CN16" s="1028">
        <f t="shared" si="50"/>
        <v>0</v>
      </c>
      <c r="CO16" s="1028">
        <f t="shared" si="51"/>
        <v>0</v>
      </c>
      <c r="CP16" s="1028">
        <f t="shared" si="52"/>
        <v>0</v>
      </c>
      <c r="CQ16" s="1028">
        <f t="shared" si="53"/>
        <v>0</v>
      </c>
      <c r="CR16" s="1028">
        <f t="shared" si="54"/>
        <v>0</v>
      </c>
      <c r="CS16" s="1028">
        <f t="shared" si="55"/>
        <v>0</v>
      </c>
      <c r="CT16" s="1028">
        <f t="shared" si="56"/>
        <v>0</v>
      </c>
      <c r="CU16" s="1028">
        <f t="shared" si="57"/>
        <v>0</v>
      </c>
      <c r="CV16" s="1028">
        <f t="shared" si="58"/>
        <v>0</v>
      </c>
      <c r="CW16" s="1028">
        <f t="shared" si="59"/>
        <v>0</v>
      </c>
      <c r="CX16" s="1028">
        <f t="shared" si="60"/>
        <v>0</v>
      </c>
      <c r="CY16" s="1028">
        <f t="shared" si="61"/>
        <v>0</v>
      </c>
      <c r="CZ16" s="1028">
        <f t="shared" si="62"/>
        <v>0</v>
      </c>
    </row>
    <row r="17" spans="1:104" ht="12.75" customHeight="1" x14ac:dyDescent="0.35">
      <c r="A17" s="301" t="str">
        <f>Program_Variables!C10</f>
        <v>Boron</v>
      </c>
      <c r="B17" s="1024">
        <f>IF(B$2=1,SUM(BC17:CZ17),"Error")</f>
        <v>0</v>
      </c>
      <c r="C17" s="1025"/>
      <c r="D17" s="1026">
        <v>29</v>
      </c>
      <c r="E17" s="1026">
        <v>29</v>
      </c>
      <c r="F17" s="1026">
        <v>29</v>
      </c>
      <c r="G17" s="1026">
        <v>1</v>
      </c>
      <c r="H17" s="1026">
        <v>1</v>
      </c>
      <c r="I17" s="1026">
        <v>1</v>
      </c>
      <c r="J17" s="1026">
        <v>1</v>
      </c>
      <c r="K17" s="1026">
        <v>1</v>
      </c>
      <c r="L17" s="1026">
        <v>1</v>
      </c>
      <c r="M17" s="1026">
        <v>1</v>
      </c>
      <c r="N17" s="1026">
        <v>0</v>
      </c>
      <c r="O17" s="1026">
        <v>0</v>
      </c>
      <c r="P17" s="1026">
        <v>0</v>
      </c>
      <c r="Q17" s="1026">
        <v>0</v>
      </c>
      <c r="R17" s="1026">
        <v>0</v>
      </c>
      <c r="S17" s="1026">
        <v>0</v>
      </c>
      <c r="T17" s="1026">
        <v>0</v>
      </c>
      <c r="U17" s="1026">
        <v>0</v>
      </c>
      <c r="V17" s="1026">
        <v>0</v>
      </c>
      <c r="W17" s="1026">
        <v>0</v>
      </c>
      <c r="X17" s="1026">
        <v>0</v>
      </c>
      <c r="Y17" s="1026">
        <v>0</v>
      </c>
      <c r="Z17" s="1026">
        <v>0</v>
      </c>
      <c r="AA17" s="1026">
        <v>0</v>
      </c>
      <c r="AB17" s="1026">
        <v>0</v>
      </c>
      <c r="AC17" s="1026">
        <v>0</v>
      </c>
      <c r="AD17" s="1026">
        <v>0</v>
      </c>
      <c r="AE17" s="1026">
        <v>0</v>
      </c>
      <c r="AF17" s="1026">
        <v>0</v>
      </c>
      <c r="AG17" s="1026">
        <v>0</v>
      </c>
      <c r="AH17" s="1026">
        <v>0</v>
      </c>
      <c r="AI17" s="1026">
        <v>10</v>
      </c>
      <c r="AJ17" s="1026">
        <v>10</v>
      </c>
      <c r="AK17" s="1026">
        <v>10</v>
      </c>
      <c r="AL17" s="1026">
        <v>0</v>
      </c>
      <c r="AM17" s="1026">
        <v>0</v>
      </c>
      <c r="AN17" s="1026">
        <v>0</v>
      </c>
      <c r="AO17" s="1026">
        <v>1</v>
      </c>
      <c r="AP17" s="1026"/>
      <c r="AQ17" s="1026">
        <v>0</v>
      </c>
      <c r="AR17" s="1026">
        <v>0</v>
      </c>
      <c r="AS17" s="1026">
        <v>0</v>
      </c>
      <c r="AT17" s="1026">
        <v>0</v>
      </c>
      <c r="AU17" s="1026">
        <v>0</v>
      </c>
      <c r="AV17" s="1026">
        <v>0</v>
      </c>
      <c r="AW17" s="1026"/>
      <c r="AX17" s="1026"/>
      <c r="AY17" s="1026"/>
      <c r="AZ17" s="1026"/>
      <c r="BA17" s="1026"/>
      <c r="BB17" s="1027"/>
      <c r="BC17" s="1028">
        <f t="shared" si="13"/>
        <v>0</v>
      </c>
      <c r="BD17" s="1028">
        <f t="shared" si="14"/>
        <v>0</v>
      </c>
      <c r="BE17" s="1028">
        <f t="shared" si="15"/>
        <v>0</v>
      </c>
      <c r="BF17" s="1028">
        <f t="shared" si="16"/>
        <v>0</v>
      </c>
      <c r="BG17" s="1028">
        <f t="shared" si="17"/>
        <v>0</v>
      </c>
      <c r="BH17" s="1028">
        <f t="shared" si="18"/>
        <v>0</v>
      </c>
      <c r="BI17" s="1028">
        <f t="shared" si="19"/>
        <v>0</v>
      </c>
      <c r="BJ17" s="1028">
        <f t="shared" si="20"/>
        <v>0</v>
      </c>
      <c r="BK17" s="1028">
        <f t="shared" si="21"/>
        <v>0</v>
      </c>
      <c r="BL17" s="1028">
        <f t="shared" si="22"/>
        <v>0</v>
      </c>
      <c r="BM17" s="1028">
        <f t="shared" si="23"/>
        <v>0</v>
      </c>
      <c r="BN17" s="1028">
        <f t="shared" si="24"/>
        <v>0</v>
      </c>
      <c r="BO17" s="1028">
        <f t="shared" si="25"/>
        <v>0</v>
      </c>
      <c r="BP17" s="1028">
        <f t="shared" si="26"/>
        <v>0</v>
      </c>
      <c r="BQ17" s="1028">
        <f t="shared" si="27"/>
        <v>0</v>
      </c>
      <c r="BR17" s="1028">
        <f t="shared" si="28"/>
        <v>0</v>
      </c>
      <c r="BS17" s="1028">
        <f t="shared" si="29"/>
        <v>0</v>
      </c>
      <c r="BT17" s="1028">
        <f t="shared" si="30"/>
        <v>0</v>
      </c>
      <c r="BU17" s="1028">
        <f t="shared" si="31"/>
        <v>0</v>
      </c>
      <c r="BV17" s="1028">
        <f t="shared" si="32"/>
        <v>0</v>
      </c>
      <c r="BW17" s="1028">
        <f t="shared" si="33"/>
        <v>0</v>
      </c>
      <c r="BX17" s="1028">
        <f t="shared" si="34"/>
        <v>0</v>
      </c>
      <c r="BY17" s="1028">
        <f t="shared" si="35"/>
        <v>0</v>
      </c>
      <c r="BZ17" s="1028">
        <f t="shared" si="36"/>
        <v>0</v>
      </c>
      <c r="CA17" s="1028">
        <f t="shared" si="37"/>
        <v>0</v>
      </c>
      <c r="CB17" s="1028">
        <f t="shared" si="38"/>
        <v>0</v>
      </c>
      <c r="CC17" s="1028">
        <f t="shared" si="39"/>
        <v>0</v>
      </c>
      <c r="CD17" s="1028">
        <f t="shared" si="40"/>
        <v>0</v>
      </c>
      <c r="CE17" s="1028">
        <f t="shared" si="41"/>
        <v>0</v>
      </c>
      <c r="CF17" s="1028">
        <f t="shared" si="42"/>
        <v>0</v>
      </c>
      <c r="CG17" s="1028">
        <f t="shared" si="43"/>
        <v>0</v>
      </c>
      <c r="CH17" s="1028">
        <f t="shared" si="44"/>
        <v>0</v>
      </c>
      <c r="CI17" s="1028">
        <f t="shared" si="45"/>
        <v>0</v>
      </c>
      <c r="CJ17" s="1028">
        <f t="shared" si="46"/>
        <v>0</v>
      </c>
      <c r="CK17" s="1028">
        <f t="shared" si="47"/>
        <v>0</v>
      </c>
      <c r="CL17" s="1028">
        <f t="shared" si="48"/>
        <v>0</v>
      </c>
      <c r="CM17" s="1028">
        <f t="shared" si="49"/>
        <v>0</v>
      </c>
      <c r="CN17" s="1028">
        <f t="shared" si="50"/>
        <v>0</v>
      </c>
      <c r="CO17" s="1028">
        <f t="shared" si="51"/>
        <v>0</v>
      </c>
      <c r="CP17" s="1028">
        <f t="shared" si="52"/>
        <v>0</v>
      </c>
      <c r="CQ17" s="1028">
        <f t="shared" si="53"/>
        <v>0</v>
      </c>
      <c r="CR17" s="1028">
        <f t="shared" si="54"/>
        <v>0</v>
      </c>
      <c r="CS17" s="1028">
        <f t="shared" si="55"/>
        <v>0</v>
      </c>
      <c r="CT17" s="1028">
        <f t="shared" si="56"/>
        <v>0</v>
      </c>
      <c r="CU17" s="1028">
        <f t="shared" si="57"/>
        <v>0</v>
      </c>
      <c r="CV17" s="1028">
        <f t="shared" si="58"/>
        <v>0</v>
      </c>
      <c r="CW17" s="1028">
        <f t="shared" si="59"/>
        <v>0</v>
      </c>
      <c r="CX17" s="1028">
        <f t="shared" si="60"/>
        <v>0</v>
      </c>
      <c r="CY17" s="1028">
        <f t="shared" si="61"/>
        <v>0</v>
      </c>
      <c r="CZ17" s="1028">
        <f t="shared" si="62"/>
        <v>0</v>
      </c>
    </row>
    <row r="18" spans="1:104" ht="12.75" customHeight="1" x14ac:dyDescent="0.35">
      <c r="A18" s="300" t="s">
        <v>1045</v>
      </c>
      <c r="B18" s="1024">
        <f>IF(B$2=1,SUM(BC18:CZ18),"Error")</f>
        <v>0</v>
      </c>
      <c r="C18" s="1025"/>
      <c r="D18" s="1026">
        <v>0</v>
      </c>
      <c r="E18" s="1026">
        <v>0</v>
      </c>
      <c r="F18" s="1026">
        <v>0</v>
      </c>
      <c r="G18" s="1026">
        <v>0</v>
      </c>
      <c r="H18" s="1026">
        <v>0</v>
      </c>
      <c r="I18" s="1026">
        <v>0</v>
      </c>
      <c r="J18" s="1026">
        <v>0</v>
      </c>
      <c r="K18" s="1026">
        <v>0</v>
      </c>
      <c r="L18" s="1026">
        <v>0</v>
      </c>
      <c r="M18" s="1026">
        <v>0</v>
      </c>
      <c r="N18" s="1026">
        <v>0</v>
      </c>
      <c r="O18" s="1026">
        <v>0</v>
      </c>
      <c r="P18" s="1026">
        <v>0</v>
      </c>
      <c r="Q18" s="1026">
        <v>0</v>
      </c>
      <c r="R18" s="1026">
        <v>0</v>
      </c>
      <c r="S18" s="1026">
        <v>0</v>
      </c>
      <c r="T18" s="1026">
        <v>0</v>
      </c>
      <c r="U18" s="1026">
        <v>0</v>
      </c>
      <c r="V18" s="1026">
        <v>0</v>
      </c>
      <c r="W18" s="1026">
        <v>0</v>
      </c>
      <c r="X18" s="1026">
        <v>0</v>
      </c>
      <c r="Y18" s="1026">
        <v>0</v>
      </c>
      <c r="Z18" s="1026">
        <v>0</v>
      </c>
      <c r="AA18" s="1026">
        <v>0</v>
      </c>
      <c r="AB18" s="1026">
        <v>0</v>
      </c>
      <c r="AC18" s="1026">
        <v>0</v>
      </c>
      <c r="AD18" s="1026">
        <v>0</v>
      </c>
      <c r="AE18" s="1026">
        <v>0</v>
      </c>
      <c r="AF18" s="1026">
        <v>0</v>
      </c>
      <c r="AG18" s="1026">
        <v>0</v>
      </c>
      <c r="AH18" s="1026">
        <v>0</v>
      </c>
      <c r="AI18" s="1026">
        <v>0</v>
      </c>
      <c r="AJ18" s="1026">
        <v>0</v>
      </c>
      <c r="AK18" s="1026">
        <v>0</v>
      </c>
      <c r="AL18" s="1026">
        <v>0</v>
      </c>
      <c r="AM18" s="1026">
        <v>0</v>
      </c>
      <c r="AN18" s="1026">
        <v>0</v>
      </c>
      <c r="AO18" s="1026">
        <v>100</v>
      </c>
      <c r="AP18" s="1026"/>
      <c r="AQ18" s="1026">
        <v>0</v>
      </c>
      <c r="AR18" s="1026">
        <v>0</v>
      </c>
      <c r="AS18" s="1026">
        <v>0</v>
      </c>
      <c r="AT18" s="1026">
        <v>0</v>
      </c>
      <c r="AU18" s="1026">
        <v>0</v>
      </c>
      <c r="AV18" s="1026">
        <v>0</v>
      </c>
      <c r="AW18" s="1026"/>
      <c r="AX18" s="1026"/>
      <c r="AY18" s="1026"/>
      <c r="AZ18" s="1026"/>
      <c r="BA18" s="1026"/>
      <c r="BB18" s="1027"/>
      <c r="BC18" s="1028">
        <f t="shared" si="13"/>
        <v>0</v>
      </c>
      <c r="BD18" s="1028">
        <f t="shared" si="14"/>
        <v>0</v>
      </c>
      <c r="BE18" s="1028">
        <f t="shared" si="15"/>
        <v>0</v>
      </c>
      <c r="BF18" s="1028">
        <f t="shared" si="16"/>
        <v>0</v>
      </c>
      <c r="BG18" s="1028">
        <f t="shared" si="17"/>
        <v>0</v>
      </c>
      <c r="BH18" s="1028">
        <f t="shared" si="18"/>
        <v>0</v>
      </c>
      <c r="BI18" s="1028">
        <f t="shared" si="19"/>
        <v>0</v>
      </c>
      <c r="BJ18" s="1028">
        <f t="shared" si="20"/>
        <v>0</v>
      </c>
      <c r="BK18" s="1028">
        <f t="shared" si="21"/>
        <v>0</v>
      </c>
      <c r="BL18" s="1028">
        <f t="shared" si="22"/>
        <v>0</v>
      </c>
      <c r="BM18" s="1028">
        <f t="shared" si="23"/>
        <v>0</v>
      </c>
      <c r="BN18" s="1028">
        <f t="shared" si="24"/>
        <v>0</v>
      </c>
      <c r="BO18" s="1028">
        <f t="shared" si="25"/>
        <v>0</v>
      </c>
      <c r="BP18" s="1028">
        <f t="shared" si="26"/>
        <v>0</v>
      </c>
      <c r="BQ18" s="1028">
        <f t="shared" si="27"/>
        <v>0</v>
      </c>
      <c r="BR18" s="1028">
        <f t="shared" si="28"/>
        <v>0</v>
      </c>
      <c r="BS18" s="1028">
        <f t="shared" si="29"/>
        <v>0</v>
      </c>
      <c r="BT18" s="1028">
        <f t="shared" si="30"/>
        <v>0</v>
      </c>
      <c r="BU18" s="1028">
        <f t="shared" si="31"/>
        <v>0</v>
      </c>
      <c r="BV18" s="1028">
        <f t="shared" si="32"/>
        <v>0</v>
      </c>
      <c r="BW18" s="1028">
        <f t="shared" si="33"/>
        <v>0</v>
      </c>
      <c r="BX18" s="1028">
        <f t="shared" si="34"/>
        <v>0</v>
      </c>
      <c r="BY18" s="1028">
        <f t="shared" si="35"/>
        <v>0</v>
      </c>
      <c r="BZ18" s="1028">
        <f t="shared" si="36"/>
        <v>0</v>
      </c>
      <c r="CA18" s="1028">
        <f t="shared" si="37"/>
        <v>0</v>
      </c>
      <c r="CB18" s="1028">
        <f t="shared" si="38"/>
        <v>0</v>
      </c>
      <c r="CC18" s="1028">
        <f t="shared" si="39"/>
        <v>0</v>
      </c>
      <c r="CD18" s="1028">
        <f t="shared" si="40"/>
        <v>0</v>
      </c>
      <c r="CE18" s="1028">
        <f t="shared" si="41"/>
        <v>0</v>
      </c>
      <c r="CF18" s="1028">
        <f t="shared" si="42"/>
        <v>0</v>
      </c>
      <c r="CG18" s="1028">
        <f t="shared" si="43"/>
        <v>0</v>
      </c>
      <c r="CH18" s="1028">
        <f t="shared" si="44"/>
        <v>0</v>
      </c>
      <c r="CI18" s="1028">
        <f t="shared" si="45"/>
        <v>0</v>
      </c>
      <c r="CJ18" s="1028">
        <f t="shared" si="46"/>
        <v>0</v>
      </c>
      <c r="CK18" s="1028">
        <f t="shared" si="47"/>
        <v>0</v>
      </c>
      <c r="CL18" s="1028">
        <f t="shared" si="48"/>
        <v>0</v>
      </c>
      <c r="CM18" s="1028">
        <f t="shared" si="49"/>
        <v>0</v>
      </c>
      <c r="CN18" s="1028">
        <f t="shared" si="50"/>
        <v>0</v>
      </c>
      <c r="CO18" s="1028"/>
      <c r="CP18" s="1028">
        <f t="shared" si="52"/>
        <v>0</v>
      </c>
      <c r="CQ18" s="1028">
        <f t="shared" si="53"/>
        <v>0</v>
      </c>
      <c r="CR18" s="1028">
        <f t="shared" si="54"/>
        <v>0</v>
      </c>
      <c r="CS18" s="1028">
        <f t="shared" si="55"/>
        <v>0</v>
      </c>
      <c r="CT18" s="1028">
        <f t="shared" si="56"/>
        <v>0</v>
      </c>
      <c r="CU18" s="1028">
        <f t="shared" si="57"/>
        <v>0</v>
      </c>
      <c r="CV18" s="1028"/>
      <c r="CW18" s="1028"/>
      <c r="CX18" s="1028"/>
      <c r="CY18" s="1028"/>
      <c r="CZ18" s="1028"/>
    </row>
    <row r="19" spans="1:104" ht="12.75" customHeight="1" x14ac:dyDescent="0.35">
      <c r="A19" s="301" t="str">
        <f>Program_Variables!C11</f>
        <v>Nitrogen Stabilizer (such as Agrotain)</v>
      </c>
      <c r="B19" s="1024">
        <f t="shared" si="12"/>
        <v>0.17500000000000002</v>
      </c>
      <c r="C19" s="1025"/>
      <c r="D19" s="1026">
        <f>335*0.0005</f>
        <v>0.16750000000000001</v>
      </c>
      <c r="E19" s="1026">
        <f>335*0.0005</f>
        <v>0.16750000000000001</v>
      </c>
      <c r="F19" s="1026">
        <f>335*0.0005</f>
        <v>0.16750000000000001</v>
      </c>
      <c r="G19" s="1026">
        <f>275*0.0005</f>
        <v>0.13750000000000001</v>
      </c>
      <c r="H19" s="1026">
        <f>275*0.0005</f>
        <v>0.13750000000000001</v>
      </c>
      <c r="I19" s="1026">
        <f>225*0.0005</f>
        <v>0.1125</v>
      </c>
      <c r="J19" s="1026">
        <f>275*0.0005</f>
        <v>0.13750000000000001</v>
      </c>
      <c r="K19" s="1026">
        <f>275*0.0005</f>
        <v>0.13750000000000001</v>
      </c>
      <c r="L19" s="1026">
        <f>225*0.0005</f>
        <v>0.1125</v>
      </c>
      <c r="M19" s="1026">
        <f>275*0.0005</f>
        <v>0.13750000000000001</v>
      </c>
      <c r="N19" s="1026">
        <f>350*0.0005</f>
        <v>0.17500000000000002</v>
      </c>
      <c r="O19" s="1026">
        <f>350*0.0005</f>
        <v>0.17500000000000002</v>
      </c>
      <c r="P19" s="1026">
        <f>200*0.0005</f>
        <v>0.1</v>
      </c>
      <c r="Q19" s="1026">
        <f>230*0.0005</f>
        <v>0.115</v>
      </c>
      <c r="R19" s="1026">
        <f>230*0.0005</f>
        <v>0.115</v>
      </c>
      <c r="S19" s="1026">
        <f>260*0.0005</f>
        <v>0.13</v>
      </c>
      <c r="T19" s="1026">
        <f>260*0.0005</f>
        <v>0.13</v>
      </c>
      <c r="U19" s="1026">
        <v>0</v>
      </c>
      <c r="V19" s="1026">
        <v>0</v>
      </c>
      <c r="W19" s="1026">
        <v>0</v>
      </c>
      <c r="X19" s="1026">
        <v>0</v>
      </c>
      <c r="Y19" s="1026">
        <v>0</v>
      </c>
      <c r="Z19" s="1026">
        <v>0</v>
      </c>
      <c r="AA19" s="1026">
        <v>0</v>
      </c>
      <c r="AB19" s="1026">
        <v>0</v>
      </c>
      <c r="AC19" s="1026">
        <v>0</v>
      </c>
      <c r="AD19" s="1026">
        <v>0</v>
      </c>
      <c r="AE19" s="1026">
        <f>250*0.0005</f>
        <v>0.125</v>
      </c>
      <c r="AF19" s="1026">
        <v>0</v>
      </c>
      <c r="AG19" s="1026">
        <v>0</v>
      </c>
      <c r="AH19" s="1026">
        <v>0</v>
      </c>
      <c r="AI19" s="1026">
        <v>0</v>
      </c>
      <c r="AJ19" s="1026">
        <v>0</v>
      </c>
      <c r="AK19" s="1026">
        <v>0</v>
      </c>
      <c r="AL19" s="1026">
        <v>0</v>
      </c>
      <c r="AM19" s="1026">
        <v>0</v>
      </c>
      <c r="AN19" s="1026">
        <v>0</v>
      </c>
      <c r="AO19" s="1026">
        <v>0</v>
      </c>
      <c r="AP19" s="1026"/>
      <c r="AQ19" s="1026">
        <f t="shared" ref="AQ19:AV19" si="64">230*0.0005</f>
        <v>0.115</v>
      </c>
      <c r="AR19" s="1026">
        <f t="shared" si="64"/>
        <v>0.115</v>
      </c>
      <c r="AS19" s="1026">
        <f t="shared" si="64"/>
        <v>0.115</v>
      </c>
      <c r="AT19" s="1026">
        <f t="shared" si="64"/>
        <v>0.115</v>
      </c>
      <c r="AU19" s="1026">
        <f t="shared" si="64"/>
        <v>0.115</v>
      </c>
      <c r="AV19" s="1026">
        <f t="shared" si="64"/>
        <v>0.115</v>
      </c>
      <c r="AW19" s="1026"/>
      <c r="AX19" s="1026"/>
      <c r="AY19" s="1026"/>
      <c r="AZ19" s="1026"/>
      <c r="BA19" s="1026"/>
      <c r="BB19" s="1027"/>
      <c r="BC19" s="1028">
        <f t="shared" si="13"/>
        <v>0</v>
      </c>
      <c r="BD19" s="1028">
        <f t="shared" si="14"/>
        <v>0</v>
      </c>
      <c r="BE19" s="1028">
        <f t="shared" si="15"/>
        <v>0</v>
      </c>
      <c r="BF19" s="1028">
        <f t="shared" si="16"/>
        <v>0</v>
      </c>
      <c r="BG19" s="1028">
        <f t="shared" si="17"/>
        <v>0</v>
      </c>
      <c r="BH19" s="1028">
        <f t="shared" si="18"/>
        <v>0</v>
      </c>
      <c r="BI19" s="1028">
        <f t="shared" si="19"/>
        <v>0</v>
      </c>
      <c r="BJ19" s="1028">
        <f t="shared" si="20"/>
        <v>0</v>
      </c>
      <c r="BK19" s="1028">
        <f t="shared" si="21"/>
        <v>0</v>
      </c>
      <c r="BL19" s="1028">
        <f t="shared" si="22"/>
        <v>0</v>
      </c>
      <c r="BM19" s="1028">
        <f t="shared" si="23"/>
        <v>0.17500000000000002</v>
      </c>
      <c r="BN19" s="1028">
        <f t="shared" si="24"/>
        <v>0</v>
      </c>
      <c r="BO19" s="1028">
        <f t="shared" si="25"/>
        <v>0</v>
      </c>
      <c r="BP19" s="1028">
        <f t="shared" si="26"/>
        <v>0</v>
      </c>
      <c r="BQ19" s="1028">
        <f t="shared" si="27"/>
        <v>0</v>
      </c>
      <c r="BR19" s="1028">
        <f t="shared" si="28"/>
        <v>0</v>
      </c>
      <c r="BS19" s="1028">
        <f t="shared" si="29"/>
        <v>0</v>
      </c>
      <c r="BT19" s="1028">
        <f t="shared" si="30"/>
        <v>0</v>
      </c>
      <c r="BU19" s="1028">
        <f t="shared" si="31"/>
        <v>0</v>
      </c>
      <c r="BV19" s="1028">
        <f t="shared" si="32"/>
        <v>0</v>
      </c>
      <c r="BW19" s="1028">
        <f t="shared" si="33"/>
        <v>0</v>
      </c>
      <c r="BX19" s="1028">
        <f t="shared" si="34"/>
        <v>0</v>
      </c>
      <c r="BY19" s="1028">
        <f t="shared" si="35"/>
        <v>0</v>
      </c>
      <c r="BZ19" s="1028">
        <f t="shared" si="36"/>
        <v>0</v>
      </c>
      <c r="CA19" s="1028">
        <f t="shared" si="37"/>
        <v>0</v>
      </c>
      <c r="CB19" s="1028">
        <f t="shared" si="38"/>
        <v>0</v>
      </c>
      <c r="CC19" s="1028">
        <f t="shared" si="39"/>
        <v>0</v>
      </c>
      <c r="CD19" s="1028">
        <f t="shared" si="40"/>
        <v>0</v>
      </c>
      <c r="CE19" s="1028">
        <f t="shared" si="41"/>
        <v>0</v>
      </c>
      <c r="CF19" s="1028">
        <f t="shared" si="42"/>
        <v>0</v>
      </c>
      <c r="CG19" s="1028">
        <f t="shared" si="43"/>
        <v>0</v>
      </c>
      <c r="CH19" s="1028">
        <f t="shared" si="44"/>
        <v>0</v>
      </c>
      <c r="CI19" s="1028">
        <f t="shared" si="45"/>
        <v>0</v>
      </c>
      <c r="CJ19" s="1028">
        <f t="shared" si="46"/>
        <v>0</v>
      </c>
      <c r="CK19" s="1028">
        <f t="shared" si="47"/>
        <v>0</v>
      </c>
      <c r="CL19" s="1028">
        <f t="shared" si="48"/>
        <v>0</v>
      </c>
      <c r="CM19" s="1028">
        <f t="shared" si="49"/>
        <v>0</v>
      </c>
      <c r="CN19" s="1028">
        <f t="shared" si="50"/>
        <v>0</v>
      </c>
      <c r="CO19" s="1028">
        <f t="shared" si="51"/>
        <v>0</v>
      </c>
      <c r="CP19" s="1028">
        <f t="shared" si="52"/>
        <v>0</v>
      </c>
      <c r="CQ19" s="1028">
        <f t="shared" si="53"/>
        <v>0</v>
      </c>
      <c r="CR19" s="1028">
        <f t="shared" si="54"/>
        <v>0</v>
      </c>
      <c r="CS19" s="1028">
        <f t="shared" si="55"/>
        <v>0</v>
      </c>
      <c r="CT19" s="1028">
        <f t="shared" si="56"/>
        <v>0</v>
      </c>
      <c r="CU19" s="1028">
        <f t="shared" si="57"/>
        <v>0</v>
      </c>
      <c r="CV19" s="1028">
        <f t="shared" si="58"/>
        <v>0</v>
      </c>
      <c r="CW19" s="1028">
        <f t="shared" si="59"/>
        <v>0</v>
      </c>
      <c r="CX19" s="1028">
        <f t="shared" si="60"/>
        <v>0</v>
      </c>
      <c r="CY19" s="1028">
        <f t="shared" si="61"/>
        <v>0</v>
      </c>
      <c r="CZ19" s="1028">
        <f t="shared" si="62"/>
        <v>0</v>
      </c>
    </row>
    <row r="20" spans="1:104" ht="12.75" customHeight="1" x14ac:dyDescent="0.35">
      <c r="A20" s="1039" t="s">
        <v>577</v>
      </c>
      <c r="B20" s="1323">
        <f t="shared" si="12"/>
        <v>0.48</v>
      </c>
      <c r="C20" s="1030"/>
      <c r="D20" s="1031">
        <v>0.67</v>
      </c>
      <c r="E20" s="1031">
        <v>1.63</v>
      </c>
      <c r="F20" s="1031">
        <v>0</v>
      </c>
      <c r="G20" s="1031">
        <v>0.57999999999999996</v>
      </c>
      <c r="H20" s="1031">
        <v>1.39</v>
      </c>
      <c r="I20" s="1031">
        <v>0</v>
      </c>
      <c r="J20" s="1031">
        <v>0.57999999999999996</v>
      </c>
      <c r="K20" s="1031">
        <v>1.39</v>
      </c>
      <c r="L20" s="1031">
        <v>0</v>
      </c>
      <c r="M20" s="1031">
        <v>0.57999999999999996</v>
      </c>
      <c r="N20" s="1031">
        <v>0.48</v>
      </c>
      <c r="O20" s="1031">
        <v>1.1599999999999999</v>
      </c>
      <c r="P20" s="1031">
        <v>0</v>
      </c>
      <c r="Q20" s="1031">
        <v>3.5249999999999999</v>
      </c>
      <c r="R20" s="1031">
        <v>3.5249999999999999</v>
      </c>
      <c r="S20" s="1031">
        <v>3.5249999999999999</v>
      </c>
      <c r="T20" s="1031">
        <v>3.5249999999999999</v>
      </c>
      <c r="U20" s="1031">
        <v>0</v>
      </c>
      <c r="V20" s="1031">
        <v>0.36249999999999999</v>
      </c>
      <c r="W20" s="1031">
        <v>1.39</v>
      </c>
      <c r="X20" s="1031">
        <v>0</v>
      </c>
      <c r="Y20" s="1031">
        <v>0.3125</v>
      </c>
      <c r="Z20" s="1031">
        <v>0.36249999999999999</v>
      </c>
      <c r="AA20" s="1031">
        <v>1.39</v>
      </c>
      <c r="AB20" s="1031">
        <v>0</v>
      </c>
      <c r="AC20" s="1031">
        <v>0.3125</v>
      </c>
      <c r="AD20" s="1031">
        <v>0.36249999999999999</v>
      </c>
      <c r="AE20" s="1031">
        <v>0</v>
      </c>
      <c r="AF20" s="1031">
        <v>0.57999999999999996</v>
      </c>
      <c r="AG20" s="1031">
        <v>1.39</v>
      </c>
      <c r="AH20" s="1031">
        <v>0</v>
      </c>
      <c r="AI20" s="1031">
        <v>0.67</v>
      </c>
      <c r="AJ20" s="1031">
        <v>1.63</v>
      </c>
      <c r="AK20" s="1031">
        <v>0</v>
      </c>
      <c r="AL20" s="1031">
        <v>0</v>
      </c>
      <c r="AM20" s="1031">
        <v>0</v>
      </c>
      <c r="AN20" s="1031">
        <v>0</v>
      </c>
      <c r="AO20" s="1031">
        <v>0</v>
      </c>
      <c r="AP20" s="1031"/>
      <c r="AQ20" s="1031">
        <v>0</v>
      </c>
      <c r="AR20" s="1031">
        <v>0</v>
      </c>
      <c r="AS20" s="1031">
        <v>0</v>
      </c>
      <c r="AT20" s="1031">
        <v>0</v>
      </c>
      <c r="AU20" s="1031">
        <v>3.5249999999999999</v>
      </c>
      <c r="AV20" s="1031">
        <v>3.5249999999999999</v>
      </c>
      <c r="AW20" s="1031"/>
      <c r="AX20" s="1031"/>
      <c r="AY20" s="1031"/>
      <c r="AZ20" s="1031"/>
      <c r="BA20" s="1031"/>
      <c r="BB20" s="1032"/>
      <c r="BC20" s="1033">
        <f t="shared" ref="BC20:BO20" si="65">IF(D$2=1,D20,0)</f>
        <v>0</v>
      </c>
      <c r="BD20" s="1033">
        <f t="shared" si="65"/>
        <v>0</v>
      </c>
      <c r="BE20" s="1033">
        <f t="shared" si="65"/>
        <v>0</v>
      </c>
      <c r="BF20" s="1033">
        <f t="shared" si="65"/>
        <v>0</v>
      </c>
      <c r="BG20" s="1033">
        <f t="shared" si="65"/>
        <v>0</v>
      </c>
      <c r="BH20" s="1033">
        <f t="shared" si="65"/>
        <v>0</v>
      </c>
      <c r="BI20" s="1033">
        <f t="shared" si="65"/>
        <v>0</v>
      </c>
      <c r="BJ20" s="1033">
        <f t="shared" si="65"/>
        <v>0</v>
      </c>
      <c r="BK20" s="1033">
        <f t="shared" si="65"/>
        <v>0</v>
      </c>
      <c r="BL20" s="1033">
        <f t="shared" si="65"/>
        <v>0</v>
      </c>
      <c r="BM20" s="1033">
        <f t="shared" si="65"/>
        <v>0.48</v>
      </c>
      <c r="BN20" s="1033">
        <f t="shared" si="65"/>
        <v>0</v>
      </c>
      <c r="BO20" s="1033">
        <f t="shared" si="65"/>
        <v>0</v>
      </c>
      <c r="BP20" s="1033">
        <f t="shared" si="26"/>
        <v>0</v>
      </c>
      <c r="BQ20" s="1033">
        <f t="shared" ref="BQ20:CK20" si="66">IF(R$2=1,R20,0)</f>
        <v>0</v>
      </c>
      <c r="BR20" s="1033">
        <f t="shared" si="66"/>
        <v>0</v>
      </c>
      <c r="BS20" s="1033">
        <f t="shared" si="66"/>
        <v>0</v>
      </c>
      <c r="BT20" s="1033">
        <f t="shared" si="66"/>
        <v>0</v>
      </c>
      <c r="BU20" s="1033">
        <f t="shared" si="66"/>
        <v>0</v>
      </c>
      <c r="BV20" s="1033">
        <f t="shared" si="66"/>
        <v>0</v>
      </c>
      <c r="BW20" s="1033">
        <f t="shared" si="66"/>
        <v>0</v>
      </c>
      <c r="BX20" s="1033">
        <f t="shared" si="66"/>
        <v>0</v>
      </c>
      <c r="BY20" s="1033">
        <f t="shared" si="66"/>
        <v>0</v>
      </c>
      <c r="BZ20" s="1033">
        <f t="shared" si="66"/>
        <v>0</v>
      </c>
      <c r="CA20" s="1033">
        <f t="shared" si="66"/>
        <v>0</v>
      </c>
      <c r="CB20" s="1033">
        <f t="shared" si="66"/>
        <v>0</v>
      </c>
      <c r="CC20" s="1033">
        <f t="shared" si="66"/>
        <v>0</v>
      </c>
      <c r="CD20" s="1033">
        <f t="shared" si="66"/>
        <v>0</v>
      </c>
      <c r="CE20" s="1033">
        <f t="shared" si="66"/>
        <v>0</v>
      </c>
      <c r="CF20" s="1033">
        <f t="shared" si="66"/>
        <v>0</v>
      </c>
      <c r="CG20" s="1033">
        <f t="shared" si="66"/>
        <v>0</v>
      </c>
      <c r="CH20" s="1033">
        <f t="shared" si="66"/>
        <v>0</v>
      </c>
      <c r="CI20" s="1033">
        <f t="shared" si="66"/>
        <v>0</v>
      </c>
      <c r="CJ20" s="1033">
        <f t="shared" si="66"/>
        <v>0</v>
      </c>
      <c r="CK20" s="1033">
        <f t="shared" si="66"/>
        <v>0</v>
      </c>
      <c r="CL20" s="1033">
        <f t="shared" si="48"/>
        <v>0</v>
      </c>
      <c r="CM20" s="1033">
        <f t="shared" si="49"/>
        <v>0</v>
      </c>
      <c r="CN20" s="1033">
        <f t="shared" si="50"/>
        <v>0</v>
      </c>
      <c r="CO20" s="1033">
        <f t="shared" si="51"/>
        <v>0</v>
      </c>
      <c r="CP20" s="1033">
        <f t="shared" si="52"/>
        <v>0</v>
      </c>
      <c r="CQ20" s="1033">
        <f t="shared" si="53"/>
        <v>0</v>
      </c>
      <c r="CR20" s="1033">
        <f t="shared" si="54"/>
        <v>0</v>
      </c>
      <c r="CS20" s="1033">
        <f t="shared" si="55"/>
        <v>0</v>
      </c>
      <c r="CT20" s="1033">
        <f t="shared" si="56"/>
        <v>0</v>
      </c>
      <c r="CU20" s="1033">
        <f t="shared" si="57"/>
        <v>0</v>
      </c>
      <c r="CV20" s="1033">
        <f t="shared" si="58"/>
        <v>0</v>
      </c>
      <c r="CW20" s="1033">
        <f t="shared" si="59"/>
        <v>0</v>
      </c>
      <c r="CX20" s="1033">
        <f t="shared" si="60"/>
        <v>0</v>
      </c>
      <c r="CY20" s="1033">
        <f t="shared" si="61"/>
        <v>0</v>
      </c>
      <c r="CZ20" s="1033">
        <f t="shared" si="62"/>
        <v>0</v>
      </c>
    </row>
    <row r="21" spans="1:104" ht="12.75" customHeight="1" x14ac:dyDescent="0.35">
      <c r="A21" s="301"/>
      <c r="B21" s="1001"/>
      <c r="C21" s="1002"/>
      <c r="D21" s="1003"/>
      <c r="E21" s="1003"/>
      <c r="F21" s="1003"/>
      <c r="G21" s="1003"/>
      <c r="H21" s="1003"/>
      <c r="I21" s="1003"/>
      <c r="J21" s="1003"/>
      <c r="K21" s="1003"/>
      <c r="L21" s="1003"/>
      <c r="M21" s="1003"/>
      <c r="N21" s="1003"/>
      <c r="O21" s="1003"/>
      <c r="P21" s="1003"/>
      <c r="Q21" s="1003"/>
      <c r="R21" s="1003"/>
      <c r="S21" s="1003"/>
      <c r="T21" s="1003"/>
      <c r="U21" s="1003"/>
      <c r="V21" s="1003"/>
      <c r="W21" s="1003"/>
      <c r="X21" s="1003"/>
      <c r="Y21" s="1003"/>
      <c r="Z21" s="1003"/>
      <c r="AA21" s="1003"/>
      <c r="AB21" s="1003"/>
      <c r="AC21" s="1003"/>
      <c r="AD21" s="1003"/>
      <c r="AE21" s="1003"/>
      <c r="AF21" s="1003"/>
      <c r="AG21" s="1003"/>
      <c r="AH21" s="1003"/>
      <c r="AI21" s="1003"/>
      <c r="AJ21" s="1003"/>
      <c r="AK21" s="1003"/>
      <c r="AL21" s="1003"/>
      <c r="AM21" s="1003"/>
      <c r="AN21" s="1003"/>
      <c r="AO21" s="1003"/>
      <c r="AP21" s="1003"/>
      <c r="AQ21" s="1003"/>
      <c r="AR21" s="1003"/>
      <c r="AS21" s="1003"/>
      <c r="AT21" s="1003"/>
      <c r="AU21" s="1003"/>
      <c r="AV21" s="1003"/>
      <c r="AW21" s="1003"/>
      <c r="AX21" s="1003"/>
      <c r="AY21" s="1003"/>
      <c r="AZ21" s="1003"/>
      <c r="BA21" s="1003"/>
      <c r="BB21" s="20"/>
      <c r="BC21" s="1004"/>
      <c r="BD21" s="1004"/>
      <c r="BE21" s="1004"/>
      <c r="BF21" s="1004"/>
      <c r="BG21" s="1004"/>
      <c r="BH21" s="1004"/>
      <c r="BI21" s="1004"/>
      <c r="BJ21" s="1004"/>
      <c r="BK21" s="1004"/>
      <c r="BL21" s="1004"/>
      <c r="BM21" s="1004"/>
      <c r="BN21" s="1004"/>
      <c r="BO21" s="1004"/>
      <c r="BP21" s="1004"/>
      <c r="BQ21" s="1004"/>
      <c r="BR21" s="1004"/>
      <c r="BS21" s="1004"/>
      <c r="BT21" s="1004"/>
      <c r="BU21" s="1004"/>
      <c r="BV21" s="1004"/>
      <c r="BW21" s="1004"/>
      <c r="BX21" s="1004"/>
      <c r="BY21" s="1004"/>
      <c r="BZ21" s="1004"/>
      <c r="CA21" s="1004"/>
      <c r="CB21" s="1004"/>
      <c r="CC21" s="1004"/>
      <c r="CD21" s="1004"/>
      <c r="CE21" s="1004"/>
      <c r="CF21" s="1004"/>
      <c r="CG21" s="1004"/>
      <c r="CH21" s="1004"/>
      <c r="CI21" s="1004"/>
      <c r="CJ21" s="1004"/>
      <c r="CK21" s="1004"/>
      <c r="CL21" s="1004"/>
      <c r="CM21" s="1004"/>
      <c r="CN21" s="1004"/>
      <c r="CO21" s="1004"/>
      <c r="CP21" s="1004"/>
      <c r="CQ21" s="1004"/>
      <c r="CR21" s="1004"/>
      <c r="CS21" s="1004"/>
      <c r="CT21" s="1004"/>
      <c r="CU21" s="1004"/>
      <c r="CV21" s="1004"/>
      <c r="CW21" s="1004"/>
      <c r="CX21" s="1004"/>
      <c r="CY21" s="1004"/>
      <c r="CZ21" s="1004"/>
    </row>
    <row r="22" spans="1:104" ht="12.75" customHeight="1" x14ac:dyDescent="0.4">
      <c r="A22" s="994" t="s">
        <v>225</v>
      </c>
      <c r="B22" s="995"/>
      <c r="C22" s="996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999"/>
      <c r="AA22" s="999"/>
      <c r="AB22" s="999"/>
      <c r="AC22" s="999"/>
      <c r="AD22" s="999"/>
      <c r="AE22" s="999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999"/>
      <c r="AQ22" s="999"/>
      <c r="AR22" s="999"/>
      <c r="AS22" s="999"/>
      <c r="AT22" s="999"/>
      <c r="AU22" s="999"/>
      <c r="AV22" s="999"/>
      <c r="AW22" s="999"/>
      <c r="AX22" s="999"/>
      <c r="AY22" s="999"/>
      <c r="AZ22" s="999"/>
      <c r="BA22" s="999"/>
      <c r="BB22" s="832"/>
      <c r="BC22" s="1000"/>
      <c r="BD22" s="1000"/>
      <c r="BE22" s="1000"/>
      <c r="BF22" s="1000"/>
      <c r="BG22" s="1000"/>
      <c r="BH22" s="1000"/>
      <c r="BI22" s="1000"/>
      <c r="BJ22" s="1000"/>
      <c r="BK22" s="1000"/>
      <c r="BL22" s="1000"/>
      <c r="BM22" s="1000"/>
      <c r="BN22" s="1000"/>
      <c r="BO22" s="1000"/>
      <c r="BP22" s="1000"/>
      <c r="BQ22" s="1000"/>
      <c r="BR22" s="1000"/>
      <c r="BS22" s="1000"/>
      <c r="BT22" s="1000"/>
      <c r="BU22" s="1000"/>
      <c r="BV22" s="1000"/>
      <c r="BW22" s="1000"/>
      <c r="BX22" s="1000"/>
      <c r="BY22" s="1000"/>
      <c r="BZ22" s="1000"/>
      <c r="CA22" s="1000"/>
      <c r="CB22" s="1000"/>
      <c r="CC22" s="1000"/>
      <c r="CD22" s="1000"/>
      <c r="CE22" s="1000"/>
      <c r="CF22" s="1000"/>
      <c r="CG22" s="1000"/>
      <c r="CH22" s="1000"/>
      <c r="CI22" s="1000"/>
      <c r="CJ22" s="1000"/>
      <c r="CK22" s="1000"/>
      <c r="CL22" s="1000"/>
      <c r="CM22" s="1000"/>
      <c r="CN22" s="1000"/>
      <c r="CO22" s="1000"/>
      <c r="CP22" s="1000"/>
      <c r="CQ22" s="1000"/>
      <c r="CR22" s="1000"/>
      <c r="CS22" s="1000"/>
      <c r="CT22" s="1000"/>
      <c r="CU22" s="1000"/>
      <c r="CV22" s="1000"/>
      <c r="CW22" s="1000"/>
      <c r="CX22" s="1000"/>
      <c r="CY22" s="1000"/>
      <c r="CZ22" s="1000"/>
    </row>
    <row r="23" spans="1:104" ht="12.75" customHeight="1" x14ac:dyDescent="0.35">
      <c r="A23" s="301" t="str">
        <f>Budget!A20</f>
        <v xml:space="preserve">   Ground Application: Fertilizer &amp; Chemical</v>
      </c>
      <c r="B23" s="1011">
        <f>IF(B$2=1,SUM(BC23:CZ23),"Error")</f>
        <v>7</v>
      </c>
      <c r="C23" s="1012"/>
      <c r="D23" s="1013">
        <v>5</v>
      </c>
      <c r="E23" s="1013">
        <v>5</v>
      </c>
      <c r="F23" s="1013">
        <v>6</v>
      </c>
      <c r="G23" s="1013">
        <v>11</v>
      </c>
      <c r="H23" s="1013">
        <v>11</v>
      </c>
      <c r="I23" s="1013">
        <v>10</v>
      </c>
      <c r="J23" s="1013">
        <v>11</v>
      </c>
      <c r="K23" s="1013">
        <v>11</v>
      </c>
      <c r="L23" s="1013">
        <v>10</v>
      </c>
      <c r="M23" s="1013">
        <v>0</v>
      </c>
      <c r="N23" s="1013">
        <v>7</v>
      </c>
      <c r="O23" s="1013">
        <v>7</v>
      </c>
      <c r="P23" s="1013">
        <v>7</v>
      </c>
      <c r="Q23" s="1013">
        <v>2</v>
      </c>
      <c r="R23" s="1013">
        <v>2</v>
      </c>
      <c r="S23" s="1013">
        <v>2</v>
      </c>
      <c r="T23" s="1013">
        <v>2</v>
      </c>
      <c r="U23" s="1013">
        <v>0</v>
      </c>
      <c r="V23" s="1013">
        <v>4</v>
      </c>
      <c r="W23" s="1013">
        <v>4</v>
      </c>
      <c r="X23" s="1013">
        <v>4</v>
      </c>
      <c r="Y23" s="1013">
        <v>4</v>
      </c>
      <c r="Z23" s="1013">
        <v>5</v>
      </c>
      <c r="AA23" s="1013">
        <v>5</v>
      </c>
      <c r="AB23" s="1013">
        <v>5</v>
      </c>
      <c r="AC23" s="1013">
        <v>5</v>
      </c>
      <c r="AD23" s="1013">
        <v>5</v>
      </c>
      <c r="AE23" s="1013">
        <v>4</v>
      </c>
      <c r="AF23" s="1013">
        <v>7</v>
      </c>
      <c r="AG23" s="1013">
        <v>7</v>
      </c>
      <c r="AH23" s="1013">
        <v>7</v>
      </c>
      <c r="AI23" s="1013">
        <v>5</v>
      </c>
      <c r="AJ23" s="1013">
        <v>5</v>
      </c>
      <c r="AK23" s="1013">
        <v>3</v>
      </c>
      <c r="AL23" s="1013">
        <v>0</v>
      </c>
      <c r="AM23" s="1013">
        <v>0</v>
      </c>
      <c r="AN23" s="1013">
        <v>0</v>
      </c>
      <c r="AO23" s="1013">
        <v>0</v>
      </c>
      <c r="AP23" s="1013"/>
      <c r="AQ23" s="1013">
        <v>0</v>
      </c>
      <c r="AR23" s="1013">
        <v>0</v>
      </c>
      <c r="AS23" s="1013">
        <v>0</v>
      </c>
      <c r="AT23" s="1013">
        <v>0</v>
      </c>
      <c r="AU23" s="1013">
        <v>2</v>
      </c>
      <c r="AV23" s="1013">
        <v>2</v>
      </c>
      <c r="AW23" s="1013"/>
      <c r="AX23" s="1013"/>
      <c r="AY23" s="1013"/>
      <c r="AZ23" s="1013"/>
      <c r="BA23" s="1013"/>
      <c r="BB23" s="1014"/>
      <c r="BC23" s="1015">
        <f t="shared" ref="BC23:BM26" si="67">IF(D$2=1,D23,0)</f>
        <v>0</v>
      </c>
      <c r="BD23" s="1015">
        <f t="shared" si="67"/>
        <v>0</v>
      </c>
      <c r="BE23" s="1015">
        <f t="shared" si="67"/>
        <v>0</v>
      </c>
      <c r="BF23" s="1015">
        <f t="shared" si="67"/>
        <v>0</v>
      </c>
      <c r="BG23" s="1015">
        <f t="shared" si="67"/>
        <v>0</v>
      </c>
      <c r="BH23" s="1015">
        <f t="shared" si="67"/>
        <v>0</v>
      </c>
      <c r="BI23" s="1015">
        <f t="shared" si="67"/>
        <v>0</v>
      </c>
      <c r="BJ23" s="1015">
        <f t="shared" si="67"/>
        <v>0</v>
      </c>
      <c r="BK23" s="1015">
        <f t="shared" si="67"/>
        <v>0</v>
      </c>
      <c r="BL23" s="1015">
        <f t="shared" si="67"/>
        <v>0</v>
      </c>
      <c r="BM23" s="1015">
        <f t="shared" si="67"/>
        <v>7</v>
      </c>
      <c r="BN23" s="1015">
        <f t="shared" ref="BN23:BO26" si="68">IF(O$2=1,O23,0)</f>
        <v>0</v>
      </c>
      <c r="BO23" s="1015">
        <f t="shared" si="68"/>
        <v>0</v>
      </c>
      <c r="BP23" s="1015">
        <f t="shared" ref="BP23:CA26" si="69">IF(Q$2=1,Q23,0)</f>
        <v>0</v>
      </c>
      <c r="BQ23" s="1015">
        <f t="shared" si="69"/>
        <v>0</v>
      </c>
      <c r="BR23" s="1015">
        <f t="shared" si="69"/>
        <v>0</v>
      </c>
      <c r="BS23" s="1015">
        <f t="shared" si="69"/>
        <v>0</v>
      </c>
      <c r="BT23" s="1015">
        <f t="shared" si="69"/>
        <v>0</v>
      </c>
      <c r="BU23" s="1015">
        <f t="shared" si="69"/>
        <v>0</v>
      </c>
      <c r="BV23" s="1015">
        <f t="shared" si="69"/>
        <v>0</v>
      </c>
      <c r="BW23" s="1015">
        <f t="shared" si="69"/>
        <v>0</v>
      </c>
      <c r="BX23" s="1015">
        <f t="shared" si="69"/>
        <v>0</v>
      </c>
      <c r="BY23" s="1015">
        <f t="shared" si="69"/>
        <v>0</v>
      </c>
      <c r="BZ23" s="1015">
        <f t="shared" si="69"/>
        <v>0</v>
      </c>
      <c r="CA23" s="1015">
        <f t="shared" si="69"/>
        <v>0</v>
      </c>
      <c r="CB23" s="1015">
        <f t="shared" ref="CB23:CD26" si="70">IF(AC$2=1,AC23,0)</f>
        <v>0</v>
      </c>
      <c r="CC23" s="1015">
        <f t="shared" si="70"/>
        <v>0</v>
      </c>
      <c r="CD23" s="1015">
        <f t="shared" si="70"/>
        <v>0</v>
      </c>
      <c r="CE23" s="1015">
        <f t="shared" ref="CE23:CN26" si="71">IF(AF$2=1,AF23,0)</f>
        <v>0</v>
      </c>
      <c r="CF23" s="1015">
        <f t="shared" si="71"/>
        <v>0</v>
      </c>
      <c r="CG23" s="1015">
        <f t="shared" si="71"/>
        <v>0</v>
      </c>
      <c r="CH23" s="1015">
        <f t="shared" si="71"/>
        <v>0</v>
      </c>
      <c r="CI23" s="1015">
        <f t="shared" si="71"/>
        <v>0</v>
      </c>
      <c r="CJ23" s="1015">
        <f t="shared" si="71"/>
        <v>0</v>
      </c>
      <c r="CK23" s="1015">
        <f t="shared" si="71"/>
        <v>0</v>
      </c>
      <c r="CL23" s="1015">
        <f t="shared" si="71"/>
        <v>0</v>
      </c>
      <c r="CM23" s="1015">
        <f t="shared" si="71"/>
        <v>0</v>
      </c>
      <c r="CN23" s="1015">
        <f t="shared" si="71"/>
        <v>0</v>
      </c>
      <c r="CO23" s="1015">
        <f t="shared" ref="CO23:CX26" si="72">IF(AP$2=1,AP23,0)</f>
        <v>0</v>
      </c>
      <c r="CP23" s="1015">
        <f t="shared" si="72"/>
        <v>0</v>
      </c>
      <c r="CQ23" s="1015">
        <f t="shared" si="72"/>
        <v>0</v>
      </c>
      <c r="CR23" s="1015">
        <f t="shared" si="72"/>
        <v>0</v>
      </c>
      <c r="CS23" s="1015">
        <f t="shared" si="72"/>
        <v>0</v>
      </c>
      <c r="CT23" s="1015">
        <f t="shared" si="72"/>
        <v>0</v>
      </c>
      <c r="CU23" s="1015">
        <f t="shared" si="72"/>
        <v>0</v>
      </c>
      <c r="CV23" s="1015">
        <f t="shared" si="72"/>
        <v>0</v>
      </c>
      <c r="CW23" s="1015">
        <f t="shared" si="72"/>
        <v>0</v>
      </c>
      <c r="CX23" s="1015">
        <f t="shared" si="72"/>
        <v>0</v>
      </c>
      <c r="CY23" s="1015">
        <f t="shared" ref="CY23:CZ26" si="73">IF(AZ$2=1,AZ23,0)</f>
        <v>0</v>
      </c>
      <c r="CZ23" s="1015">
        <f t="shared" si="73"/>
        <v>0</v>
      </c>
    </row>
    <row r="24" spans="1:104" ht="12.75" customHeight="1" x14ac:dyDescent="0.35">
      <c r="A24" s="301" t="str">
        <f>Budget!A21</f>
        <v xml:space="preserve">   Air Application: Fertilizer &amp; Chemical</v>
      </c>
      <c r="B24" s="1011">
        <f>IF(B$2=1,SUM(BC24:CZ24),"Error")</f>
        <v>1</v>
      </c>
      <c r="C24" s="1012"/>
      <c r="D24" s="1013">
        <v>0</v>
      </c>
      <c r="E24" s="1013">
        <v>0</v>
      </c>
      <c r="F24" s="1013">
        <v>0</v>
      </c>
      <c r="G24" s="1013">
        <v>2</v>
      </c>
      <c r="H24" s="1013">
        <v>2</v>
      </c>
      <c r="I24" s="1013">
        <v>2</v>
      </c>
      <c r="J24" s="1013">
        <v>2</v>
      </c>
      <c r="K24" s="1013">
        <v>2</v>
      </c>
      <c r="L24" s="1013">
        <v>2</v>
      </c>
      <c r="M24" s="1013">
        <v>3</v>
      </c>
      <c r="N24" s="1013">
        <v>1</v>
      </c>
      <c r="O24" s="1013">
        <v>1</v>
      </c>
      <c r="P24" s="1013">
        <v>1</v>
      </c>
      <c r="Q24" s="1013">
        <v>5</v>
      </c>
      <c r="R24" s="1013">
        <v>5</v>
      </c>
      <c r="S24" s="1013">
        <v>6</v>
      </c>
      <c r="T24" s="1013">
        <v>6</v>
      </c>
      <c r="U24" s="1013">
        <v>6</v>
      </c>
      <c r="V24" s="1013">
        <v>2</v>
      </c>
      <c r="W24" s="1013">
        <v>2</v>
      </c>
      <c r="X24" s="1013">
        <v>2</v>
      </c>
      <c r="Y24" s="1013">
        <v>2</v>
      </c>
      <c r="Z24" s="1013">
        <v>2</v>
      </c>
      <c r="AA24" s="1013">
        <v>2</v>
      </c>
      <c r="AB24" s="1013">
        <v>2</v>
      </c>
      <c r="AC24" s="1013">
        <v>2</v>
      </c>
      <c r="AD24" s="1013">
        <v>2</v>
      </c>
      <c r="AE24" s="1013">
        <v>2</v>
      </c>
      <c r="AF24" s="1013">
        <v>0</v>
      </c>
      <c r="AG24" s="1013">
        <v>0</v>
      </c>
      <c r="AH24" s="1013">
        <v>0</v>
      </c>
      <c r="AI24" s="1013">
        <v>1</v>
      </c>
      <c r="AJ24" s="1013">
        <v>1</v>
      </c>
      <c r="AK24" s="1013">
        <v>1</v>
      </c>
      <c r="AL24" s="1013">
        <v>2</v>
      </c>
      <c r="AM24" s="1013">
        <v>2</v>
      </c>
      <c r="AN24" s="1013">
        <v>2</v>
      </c>
      <c r="AO24" s="1013">
        <v>3</v>
      </c>
      <c r="AP24" s="1013"/>
      <c r="AQ24" s="1013">
        <v>0</v>
      </c>
      <c r="AR24" s="1013">
        <v>0</v>
      </c>
      <c r="AS24" s="1013">
        <v>0</v>
      </c>
      <c r="AT24" s="1013">
        <v>0</v>
      </c>
      <c r="AU24" s="1013">
        <v>5</v>
      </c>
      <c r="AV24" s="1013">
        <v>5</v>
      </c>
      <c r="AW24" s="1013"/>
      <c r="AX24" s="1013"/>
      <c r="AY24" s="1013"/>
      <c r="AZ24" s="1013"/>
      <c r="BA24" s="1013"/>
      <c r="BB24" s="1014"/>
      <c r="BC24" s="1015">
        <f t="shared" si="67"/>
        <v>0</v>
      </c>
      <c r="BD24" s="1015">
        <f t="shared" si="67"/>
        <v>0</v>
      </c>
      <c r="BE24" s="1015">
        <f t="shared" si="67"/>
        <v>0</v>
      </c>
      <c r="BF24" s="1015">
        <f t="shared" si="67"/>
        <v>0</v>
      </c>
      <c r="BG24" s="1015">
        <f t="shared" si="67"/>
        <v>0</v>
      </c>
      <c r="BH24" s="1015">
        <f t="shared" si="67"/>
        <v>0</v>
      </c>
      <c r="BI24" s="1015">
        <f t="shared" si="67"/>
        <v>0</v>
      </c>
      <c r="BJ24" s="1015">
        <f t="shared" si="67"/>
        <v>0</v>
      </c>
      <c r="BK24" s="1015">
        <f t="shared" si="67"/>
        <v>0</v>
      </c>
      <c r="BL24" s="1015">
        <f t="shared" si="67"/>
        <v>0</v>
      </c>
      <c r="BM24" s="1015">
        <f t="shared" si="67"/>
        <v>1</v>
      </c>
      <c r="BN24" s="1015">
        <f t="shared" si="68"/>
        <v>0</v>
      </c>
      <c r="BO24" s="1015">
        <f t="shared" si="68"/>
        <v>0</v>
      </c>
      <c r="BP24" s="1015">
        <f t="shared" si="69"/>
        <v>0</v>
      </c>
      <c r="BQ24" s="1015">
        <f t="shared" si="69"/>
        <v>0</v>
      </c>
      <c r="BR24" s="1015">
        <f t="shared" si="69"/>
        <v>0</v>
      </c>
      <c r="BS24" s="1015">
        <f t="shared" si="69"/>
        <v>0</v>
      </c>
      <c r="BT24" s="1015">
        <f t="shared" si="69"/>
        <v>0</v>
      </c>
      <c r="BU24" s="1015">
        <f t="shared" si="69"/>
        <v>0</v>
      </c>
      <c r="BV24" s="1015">
        <f t="shared" si="69"/>
        <v>0</v>
      </c>
      <c r="BW24" s="1015">
        <f t="shared" si="69"/>
        <v>0</v>
      </c>
      <c r="BX24" s="1015">
        <f t="shared" si="69"/>
        <v>0</v>
      </c>
      <c r="BY24" s="1015">
        <f t="shared" si="69"/>
        <v>0</v>
      </c>
      <c r="BZ24" s="1015">
        <f t="shared" si="69"/>
        <v>0</v>
      </c>
      <c r="CA24" s="1015">
        <f t="shared" si="69"/>
        <v>0</v>
      </c>
      <c r="CB24" s="1015">
        <f t="shared" si="70"/>
        <v>0</v>
      </c>
      <c r="CC24" s="1015">
        <f t="shared" si="70"/>
        <v>0</v>
      </c>
      <c r="CD24" s="1015">
        <f t="shared" si="70"/>
        <v>0</v>
      </c>
      <c r="CE24" s="1015">
        <f t="shared" si="71"/>
        <v>0</v>
      </c>
      <c r="CF24" s="1015">
        <f t="shared" si="71"/>
        <v>0</v>
      </c>
      <c r="CG24" s="1015">
        <f t="shared" si="71"/>
        <v>0</v>
      </c>
      <c r="CH24" s="1015">
        <f t="shared" si="71"/>
        <v>0</v>
      </c>
      <c r="CI24" s="1015">
        <f t="shared" si="71"/>
        <v>0</v>
      </c>
      <c r="CJ24" s="1015">
        <f t="shared" si="71"/>
        <v>0</v>
      </c>
      <c r="CK24" s="1015">
        <f t="shared" si="71"/>
        <v>0</v>
      </c>
      <c r="CL24" s="1015">
        <f t="shared" si="71"/>
        <v>0</v>
      </c>
      <c r="CM24" s="1015">
        <f t="shared" si="71"/>
        <v>0</v>
      </c>
      <c r="CN24" s="1015">
        <f t="shared" si="71"/>
        <v>0</v>
      </c>
      <c r="CO24" s="1015">
        <f t="shared" si="72"/>
        <v>0</v>
      </c>
      <c r="CP24" s="1015">
        <f t="shared" si="72"/>
        <v>0</v>
      </c>
      <c r="CQ24" s="1015">
        <f t="shared" si="72"/>
        <v>0</v>
      </c>
      <c r="CR24" s="1015">
        <f t="shared" si="72"/>
        <v>0</v>
      </c>
      <c r="CS24" s="1015">
        <f t="shared" si="72"/>
        <v>0</v>
      </c>
      <c r="CT24" s="1015">
        <f t="shared" si="72"/>
        <v>0</v>
      </c>
      <c r="CU24" s="1015">
        <f t="shared" si="72"/>
        <v>0</v>
      </c>
      <c r="CV24" s="1015">
        <f t="shared" si="72"/>
        <v>0</v>
      </c>
      <c r="CW24" s="1015">
        <f t="shared" si="72"/>
        <v>0</v>
      </c>
      <c r="CX24" s="1015">
        <f t="shared" si="72"/>
        <v>0</v>
      </c>
      <c r="CY24" s="1015">
        <f t="shared" si="73"/>
        <v>0</v>
      </c>
      <c r="CZ24" s="1015">
        <f t="shared" si="73"/>
        <v>0</v>
      </c>
    </row>
    <row r="25" spans="1:104" ht="12.75" customHeight="1" x14ac:dyDescent="0.35">
      <c r="A25" s="301" t="str">
        <f>Budget!A22</f>
        <v xml:space="preserve">   Air Application: Lbs.</v>
      </c>
      <c r="B25" s="1011">
        <f>IF(B$2=1,SUM(BC25:CZ25),"Error")</f>
        <v>0</v>
      </c>
      <c r="C25" s="1012"/>
      <c r="D25" s="1013">
        <v>100</v>
      </c>
      <c r="E25" s="1013">
        <v>100</v>
      </c>
      <c r="F25" s="1013">
        <v>0</v>
      </c>
      <c r="G25" s="1013">
        <v>0</v>
      </c>
      <c r="H25" s="1013">
        <v>0</v>
      </c>
      <c r="I25" s="1013">
        <v>0</v>
      </c>
      <c r="J25" s="1013">
        <v>0</v>
      </c>
      <c r="K25" s="1013">
        <v>0</v>
      </c>
      <c r="L25" s="1013">
        <v>0</v>
      </c>
      <c r="M25" s="1013">
        <v>0</v>
      </c>
      <c r="N25" s="1013">
        <v>0</v>
      </c>
      <c r="O25" s="1013">
        <v>0</v>
      </c>
      <c r="P25" s="1013">
        <v>0</v>
      </c>
      <c r="Q25" s="1013">
        <v>330</v>
      </c>
      <c r="R25" s="1013">
        <v>330</v>
      </c>
      <c r="S25" s="1013">
        <v>330</v>
      </c>
      <c r="T25" s="1013">
        <v>330</v>
      </c>
      <c r="U25" s="1013">
        <v>330</v>
      </c>
      <c r="V25" s="1013">
        <v>0</v>
      </c>
      <c r="W25" s="1013">
        <v>0</v>
      </c>
      <c r="X25" s="1013">
        <v>0</v>
      </c>
      <c r="Y25" s="1013">
        <v>0</v>
      </c>
      <c r="Z25" s="1013">
        <v>0</v>
      </c>
      <c r="AA25" s="1013">
        <v>0</v>
      </c>
      <c r="AB25" s="1013">
        <v>0</v>
      </c>
      <c r="AC25" s="1013">
        <v>0</v>
      </c>
      <c r="AD25" s="1013">
        <v>0</v>
      </c>
      <c r="AE25" s="1013">
        <v>0</v>
      </c>
      <c r="AF25" s="1013">
        <v>0</v>
      </c>
      <c r="AG25" s="1013">
        <v>0</v>
      </c>
      <c r="AH25" s="1013">
        <v>0</v>
      </c>
      <c r="AI25" s="1013">
        <v>100</v>
      </c>
      <c r="AJ25" s="1013">
        <v>100</v>
      </c>
      <c r="AK25" s="1013">
        <v>0</v>
      </c>
      <c r="AL25" s="1013">
        <v>0</v>
      </c>
      <c r="AM25" s="1013">
        <v>0</v>
      </c>
      <c r="AN25" s="1013">
        <v>0</v>
      </c>
      <c r="AO25" s="1013">
        <v>0</v>
      </c>
      <c r="AP25" s="1013"/>
      <c r="AQ25" s="1013">
        <v>0</v>
      </c>
      <c r="AR25" s="1013">
        <v>0</v>
      </c>
      <c r="AS25" s="1013">
        <v>0</v>
      </c>
      <c r="AT25" s="1013">
        <v>0</v>
      </c>
      <c r="AU25" s="1013">
        <v>330</v>
      </c>
      <c r="AV25" s="1013">
        <v>330</v>
      </c>
      <c r="AW25" s="1013"/>
      <c r="AX25" s="1013"/>
      <c r="AY25" s="1013"/>
      <c r="AZ25" s="1013"/>
      <c r="BA25" s="1013"/>
      <c r="BB25" s="1014"/>
      <c r="BC25" s="1015">
        <f t="shared" si="67"/>
        <v>0</v>
      </c>
      <c r="BD25" s="1015">
        <f t="shared" si="67"/>
        <v>0</v>
      </c>
      <c r="BE25" s="1015">
        <f t="shared" si="67"/>
        <v>0</v>
      </c>
      <c r="BF25" s="1015">
        <f t="shared" si="67"/>
        <v>0</v>
      </c>
      <c r="BG25" s="1015">
        <f t="shared" si="67"/>
        <v>0</v>
      </c>
      <c r="BH25" s="1015">
        <f t="shared" si="67"/>
        <v>0</v>
      </c>
      <c r="BI25" s="1015">
        <f t="shared" si="67"/>
        <v>0</v>
      </c>
      <c r="BJ25" s="1015">
        <f t="shared" si="67"/>
        <v>0</v>
      </c>
      <c r="BK25" s="1015">
        <f t="shared" si="67"/>
        <v>0</v>
      </c>
      <c r="BL25" s="1015">
        <f t="shared" si="67"/>
        <v>0</v>
      </c>
      <c r="BM25" s="1015">
        <f t="shared" si="67"/>
        <v>0</v>
      </c>
      <c r="BN25" s="1015">
        <f t="shared" si="68"/>
        <v>0</v>
      </c>
      <c r="BO25" s="1015">
        <f t="shared" si="68"/>
        <v>0</v>
      </c>
      <c r="BP25" s="1015">
        <f t="shared" si="69"/>
        <v>0</v>
      </c>
      <c r="BQ25" s="1015">
        <f t="shared" si="69"/>
        <v>0</v>
      </c>
      <c r="BR25" s="1015">
        <f t="shared" si="69"/>
        <v>0</v>
      </c>
      <c r="BS25" s="1015">
        <f t="shared" si="69"/>
        <v>0</v>
      </c>
      <c r="BT25" s="1015">
        <f t="shared" si="69"/>
        <v>0</v>
      </c>
      <c r="BU25" s="1015">
        <f t="shared" si="69"/>
        <v>0</v>
      </c>
      <c r="BV25" s="1015">
        <f t="shared" si="69"/>
        <v>0</v>
      </c>
      <c r="BW25" s="1015">
        <f t="shared" si="69"/>
        <v>0</v>
      </c>
      <c r="BX25" s="1015">
        <f t="shared" si="69"/>
        <v>0</v>
      </c>
      <c r="BY25" s="1015">
        <f t="shared" si="69"/>
        <v>0</v>
      </c>
      <c r="BZ25" s="1015">
        <f t="shared" si="69"/>
        <v>0</v>
      </c>
      <c r="CA25" s="1015">
        <f t="shared" si="69"/>
        <v>0</v>
      </c>
      <c r="CB25" s="1015">
        <f t="shared" si="70"/>
        <v>0</v>
      </c>
      <c r="CC25" s="1015">
        <f t="shared" si="70"/>
        <v>0</v>
      </c>
      <c r="CD25" s="1015">
        <f t="shared" si="70"/>
        <v>0</v>
      </c>
      <c r="CE25" s="1015">
        <f t="shared" si="71"/>
        <v>0</v>
      </c>
      <c r="CF25" s="1015">
        <f t="shared" si="71"/>
        <v>0</v>
      </c>
      <c r="CG25" s="1015">
        <f t="shared" si="71"/>
        <v>0</v>
      </c>
      <c r="CH25" s="1015">
        <f t="shared" si="71"/>
        <v>0</v>
      </c>
      <c r="CI25" s="1015">
        <f t="shared" si="71"/>
        <v>0</v>
      </c>
      <c r="CJ25" s="1015">
        <f t="shared" si="71"/>
        <v>0</v>
      </c>
      <c r="CK25" s="1015">
        <f t="shared" si="71"/>
        <v>0</v>
      </c>
      <c r="CL25" s="1015">
        <f t="shared" si="71"/>
        <v>0</v>
      </c>
      <c r="CM25" s="1015">
        <f t="shared" si="71"/>
        <v>0</v>
      </c>
      <c r="CN25" s="1015">
        <f t="shared" si="71"/>
        <v>0</v>
      </c>
      <c r="CO25" s="1015">
        <f t="shared" si="72"/>
        <v>0</v>
      </c>
      <c r="CP25" s="1015">
        <f t="shared" si="72"/>
        <v>0</v>
      </c>
      <c r="CQ25" s="1015">
        <f t="shared" si="72"/>
        <v>0</v>
      </c>
      <c r="CR25" s="1015">
        <f t="shared" si="72"/>
        <v>0</v>
      </c>
      <c r="CS25" s="1015">
        <f t="shared" si="72"/>
        <v>0</v>
      </c>
      <c r="CT25" s="1015">
        <f t="shared" si="72"/>
        <v>0</v>
      </c>
      <c r="CU25" s="1015">
        <f t="shared" si="72"/>
        <v>0</v>
      </c>
      <c r="CV25" s="1015">
        <f t="shared" si="72"/>
        <v>0</v>
      </c>
      <c r="CW25" s="1015">
        <f t="shared" si="72"/>
        <v>0</v>
      </c>
      <c r="CX25" s="1015">
        <f t="shared" si="72"/>
        <v>0</v>
      </c>
      <c r="CY25" s="1015">
        <f t="shared" si="73"/>
        <v>0</v>
      </c>
      <c r="CZ25" s="1015">
        <f t="shared" si="73"/>
        <v>0</v>
      </c>
    </row>
    <row r="26" spans="1:104" ht="12.75" customHeight="1" x14ac:dyDescent="0.35">
      <c r="A26" s="301" t="str">
        <f>Budget!A23</f>
        <v xml:space="preserve">   Other Custom Hire, Air Seeding</v>
      </c>
      <c r="B26" s="1011">
        <f>IF(B$2=1,SUM(BC26:CZ26),"Error")</f>
        <v>0</v>
      </c>
      <c r="C26" s="1012"/>
      <c r="D26" s="1013">
        <v>0</v>
      </c>
      <c r="E26" s="1013">
        <v>0</v>
      </c>
      <c r="F26" s="1013">
        <v>0</v>
      </c>
      <c r="G26" s="1013">
        <v>0</v>
      </c>
      <c r="H26" s="1013">
        <v>0</v>
      </c>
      <c r="I26" s="1013">
        <v>0</v>
      </c>
      <c r="J26" s="1013">
        <v>0</v>
      </c>
      <c r="K26" s="1013">
        <v>0</v>
      </c>
      <c r="L26" s="1013">
        <v>0</v>
      </c>
      <c r="M26" s="1013">
        <v>0</v>
      </c>
      <c r="N26" s="1013">
        <v>0</v>
      </c>
      <c r="O26" s="1013">
        <v>0</v>
      </c>
      <c r="P26" s="1013">
        <v>0</v>
      </c>
      <c r="Q26" s="1013">
        <v>0</v>
      </c>
      <c r="R26" s="1013">
        <v>0</v>
      </c>
      <c r="S26" s="1013">
        <v>0</v>
      </c>
      <c r="T26" s="1013">
        <v>0</v>
      </c>
      <c r="U26" s="1013">
        <v>1</v>
      </c>
      <c r="V26" s="1013">
        <v>0</v>
      </c>
      <c r="W26" s="1013">
        <v>0</v>
      </c>
      <c r="X26" s="1013">
        <v>0</v>
      </c>
      <c r="Y26" s="1013">
        <v>0</v>
      </c>
      <c r="Z26" s="1013">
        <v>0</v>
      </c>
      <c r="AA26" s="1013">
        <v>0</v>
      </c>
      <c r="AB26" s="1013">
        <v>0</v>
      </c>
      <c r="AC26" s="1013">
        <v>0</v>
      </c>
      <c r="AD26" s="1013">
        <v>0</v>
      </c>
      <c r="AE26" s="1013">
        <v>0</v>
      </c>
      <c r="AF26" s="1013">
        <v>0</v>
      </c>
      <c r="AG26" s="1013">
        <v>0</v>
      </c>
      <c r="AH26" s="1013">
        <v>0</v>
      </c>
      <c r="AI26" s="1013">
        <v>0</v>
      </c>
      <c r="AJ26" s="1013">
        <v>0</v>
      </c>
      <c r="AK26" s="1013">
        <v>0</v>
      </c>
      <c r="AL26" s="1013">
        <v>0</v>
      </c>
      <c r="AM26" s="1013">
        <v>0</v>
      </c>
      <c r="AN26" s="1013">
        <v>0</v>
      </c>
      <c r="AO26" s="1013">
        <v>0</v>
      </c>
      <c r="AP26" s="1013"/>
      <c r="AQ26" s="1013">
        <v>0</v>
      </c>
      <c r="AR26" s="1013">
        <v>0</v>
      </c>
      <c r="AS26" s="1013">
        <v>0</v>
      </c>
      <c r="AT26" s="1013">
        <v>0</v>
      </c>
      <c r="AU26" s="1013">
        <v>0</v>
      </c>
      <c r="AV26" s="1013">
        <v>0</v>
      </c>
      <c r="AW26" s="1013"/>
      <c r="AX26" s="1013"/>
      <c r="AY26" s="1013"/>
      <c r="AZ26" s="1013"/>
      <c r="BA26" s="1013"/>
      <c r="BB26" s="1014"/>
      <c r="BC26" s="1015">
        <f t="shared" si="67"/>
        <v>0</v>
      </c>
      <c r="BD26" s="1015">
        <f t="shared" si="67"/>
        <v>0</v>
      </c>
      <c r="BE26" s="1015">
        <f t="shared" si="67"/>
        <v>0</v>
      </c>
      <c r="BF26" s="1015">
        <f t="shared" si="67"/>
        <v>0</v>
      </c>
      <c r="BG26" s="1015">
        <f t="shared" si="67"/>
        <v>0</v>
      </c>
      <c r="BH26" s="1015">
        <f t="shared" si="67"/>
        <v>0</v>
      </c>
      <c r="BI26" s="1015">
        <f t="shared" si="67"/>
        <v>0</v>
      </c>
      <c r="BJ26" s="1015">
        <f t="shared" si="67"/>
        <v>0</v>
      </c>
      <c r="BK26" s="1015">
        <f t="shared" si="67"/>
        <v>0</v>
      </c>
      <c r="BL26" s="1015">
        <f t="shared" si="67"/>
        <v>0</v>
      </c>
      <c r="BM26" s="1015">
        <f t="shared" si="67"/>
        <v>0</v>
      </c>
      <c r="BN26" s="1015">
        <f t="shared" si="68"/>
        <v>0</v>
      </c>
      <c r="BO26" s="1015">
        <f t="shared" si="68"/>
        <v>0</v>
      </c>
      <c r="BP26" s="1015">
        <f t="shared" si="69"/>
        <v>0</v>
      </c>
      <c r="BQ26" s="1015">
        <f t="shared" si="69"/>
        <v>0</v>
      </c>
      <c r="BR26" s="1015">
        <f t="shared" si="69"/>
        <v>0</v>
      </c>
      <c r="BS26" s="1015">
        <f t="shared" si="69"/>
        <v>0</v>
      </c>
      <c r="BT26" s="1015">
        <f t="shared" si="69"/>
        <v>0</v>
      </c>
      <c r="BU26" s="1015">
        <f t="shared" si="69"/>
        <v>0</v>
      </c>
      <c r="BV26" s="1015">
        <f t="shared" si="69"/>
        <v>0</v>
      </c>
      <c r="BW26" s="1015">
        <f t="shared" si="69"/>
        <v>0</v>
      </c>
      <c r="BX26" s="1015">
        <f t="shared" si="69"/>
        <v>0</v>
      </c>
      <c r="BY26" s="1015">
        <f t="shared" si="69"/>
        <v>0</v>
      </c>
      <c r="BZ26" s="1015">
        <f t="shared" si="69"/>
        <v>0</v>
      </c>
      <c r="CA26" s="1015">
        <f t="shared" si="69"/>
        <v>0</v>
      </c>
      <c r="CB26" s="1015">
        <f t="shared" si="70"/>
        <v>0</v>
      </c>
      <c r="CC26" s="1015">
        <f t="shared" si="70"/>
        <v>0</v>
      </c>
      <c r="CD26" s="1015">
        <f t="shared" si="70"/>
        <v>0</v>
      </c>
      <c r="CE26" s="1015">
        <f t="shared" si="71"/>
        <v>0</v>
      </c>
      <c r="CF26" s="1015">
        <f t="shared" si="71"/>
        <v>0</v>
      </c>
      <c r="CG26" s="1015">
        <f t="shared" si="71"/>
        <v>0</v>
      </c>
      <c r="CH26" s="1015">
        <f t="shared" si="71"/>
        <v>0</v>
      </c>
      <c r="CI26" s="1015">
        <f t="shared" si="71"/>
        <v>0</v>
      </c>
      <c r="CJ26" s="1015">
        <f t="shared" si="71"/>
        <v>0</v>
      </c>
      <c r="CK26" s="1015">
        <f t="shared" si="71"/>
        <v>0</v>
      </c>
      <c r="CL26" s="1015">
        <f t="shared" si="71"/>
        <v>0</v>
      </c>
      <c r="CM26" s="1015">
        <f t="shared" si="71"/>
        <v>0</v>
      </c>
      <c r="CN26" s="1015">
        <f t="shared" si="71"/>
        <v>0</v>
      </c>
      <c r="CO26" s="1015">
        <f t="shared" si="72"/>
        <v>0</v>
      </c>
      <c r="CP26" s="1015">
        <f t="shared" si="72"/>
        <v>0</v>
      </c>
      <c r="CQ26" s="1015">
        <f t="shared" si="72"/>
        <v>0</v>
      </c>
      <c r="CR26" s="1015">
        <f t="shared" si="72"/>
        <v>0</v>
      </c>
      <c r="CS26" s="1015">
        <f t="shared" si="72"/>
        <v>0</v>
      </c>
      <c r="CT26" s="1015">
        <f t="shared" si="72"/>
        <v>0</v>
      </c>
      <c r="CU26" s="1015">
        <f t="shared" si="72"/>
        <v>0</v>
      </c>
      <c r="CV26" s="1015">
        <f t="shared" si="72"/>
        <v>0</v>
      </c>
      <c r="CW26" s="1015">
        <f t="shared" si="72"/>
        <v>0</v>
      </c>
      <c r="CX26" s="1015">
        <f t="shared" si="72"/>
        <v>0</v>
      </c>
      <c r="CY26" s="1015">
        <f t="shared" si="73"/>
        <v>0</v>
      </c>
      <c r="CZ26" s="1015">
        <f t="shared" si="73"/>
        <v>0</v>
      </c>
    </row>
    <row r="27" spans="1:104" ht="12.75" customHeight="1" x14ac:dyDescent="0.35">
      <c r="A27" s="998"/>
      <c r="B27" s="1016"/>
      <c r="C27" s="1017"/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8"/>
      <c r="AA27" s="1018"/>
      <c r="AB27" s="1018"/>
      <c r="AC27" s="1018"/>
      <c r="AD27" s="1018"/>
      <c r="AE27" s="1018"/>
      <c r="AF27" s="1018"/>
      <c r="AG27" s="1018"/>
      <c r="AH27" s="1018"/>
      <c r="AI27" s="1018"/>
      <c r="AJ27" s="1018"/>
      <c r="AK27" s="1018"/>
      <c r="AL27" s="1018"/>
      <c r="AM27" s="1018"/>
      <c r="AN27" s="1018"/>
      <c r="AO27" s="1018"/>
      <c r="AP27" s="1018"/>
      <c r="AQ27" s="1018"/>
      <c r="AR27" s="1018"/>
      <c r="AS27" s="1018"/>
      <c r="AT27" s="1018"/>
      <c r="AU27" s="1018"/>
      <c r="AV27" s="1018"/>
      <c r="AW27" s="1018"/>
      <c r="AX27" s="1018"/>
      <c r="AY27" s="1018"/>
      <c r="AZ27" s="1018"/>
      <c r="BA27" s="1018"/>
      <c r="BB27" s="832"/>
      <c r="BC27" s="1019"/>
      <c r="BD27" s="1019"/>
      <c r="BE27" s="1019"/>
      <c r="BF27" s="1019"/>
      <c r="BG27" s="1019"/>
      <c r="BH27" s="1019"/>
      <c r="BI27" s="1019"/>
      <c r="BJ27" s="1019"/>
      <c r="BK27" s="1019"/>
      <c r="BL27" s="1019"/>
      <c r="BM27" s="1019"/>
      <c r="BN27" s="1019"/>
      <c r="BO27" s="1019"/>
      <c r="BP27" s="1019"/>
      <c r="BQ27" s="1019"/>
      <c r="BR27" s="1019"/>
      <c r="BS27" s="1019"/>
      <c r="BT27" s="1019"/>
      <c r="BU27" s="1019"/>
      <c r="BV27" s="1019"/>
      <c r="BW27" s="1019"/>
      <c r="BX27" s="1019"/>
      <c r="BY27" s="1019"/>
      <c r="BZ27" s="1019"/>
      <c r="CA27" s="1019"/>
      <c r="CB27" s="1019"/>
      <c r="CC27" s="1019"/>
      <c r="CD27" s="1019"/>
      <c r="CE27" s="1019"/>
      <c r="CF27" s="1019"/>
      <c r="CG27" s="1019"/>
      <c r="CH27" s="1019"/>
      <c r="CI27" s="1019"/>
      <c r="CJ27" s="1019"/>
      <c r="CK27" s="1019"/>
      <c r="CL27" s="1019"/>
      <c r="CM27" s="1019"/>
      <c r="CN27" s="1019"/>
      <c r="CO27" s="1019"/>
      <c r="CP27" s="1019"/>
      <c r="CQ27" s="1019"/>
      <c r="CR27" s="1019"/>
      <c r="CS27" s="1019"/>
      <c r="CT27" s="1019"/>
      <c r="CU27" s="1019"/>
      <c r="CV27" s="1019"/>
      <c r="CW27" s="1019"/>
      <c r="CX27" s="1019"/>
      <c r="CY27" s="1019"/>
      <c r="CZ27" s="1019"/>
    </row>
    <row r="28" spans="1:104" ht="12.75" customHeight="1" x14ac:dyDescent="0.4">
      <c r="A28" s="994" t="s">
        <v>658</v>
      </c>
      <c r="B28" s="1020">
        <f>IF(B$2=1,SUM(BC28:CZ28),"Error")</f>
        <v>10</v>
      </c>
      <c r="C28" s="1017"/>
      <c r="D28" s="1021">
        <v>14</v>
      </c>
      <c r="E28" s="1021">
        <v>14</v>
      </c>
      <c r="F28" s="1021">
        <v>0</v>
      </c>
      <c r="G28" s="1021">
        <v>12</v>
      </c>
      <c r="H28" s="1021">
        <v>12</v>
      </c>
      <c r="I28" s="1021">
        <v>0</v>
      </c>
      <c r="J28" s="1021">
        <v>12</v>
      </c>
      <c r="K28" s="1021">
        <v>12</v>
      </c>
      <c r="L28" s="1021">
        <v>0</v>
      </c>
      <c r="M28" s="1021">
        <v>12</v>
      </c>
      <c r="N28" s="1021">
        <v>10</v>
      </c>
      <c r="O28" s="1021">
        <v>10</v>
      </c>
      <c r="P28" s="1021">
        <v>0</v>
      </c>
      <c r="Q28" s="1021">
        <v>30</v>
      </c>
      <c r="R28" s="1021">
        <v>30</v>
      </c>
      <c r="S28" s="1021">
        <v>30</v>
      </c>
      <c r="T28" s="1021">
        <v>30</v>
      </c>
      <c r="U28" s="1021">
        <v>24</v>
      </c>
      <c r="V28" s="1021">
        <v>12</v>
      </c>
      <c r="W28" s="1021">
        <v>12</v>
      </c>
      <c r="X28" s="1021">
        <v>0</v>
      </c>
      <c r="Y28" s="1021">
        <v>12</v>
      </c>
      <c r="Z28" s="1021">
        <v>12</v>
      </c>
      <c r="AA28" s="1021">
        <v>12</v>
      </c>
      <c r="AB28" s="1021">
        <v>0</v>
      </c>
      <c r="AC28" s="1021">
        <v>12</v>
      </c>
      <c r="AD28" s="1021">
        <v>12</v>
      </c>
      <c r="AE28" s="1021">
        <v>0</v>
      </c>
      <c r="AF28" s="1021">
        <v>12</v>
      </c>
      <c r="AG28" s="1021">
        <v>12</v>
      </c>
      <c r="AH28" s="1021">
        <v>0</v>
      </c>
      <c r="AI28" s="1021">
        <v>14</v>
      </c>
      <c r="AJ28" s="1021">
        <v>14</v>
      </c>
      <c r="AK28" s="1021">
        <v>0</v>
      </c>
      <c r="AL28" s="1021">
        <v>12</v>
      </c>
      <c r="AM28" s="1021">
        <v>0</v>
      </c>
      <c r="AN28" s="1021">
        <v>12</v>
      </c>
      <c r="AO28" s="1021">
        <v>12</v>
      </c>
      <c r="AP28" s="1021"/>
      <c r="AQ28" s="1021">
        <v>30</v>
      </c>
      <c r="AR28" s="1021">
        <v>30</v>
      </c>
      <c r="AS28" s="1021">
        <v>30</v>
      </c>
      <c r="AT28" s="1021">
        <v>30</v>
      </c>
      <c r="AU28" s="1021">
        <v>30</v>
      </c>
      <c r="AV28" s="1021">
        <v>30</v>
      </c>
      <c r="AW28" s="1021"/>
      <c r="AX28" s="1021"/>
      <c r="AY28" s="1021"/>
      <c r="AZ28" s="1021"/>
      <c r="BA28" s="1021"/>
      <c r="BB28" s="1022"/>
      <c r="BC28" s="1023">
        <f t="shared" ref="BC28:CH28" si="74">IF(D$2=1,D28,0)</f>
        <v>0</v>
      </c>
      <c r="BD28" s="1023">
        <f t="shared" si="74"/>
        <v>0</v>
      </c>
      <c r="BE28" s="1023">
        <f t="shared" si="74"/>
        <v>0</v>
      </c>
      <c r="BF28" s="1023">
        <f t="shared" si="74"/>
        <v>0</v>
      </c>
      <c r="BG28" s="1023">
        <f t="shared" si="74"/>
        <v>0</v>
      </c>
      <c r="BH28" s="1023">
        <f t="shared" si="74"/>
        <v>0</v>
      </c>
      <c r="BI28" s="1023">
        <f t="shared" si="74"/>
        <v>0</v>
      </c>
      <c r="BJ28" s="1023">
        <f t="shared" si="74"/>
        <v>0</v>
      </c>
      <c r="BK28" s="1023">
        <f t="shared" si="74"/>
        <v>0</v>
      </c>
      <c r="BL28" s="1023">
        <f t="shared" si="74"/>
        <v>0</v>
      </c>
      <c r="BM28" s="1023">
        <f t="shared" si="74"/>
        <v>10</v>
      </c>
      <c r="BN28" s="1023">
        <f t="shared" si="74"/>
        <v>0</v>
      </c>
      <c r="BO28" s="1023">
        <f t="shared" si="74"/>
        <v>0</v>
      </c>
      <c r="BP28" s="1023">
        <f t="shared" si="74"/>
        <v>0</v>
      </c>
      <c r="BQ28" s="1023">
        <f t="shared" si="74"/>
        <v>0</v>
      </c>
      <c r="BR28" s="1023">
        <f t="shared" si="74"/>
        <v>0</v>
      </c>
      <c r="BS28" s="1023">
        <f t="shared" si="74"/>
        <v>0</v>
      </c>
      <c r="BT28" s="1023">
        <f t="shared" si="74"/>
        <v>0</v>
      </c>
      <c r="BU28" s="1023">
        <f t="shared" si="74"/>
        <v>0</v>
      </c>
      <c r="BV28" s="1023">
        <f t="shared" si="74"/>
        <v>0</v>
      </c>
      <c r="BW28" s="1023">
        <f t="shared" si="74"/>
        <v>0</v>
      </c>
      <c r="BX28" s="1023">
        <f t="shared" si="74"/>
        <v>0</v>
      </c>
      <c r="BY28" s="1023">
        <f t="shared" si="74"/>
        <v>0</v>
      </c>
      <c r="BZ28" s="1023">
        <f t="shared" si="74"/>
        <v>0</v>
      </c>
      <c r="CA28" s="1023">
        <f t="shared" si="74"/>
        <v>0</v>
      </c>
      <c r="CB28" s="1023">
        <f t="shared" si="74"/>
        <v>0</v>
      </c>
      <c r="CC28" s="1023">
        <f t="shared" si="74"/>
        <v>0</v>
      </c>
      <c r="CD28" s="1023">
        <f t="shared" si="74"/>
        <v>0</v>
      </c>
      <c r="CE28" s="1023">
        <f t="shared" si="74"/>
        <v>0</v>
      </c>
      <c r="CF28" s="1023">
        <f t="shared" si="74"/>
        <v>0</v>
      </c>
      <c r="CG28" s="1023">
        <f t="shared" si="74"/>
        <v>0</v>
      </c>
      <c r="CH28" s="1023">
        <f t="shared" si="74"/>
        <v>0</v>
      </c>
      <c r="CI28" s="1023">
        <f t="shared" ref="CI28:CZ28" si="75">IF(AJ$2=1,AJ28,0)</f>
        <v>0</v>
      </c>
      <c r="CJ28" s="1023">
        <f t="shared" si="75"/>
        <v>0</v>
      </c>
      <c r="CK28" s="1023">
        <f t="shared" si="75"/>
        <v>0</v>
      </c>
      <c r="CL28" s="1023">
        <f t="shared" si="75"/>
        <v>0</v>
      </c>
      <c r="CM28" s="1023">
        <f t="shared" si="75"/>
        <v>0</v>
      </c>
      <c r="CN28" s="1023">
        <f t="shared" si="75"/>
        <v>0</v>
      </c>
      <c r="CO28" s="1023">
        <f t="shared" si="75"/>
        <v>0</v>
      </c>
      <c r="CP28" s="1023">
        <f t="shared" si="75"/>
        <v>0</v>
      </c>
      <c r="CQ28" s="1023">
        <f t="shared" si="75"/>
        <v>0</v>
      </c>
      <c r="CR28" s="1023">
        <f t="shared" si="75"/>
        <v>0</v>
      </c>
      <c r="CS28" s="1023">
        <f t="shared" si="75"/>
        <v>0</v>
      </c>
      <c r="CT28" s="1023">
        <f t="shared" si="75"/>
        <v>0</v>
      </c>
      <c r="CU28" s="1023">
        <f t="shared" si="75"/>
        <v>0</v>
      </c>
      <c r="CV28" s="1023">
        <f t="shared" si="75"/>
        <v>0</v>
      </c>
      <c r="CW28" s="1023">
        <f t="shared" si="75"/>
        <v>0</v>
      </c>
      <c r="CX28" s="1023">
        <f t="shared" si="75"/>
        <v>0</v>
      </c>
      <c r="CY28" s="1023">
        <f t="shared" si="75"/>
        <v>0</v>
      </c>
      <c r="CZ28" s="1023">
        <f t="shared" si="75"/>
        <v>0</v>
      </c>
    </row>
    <row r="29" spans="1:104" ht="12.75" customHeight="1" x14ac:dyDescent="0.4">
      <c r="A29" s="388"/>
      <c r="B29" s="1034"/>
      <c r="C29" s="1035"/>
      <c r="D29" s="1036"/>
      <c r="E29" s="1036"/>
      <c r="F29" s="1036"/>
      <c r="G29" s="1036"/>
      <c r="H29" s="1036"/>
      <c r="I29" s="1036"/>
      <c r="J29" s="1036"/>
      <c r="K29" s="1036"/>
      <c r="L29" s="1036"/>
      <c r="M29" s="1036"/>
      <c r="N29" s="1036"/>
      <c r="O29" s="1036"/>
      <c r="P29" s="1036"/>
      <c r="Q29" s="1036"/>
      <c r="R29" s="1036"/>
      <c r="S29" s="1036"/>
      <c r="T29" s="1036"/>
      <c r="U29" s="1036"/>
      <c r="V29" s="1036"/>
      <c r="W29" s="1036"/>
      <c r="X29" s="1036"/>
      <c r="Y29" s="1036"/>
      <c r="Z29" s="1036"/>
      <c r="AA29" s="1036"/>
      <c r="AB29" s="1036"/>
      <c r="AC29" s="1036"/>
      <c r="AD29" s="1036"/>
      <c r="AE29" s="1036"/>
      <c r="AF29" s="1036"/>
      <c r="AG29" s="1036"/>
      <c r="AH29" s="1036"/>
      <c r="AI29" s="1036"/>
      <c r="AJ29" s="1036"/>
      <c r="AK29" s="1036"/>
      <c r="AL29" s="1036"/>
      <c r="AM29" s="1036"/>
      <c r="AN29" s="1036"/>
      <c r="AO29" s="1036"/>
      <c r="AP29" s="1036"/>
      <c r="AQ29" s="1036"/>
      <c r="AR29" s="1036"/>
      <c r="AS29" s="1036"/>
      <c r="AT29" s="1036"/>
      <c r="AU29" s="1036"/>
      <c r="AV29" s="1036"/>
      <c r="AW29" s="1036"/>
      <c r="AX29" s="1036"/>
      <c r="AY29" s="1036"/>
      <c r="AZ29" s="1036"/>
      <c r="BA29" s="1036"/>
      <c r="BB29" s="1037"/>
      <c r="BC29" s="1038"/>
      <c r="BD29" s="1038"/>
      <c r="BE29" s="1038"/>
      <c r="BF29" s="1038"/>
      <c r="BG29" s="1038"/>
      <c r="BH29" s="1038"/>
      <c r="BI29" s="1038"/>
      <c r="BJ29" s="1038"/>
      <c r="BK29" s="1038"/>
      <c r="BL29" s="1038"/>
      <c r="BM29" s="1038"/>
      <c r="BN29" s="1038"/>
      <c r="BO29" s="1038"/>
      <c r="BP29" s="1038"/>
      <c r="BQ29" s="1038"/>
      <c r="BR29" s="1038"/>
      <c r="BS29" s="1038"/>
      <c r="BT29" s="1038"/>
      <c r="BU29" s="1038"/>
      <c r="BV29" s="1038"/>
      <c r="BW29" s="1038"/>
      <c r="BX29" s="1038"/>
      <c r="BY29" s="1038"/>
      <c r="BZ29" s="1038"/>
      <c r="CA29" s="1038"/>
      <c r="CB29" s="1038"/>
      <c r="CC29" s="1038"/>
      <c r="CD29" s="1038"/>
      <c r="CE29" s="1038"/>
      <c r="CF29" s="1038"/>
      <c r="CG29" s="1038"/>
      <c r="CH29" s="1038"/>
      <c r="CI29" s="1038"/>
      <c r="CJ29" s="1038"/>
      <c r="CK29" s="1038"/>
      <c r="CL29" s="1038"/>
      <c r="CM29" s="1038"/>
      <c r="CN29" s="1038"/>
      <c r="CO29" s="1038"/>
      <c r="CP29" s="1038"/>
      <c r="CQ29" s="1038"/>
      <c r="CR29" s="1038"/>
      <c r="CS29" s="1038"/>
      <c r="CT29" s="1038"/>
      <c r="CU29" s="1038"/>
      <c r="CV29" s="1038"/>
      <c r="CW29" s="1038"/>
      <c r="CX29" s="1038"/>
      <c r="CY29" s="1038"/>
      <c r="CZ29" s="1038"/>
    </row>
    <row r="30" spans="1:104" ht="12.75" customHeight="1" x14ac:dyDescent="0.35">
      <c r="A30" s="1041" t="str">
        <f>Budget!A31</f>
        <v>Supplies (ex. polypipe)</v>
      </c>
      <c r="B30" s="1042">
        <f>IF(B$2=1,SUM(BC30:CZ30),"Error")</f>
        <v>16.25</v>
      </c>
      <c r="C30" s="1043"/>
      <c r="D30" s="1044">
        <v>16.25</v>
      </c>
      <c r="E30" s="1044">
        <v>0</v>
      </c>
      <c r="F30" s="1044">
        <v>0</v>
      </c>
      <c r="G30" s="1044">
        <v>16.25</v>
      </c>
      <c r="H30" s="1044">
        <v>0</v>
      </c>
      <c r="I30" s="1044">
        <v>0</v>
      </c>
      <c r="J30" s="1044">
        <v>16.25</v>
      </c>
      <c r="K30" s="1044">
        <v>0</v>
      </c>
      <c r="L30" s="1044">
        <v>0</v>
      </c>
      <c r="M30" s="1044">
        <v>16.25</v>
      </c>
      <c r="N30" s="1044">
        <v>16.25</v>
      </c>
      <c r="O30" s="1044">
        <v>0</v>
      </c>
      <c r="P30" s="1044">
        <v>0</v>
      </c>
      <c r="Q30" s="1044">
        <v>0</v>
      </c>
      <c r="R30" s="1044">
        <v>0</v>
      </c>
      <c r="S30" s="1044">
        <v>0</v>
      </c>
      <c r="T30" s="1044">
        <v>0</v>
      </c>
      <c r="U30" s="1044">
        <v>0</v>
      </c>
      <c r="V30" s="1044">
        <v>16.25</v>
      </c>
      <c r="W30" s="1044">
        <v>0</v>
      </c>
      <c r="X30" s="1044">
        <v>0</v>
      </c>
      <c r="Y30" s="1044">
        <v>0</v>
      </c>
      <c r="Z30" s="1044">
        <v>16.25</v>
      </c>
      <c r="AA30" s="1044">
        <v>0</v>
      </c>
      <c r="AB30" s="1044">
        <v>0</v>
      </c>
      <c r="AC30" s="1044">
        <v>0</v>
      </c>
      <c r="AD30" s="1044">
        <v>16.25</v>
      </c>
      <c r="AE30" s="1044">
        <v>0</v>
      </c>
      <c r="AF30" s="1044">
        <v>16.25</v>
      </c>
      <c r="AG30" s="1044">
        <v>0</v>
      </c>
      <c r="AH30" s="1044">
        <v>0</v>
      </c>
      <c r="AI30" s="1044">
        <v>16.25</v>
      </c>
      <c r="AJ30" s="1044">
        <v>0</v>
      </c>
      <c r="AK30" s="1044">
        <v>0</v>
      </c>
      <c r="AL30" s="1044">
        <v>0</v>
      </c>
      <c r="AM30" s="1044">
        <v>0</v>
      </c>
      <c r="AN30" s="1044">
        <v>0</v>
      </c>
      <c r="AO30" s="1044">
        <v>0</v>
      </c>
      <c r="AP30" s="1044"/>
      <c r="AQ30" s="1044">
        <v>16.25</v>
      </c>
      <c r="AR30" s="1044">
        <v>16.25</v>
      </c>
      <c r="AS30" s="1044">
        <v>16.25</v>
      </c>
      <c r="AT30" s="1044">
        <v>16.25</v>
      </c>
      <c r="AU30" s="1044">
        <v>0</v>
      </c>
      <c r="AV30" s="1044">
        <v>0</v>
      </c>
      <c r="AW30" s="1044"/>
      <c r="AX30" s="1044"/>
      <c r="AY30" s="1044"/>
      <c r="AZ30" s="1044"/>
      <c r="BA30" s="1044"/>
      <c r="BB30" s="1045"/>
      <c r="BC30" s="1046">
        <f t="shared" ref="BC30:BC35" si="76">IF(D$2=1,D30,0)</f>
        <v>0</v>
      </c>
      <c r="BD30" s="1046">
        <f t="shared" ref="BD30:BD35" si="77">IF(E$2=1,E30,0)</f>
        <v>0</v>
      </c>
      <c r="BE30" s="1046">
        <f t="shared" ref="BE30:BE35" si="78">IF(F$2=1,F30,0)</f>
        <v>0</v>
      </c>
      <c r="BF30" s="1046">
        <f t="shared" ref="BF30:BF35" si="79">IF(G$2=1,G30,0)</f>
        <v>0</v>
      </c>
      <c r="BG30" s="1046">
        <f t="shared" ref="BG30:BP31" si="80">IF(H$2=1,H30,0)</f>
        <v>0</v>
      </c>
      <c r="BH30" s="1046">
        <f t="shared" si="80"/>
        <v>0</v>
      </c>
      <c r="BI30" s="1046">
        <f t="shared" si="80"/>
        <v>0</v>
      </c>
      <c r="BJ30" s="1046">
        <f t="shared" si="80"/>
        <v>0</v>
      </c>
      <c r="BK30" s="1046">
        <f t="shared" si="80"/>
        <v>0</v>
      </c>
      <c r="BL30" s="1046">
        <f t="shared" si="80"/>
        <v>0</v>
      </c>
      <c r="BM30" s="1046">
        <f t="shared" si="80"/>
        <v>16.25</v>
      </c>
      <c r="BN30" s="1046">
        <f t="shared" si="80"/>
        <v>0</v>
      </c>
      <c r="BO30" s="1046">
        <f t="shared" si="80"/>
        <v>0</v>
      </c>
      <c r="BP30" s="1046">
        <f t="shared" si="80"/>
        <v>0</v>
      </c>
      <c r="BQ30" s="1046">
        <f t="shared" ref="BQ30:BZ31" si="81">IF(R$2=1,R30,0)</f>
        <v>0</v>
      </c>
      <c r="BR30" s="1046">
        <f t="shared" si="81"/>
        <v>0</v>
      </c>
      <c r="BS30" s="1046">
        <f t="shared" si="81"/>
        <v>0</v>
      </c>
      <c r="BT30" s="1046">
        <f t="shared" si="81"/>
        <v>0</v>
      </c>
      <c r="BU30" s="1046">
        <f t="shared" si="81"/>
        <v>0</v>
      </c>
      <c r="BV30" s="1046">
        <f t="shared" si="81"/>
        <v>0</v>
      </c>
      <c r="BW30" s="1046">
        <f t="shared" si="81"/>
        <v>0</v>
      </c>
      <c r="BX30" s="1046">
        <f t="shared" si="81"/>
        <v>0</v>
      </c>
      <c r="BY30" s="1046">
        <f t="shared" si="81"/>
        <v>0</v>
      </c>
      <c r="BZ30" s="1046">
        <f t="shared" si="81"/>
        <v>0</v>
      </c>
      <c r="CA30" s="1046">
        <f t="shared" ref="CA30:CA31" si="82">IF(AB$2=1,AB30,0)</f>
        <v>0</v>
      </c>
      <c r="CB30" s="1046">
        <f t="shared" ref="CB30:CD31" si="83">IF(AC$2=1,AC30,0)</f>
        <v>0</v>
      </c>
      <c r="CC30" s="1046">
        <f t="shared" si="83"/>
        <v>0</v>
      </c>
      <c r="CD30" s="1046">
        <f t="shared" si="83"/>
        <v>0</v>
      </c>
      <c r="CE30" s="1046">
        <f t="shared" ref="CE30:CN31" si="84">IF(AF$2=1,AF30,0)</f>
        <v>0</v>
      </c>
      <c r="CF30" s="1046">
        <f t="shared" si="84"/>
        <v>0</v>
      </c>
      <c r="CG30" s="1046">
        <f t="shared" si="84"/>
        <v>0</v>
      </c>
      <c r="CH30" s="1046">
        <f t="shared" si="84"/>
        <v>0</v>
      </c>
      <c r="CI30" s="1046">
        <f t="shared" si="84"/>
        <v>0</v>
      </c>
      <c r="CJ30" s="1046">
        <f t="shared" si="84"/>
        <v>0</v>
      </c>
      <c r="CK30" s="1046">
        <f t="shared" si="84"/>
        <v>0</v>
      </c>
      <c r="CL30" s="1046">
        <f t="shared" si="84"/>
        <v>0</v>
      </c>
      <c r="CM30" s="1046">
        <f t="shared" si="84"/>
        <v>0</v>
      </c>
      <c r="CN30" s="1046">
        <f t="shared" si="84"/>
        <v>0</v>
      </c>
      <c r="CO30" s="1046">
        <f t="shared" ref="CO30:CX31" si="85">IF(AP$2=1,AP30,0)</f>
        <v>0</v>
      </c>
      <c r="CP30" s="1046">
        <f t="shared" si="85"/>
        <v>0</v>
      </c>
      <c r="CQ30" s="1046">
        <f t="shared" si="85"/>
        <v>0</v>
      </c>
      <c r="CR30" s="1046">
        <f t="shared" si="85"/>
        <v>0</v>
      </c>
      <c r="CS30" s="1046">
        <f t="shared" si="85"/>
        <v>0</v>
      </c>
      <c r="CT30" s="1046">
        <f t="shared" si="85"/>
        <v>0</v>
      </c>
      <c r="CU30" s="1046">
        <f t="shared" si="85"/>
        <v>0</v>
      </c>
      <c r="CV30" s="1046">
        <f t="shared" si="85"/>
        <v>0</v>
      </c>
      <c r="CW30" s="1046">
        <f t="shared" si="85"/>
        <v>0</v>
      </c>
      <c r="CX30" s="1046">
        <f t="shared" si="85"/>
        <v>0</v>
      </c>
      <c r="CY30" s="1046">
        <f t="shared" ref="CY30:CZ31" si="86">IF(AZ$2=1,AZ30,0)</f>
        <v>0</v>
      </c>
      <c r="CZ30" s="1046">
        <f t="shared" si="86"/>
        <v>0</v>
      </c>
    </row>
    <row r="31" spans="1:104" ht="12.75" customHeight="1" x14ac:dyDescent="0.35">
      <c r="A31" s="300" t="str">
        <f>Budget!A32</f>
        <v>Other Inputs</v>
      </c>
      <c r="B31" s="1024">
        <f>IF(B$2=1,SUM(BC31:CZ31),"Error")</f>
        <v>0</v>
      </c>
      <c r="C31" s="1025"/>
      <c r="D31" s="1026">
        <v>0</v>
      </c>
      <c r="E31" s="1026">
        <v>0</v>
      </c>
      <c r="F31" s="1026">
        <v>0</v>
      </c>
      <c r="G31" s="1049">
        <v>19.600000000000001</v>
      </c>
      <c r="H31" s="1049">
        <v>19.600000000000001</v>
      </c>
      <c r="I31" s="1049">
        <v>13.1</v>
      </c>
      <c r="J31" s="1049">
        <v>19.600000000000001</v>
      </c>
      <c r="K31" s="1049">
        <v>19.600000000000001</v>
      </c>
      <c r="L31" s="1049">
        <v>13.1</v>
      </c>
      <c r="M31" s="1049">
        <v>19.600000000000001</v>
      </c>
      <c r="N31" s="1026">
        <v>0</v>
      </c>
      <c r="O31" s="1026">
        <v>0</v>
      </c>
      <c r="P31" s="1026">
        <v>0</v>
      </c>
      <c r="Q31" s="1026">
        <v>0.65</v>
      </c>
      <c r="R31" s="1026">
        <v>0.65</v>
      </c>
      <c r="S31" s="1026">
        <v>0.65</v>
      </c>
      <c r="T31" s="1026">
        <v>0.65</v>
      </c>
      <c r="U31" s="1026">
        <v>0</v>
      </c>
      <c r="V31" s="1026">
        <v>0</v>
      </c>
      <c r="W31" s="1026">
        <v>0</v>
      </c>
      <c r="X31" s="1026">
        <v>0</v>
      </c>
      <c r="Y31" s="1026">
        <v>0.65</v>
      </c>
      <c r="Z31" s="1026">
        <v>0</v>
      </c>
      <c r="AA31" s="1026">
        <v>0</v>
      </c>
      <c r="AB31" s="1026">
        <v>0</v>
      </c>
      <c r="AC31" s="1026">
        <v>0.65</v>
      </c>
      <c r="AD31" s="1026">
        <v>0</v>
      </c>
      <c r="AE31" s="1026">
        <v>0</v>
      </c>
      <c r="AF31" s="1026">
        <v>0</v>
      </c>
      <c r="AG31" s="1026">
        <v>0</v>
      </c>
      <c r="AH31" s="1026">
        <v>0</v>
      </c>
      <c r="AI31" s="1026">
        <v>0</v>
      </c>
      <c r="AJ31" s="1026">
        <v>0</v>
      </c>
      <c r="AK31" s="1026">
        <v>0</v>
      </c>
      <c r="AL31" s="1026">
        <v>0</v>
      </c>
      <c r="AM31" s="1026">
        <v>0</v>
      </c>
      <c r="AN31" s="1026">
        <v>0.65</v>
      </c>
      <c r="AO31" s="1049">
        <f>IF(AND(Machine!$B$67=1,Machine!$J$67=1),10.94*(AO4/500),0)</f>
        <v>0</v>
      </c>
      <c r="AP31" s="1049">
        <f>IF(AND(Machine!$B$67=1,Machine!$J$67=1),10.94*(AP4/500),0)</f>
        <v>0</v>
      </c>
      <c r="AQ31" s="1026">
        <v>0</v>
      </c>
      <c r="AR31" s="1026">
        <v>0</v>
      </c>
      <c r="AS31" s="1026">
        <v>0</v>
      </c>
      <c r="AT31" s="1026">
        <v>0</v>
      </c>
      <c r="AU31" s="1026">
        <v>0.65</v>
      </c>
      <c r="AV31" s="1026">
        <v>0.65</v>
      </c>
      <c r="AW31" s="1026"/>
      <c r="AX31" s="1026"/>
      <c r="AY31" s="1026"/>
      <c r="AZ31" s="1026"/>
      <c r="BA31" s="1026"/>
      <c r="BB31" s="1027"/>
      <c r="BC31" s="1028">
        <f t="shared" si="76"/>
        <v>0</v>
      </c>
      <c r="BD31" s="1028">
        <f t="shared" si="77"/>
        <v>0</v>
      </c>
      <c r="BE31" s="1028">
        <f t="shared" si="78"/>
        <v>0</v>
      </c>
      <c r="BF31" s="1028">
        <f t="shared" si="79"/>
        <v>0</v>
      </c>
      <c r="BG31" s="1028">
        <f t="shared" si="80"/>
        <v>0</v>
      </c>
      <c r="BH31" s="1028">
        <f t="shared" si="80"/>
        <v>0</v>
      </c>
      <c r="BI31" s="1028">
        <f t="shared" si="80"/>
        <v>0</v>
      </c>
      <c r="BJ31" s="1028">
        <f t="shared" si="80"/>
        <v>0</v>
      </c>
      <c r="BK31" s="1028">
        <f t="shared" si="80"/>
        <v>0</v>
      </c>
      <c r="BL31" s="1028">
        <f t="shared" si="80"/>
        <v>0</v>
      </c>
      <c r="BM31" s="1028">
        <f t="shared" si="80"/>
        <v>0</v>
      </c>
      <c r="BN31" s="1028">
        <f t="shared" si="80"/>
        <v>0</v>
      </c>
      <c r="BO31" s="1028">
        <f t="shared" si="80"/>
        <v>0</v>
      </c>
      <c r="BP31" s="1028">
        <f t="shared" si="80"/>
        <v>0</v>
      </c>
      <c r="BQ31" s="1028">
        <f t="shared" si="81"/>
        <v>0</v>
      </c>
      <c r="BR31" s="1028">
        <f t="shared" si="81"/>
        <v>0</v>
      </c>
      <c r="BS31" s="1028">
        <f t="shared" si="81"/>
        <v>0</v>
      </c>
      <c r="BT31" s="1028">
        <f t="shared" si="81"/>
        <v>0</v>
      </c>
      <c r="BU31" s="1028">
        <f t="shared" si="81"/>
        <v>0</v>
      </c>
      <c r="BV31" s="1028">
        <f t="shared" si="81"/>
        <v>0</v>
      </c>
      <c r="BW31" s="1028">
        <f t="shared" si="81"/>
        <v>0</v>
      </c>
      <c r="BX31" s="1028">
        <f t="shared" si="81"/>
        <v>0</v>
      </c>
      <c r="BY31" s="1028">
        <f t="shared" si="81"/>
        <v>0</v>
      </c>
      <c r="BZ31" s="1028">
        <f t="shared" si="81"/>
        <v>0</v>
      </c>
      <c r="CA31" s="1028">
        <f t="shared" si="82"/>
        <v>0</v>
      </c>
      <c r="CB31" s="1028">
        <f t="shared" si="83"/>
        <v>0</v>
      </c>
      <c r="CC31" s="1028">
        <f t="shared" si="83"/>
        <v>0</v>
      </c>
      <c r="CD31" s="1028">
        <f t="shared" si="83"/>
        <v>0</v>
      </c>
      <c r="CE31" s="1028">
        <f t="shared" si="84"/>
        <v>0</v>
      </c>
      <c r="CF31" s="1028">
        <f t="shared" si="84"/>
        <v>0</v>
      </c>
      <c r="CG31" s="1028">
        <f t="shared" si="84"/>
        <v>0</v>
      </c>
      <c r="CH31" s="1028">
        <f t="shared" si="84"/>
        <v>0</v>
      </c>
      <c r="CI31" s="1028">
        <f t="shared" si="84"/>
        <v>0</v>
      </c>
      <c r="CJ31" s="1028">
        <f t="shared" si="84"/>
        <v>0</v>
      </c>
      <c r="CK31" s="1028">
        <f t="shared" si="84"/>
        <v>0</v>
      </c>
      <c r="CL31" s="1028">
        <f t="shared" si="84"/>
        <v>0</v>
      </c>
      <c r="CM31" s="1028">
        <f t="shared" si="84"/>
        <v>0</v>
      </c>
      <c r="CN31" s="1028">
        <f t="shared" si="84"/>
        <v>0</v>
      </c>
      <c r="CO31" s="1028">
        <f t="shared" si="85"/>
        <v>0</v>
      </c>
      <c r="CP31" s="1028">
        <f t="shared" si="85"/>
        <v>0</v>
      </c>
      <c r="CQ31" s="1028">
        <f t="shared" si="85"/>
        <v>0</v>
      </c>
      <c r="CR31" s="1028">
        <f t="shared" si="85"/>
        <v>0</v>
      </c>
      <c r="CS31" s="1028">
        <f t="shared" si="85"/>
        <v>0</v>
      </c>
      <c r="CT31" s="1028">
        <f t="shared" si="85"/>
        <v>0</v>
      </c>
      <c r="CU31" s="1028">
        <f t="shared" si="85"/>
        <v>0</v>
      </c>
      <c r="CV31" s="1028">
        <f t="shared" si="85"/>
        <v>0</v>
      </c>
      <c r="CW31" s="1028">
        <f t="shared" si="85"/>
        <v>0</v>
      </c>
      <c r="CX31" s="1028">
        <f t="shared" si="85"/>
        <v>0</v>
      </c>
      <c r="CY31" s="1028">
        <f t="shared" si="86"/>
        <v>0</v>
      </c>
      <c r="CZ31" s="1028">
        <f t="shared" si="86"/>
        <v>0</v>
      </c>
    </row>
    <row r="32" spans="1:104" ht="12.75" customHeight="1" x14ac:dyDescent="0.35">
      <c r="A32" s="300"/>
      <c r="B32" s="1024"/>
      <c r="C32" s="1025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026"/>
      <c r="AC32" s="1026"/>
      <c r="AD32" s="1026"/>
      <c r="AE32" s="1026"/>
      <c r="AF32" s="1026"/>
      <c r="AG32" s="1026"/>
      <c r="AH32" s="1026"/>
      <c r="AI32" s="1026"/>
      <c r="AJ32" s="1026"/>
      <c r="AK32" s="1026"/>
      <c r="AL32" s="1026"/>
      <c r="AM32" s="1026"/>
      <c r="AN32" s="1026"/>
      <c r="AO32" s="1026"/>
      <c r="AP32" s="1026"/>
      <c r="AQ32" s="1026"/>
      <c r="AR32" s="1026"/>
      <c r="AS32" s="1026"/>
      <c r="AT32" s="1026"/>
      <c r="AU32" s="1026"/>
      <c r="AV32" s="1026"/>
      <c r="AW32" s="1026"/>
      <c r="AX32" s="1026"/>
      <c r="AY32" s="1026"/>
      <c r="AZ32" s="1026"/>
      <c r="BA32" s="1026"/>
      <c r="BB32" s="1027"/>
      <c r="BC32" s="1028"/>
      <c r="BD32" s="1028"/>
      <c r="BE32" s="1028"/>
      <c r="BF32" s="1028"/>
      <c r="BG32" s="1028"/>
      <c r="BH32" s="1028"/>
      <c r="BI32" s="1028"/>
      <c r="BJ32" s="1028"/>
      <c r="BK32" s="1028"/>
      <c r="BL32" s="1028"/>
      <c r="BM32" s="1028"/>
      <c r="BN32" s="1028"/>
      <c r="BO32" s="1028"/>
      <c r="BP32" s="1028"/>
      <c r="BQ32" s="1028"/>
      <c r="BR32" s="1028"/>
      <c r="BS32" s="1028"/>
      <c r="BT32" s="1028"/>
      <c r="BU32" s="1028"/>
      <c r="BV32" s="1028"/>
      <c r="BW32" s="1028"/>
      <c r="BX32" s="1028"/>
      <c r="BY32" s="1028"/>
      <c r="BZ32" s="1028"/>
      <c r="CA32" s="1028"/>
      <c r="CB32" s="1028"/>
      <c r="CC32" s="1028"/>
      <c r="CD32" s="1028"/>
      <c r="CE32" s="1028"/>
      <c r="CF32" s="1028"/>
      <c r="CG32" s="1028"/>
      <c r="CH32" s="1028"/>
      <c r="CI32" s="1028"/>
      <c r="CJ32" s="1028"/>
      <c r="CK32" s="1028"/>
      <c r="CL32" s="1028"/>
      <c r="CM32" s="1028"/>
      <c r="CN32" s="1028"/>
      <c r="CO32" s="1028"/>
      <c r="CP32" s="1028"/>
      <c r="CQ32" s="1028"/>
      <c r="CR32" s="1028"/>
      <c r="CS32" s="1028"/>
      <c r="CT32" s="1028"/>
      <c r="CU32" s="1028"/>
      <c r="CV32" s="1028"/>
      <c r="CW32" s="1028"/>
      <c r="CX32" s="1028"/>
      <c r="CY32" s="1028"/>
      <c r="CZ32" s="1028"/>
    </row>
    <row r="33" spans="1:104" ht="12.75" customHeight="1" x14ac:dyDescent="0.35">
      <c r="A33" s="300" t="str">
        <f>Budget!A34</f>
        <v>Scouting/Consultant Fee</v>
      </c>
      <c r="B33" s="1024">
        <f>IF(B$2=1,SUM(BC33:CZ33),"Error")</f>
        <v>6</v>
      </c>
      <c r="C33" s="1025"/>
      <c r="D33" s="1026">
        <v>6</v>
      </c>
      <c r="E33" s="1026">
        <v>6</v>
      </c>
      <c r="F33" s="1026">
        <v>6</v>
      </c>
      <c r="G33" s="1026">
        <v>10</v>
      </c>
      <c r="H33" s="1026">
        <v>10</v>
      </c>
      <c r="I33" s="1026">
        <v>10</v>
      </c>
      <c r="J33" s="1026">
        <v>10</v>
      </c>
      <c r="K33" s="1026">
        <v>10</v>
      </c>
      <c r="L33" s="1026">
        <v>10</v>
      </c>
      <c r="M33" s="1026">
        <v>10</v>
      </c>
      <c r="N33" s="1026">
        <v>6</v>
      </c>
      <c r="O33" s="1026">
        <v>6</v>
      </c>
      <c r="P33" s="1026">
        <v>6</v>
      </c>
      <c r="Q33" s="1026">
        <v>8</v>
      </c>
      <c r="R33" s="1026">
        <v>8</v>
      </c>
      <c r="S33" s="1026">
        <v>8</v>
      </c>
      <c r="T33" s="1026">
        <v>8</v>
      </c>
      <c r="U33" s="1026">
        <v>8</v>
      </c>
      <c r="V33" s="1026">
        <v>5</v>
      </c>
      <c r="W33" s="1026">
        <v>5</v>
      </c>
      <c r="X33" s="1026">
        <v>5</v>
      </c>
      <c r="Y33" s="1026">
        <v>5</v>
      </c>
      <c r="Z33" s="1026">
        <v>5</v>
      </c>
      <c r="AA33" s="1026">
        <v>5</v>
      </c>
      <c r="AB33" s="1026">
        <v>5</v>
      </c>
      <c r="AC33" s="1026">
        <v>5</v>
      </c>
      <c r="AD33" s="1026">
        <v>5</v>
      </c>
      <c r="AE33" s="1026">
        <v>5</v>
      </c>
      <c r="AF33" s="1026">
        <v>10</v>
      </c>
      <c r="AG33" s="1026">
        <v>10</v>
      </c>
      <c r="AH33" s="1026">
        <v>10</v>
      </c>
      <c r="AI33" s="1026">
        <v>6</v>
      </c>
      <c r="AJ33" s="1026">
        <v>6</v>
      </c>
      <c r="AK33" s="1026">
        <v>6</v>
      </c>
      <c r="AL33" s="1026">
        <v>6</v>
      </c>
      <c r="AM33" s="1026">
        <v>6</v>
      </c>
      <c r="AN33" s="1026">
        <v>6</v>
      </c>
      <c r="AO33" s="1026">
        <v>10</v>
      </c>
      <c r="AP33" s="1026">
        <v>10</v>
      </c>
      <c r="AQ33" s="1026">
        <v>0</v>
      </c>
      <c r="AR33" s="1026">
        <v>0</v>
      </c>
      <c r="AS33" s="1026">
        <v>0</v>
      </c>
      <c r="AT33" s="1026">
        <v>0</v>
      </c>
      <c r="AU33" s="1026">
        <v>8</v>
      </c>
      <c r="AV33" s="1026">
        <v>8</v>
      </c>
      <c r="AW33" s="1026"/>
      <c r="AX33" s="1026"/>
      <c r="AY33" s="1026"/>
      <c r="AZ33" s="1026"/>
      <c r="BA33" s="1026"/>
      <c r="BB33" s="1027"/>
      <c r="BC33" s="1028">
        <f t="shared" si="76"/>
        <v>0</v>
      </c>
      <c r="BD33" s="1028">
        <f t="shared" si="77"/>
        <v>0</v>
      </c>
      <c r="BE33" s="1028">
        <f t="shared" si="78"/>
        <v>0</v>
      </c>
      <c r="BF33" s="1028">
        <f t="shared" si="79"/>
        <v>0</v>
      </c>
      <c r="BG33" s="1028">
        <f t="shared" ref="BG33:BP35" si="87">IF(H$2=1,H33,0)</f>
        <v>0</v>
      </c>
      <c r="BH33" s="1028">
        <f t="shared" si="87"/>
        <v>0</v>
      </c>
      <c r="BI33" s="1028">
        <f t="shared" si="87"/>
        <v>0</v>
      </c>
      <c r="BJ33" s="1028">
        <f t="shared" si="87"/>
        <v>0</v>
      </c>
      <c r="BK33" s="1028">
        <f t="shared" si="87"/>
        <v>0</v>
      </c>
      <c r="BL33" s="1028">
        <f t="shared" si="87"/>
        <v>0</v>
      </c>
      <c r="BM33" s="1028">
        <f t="shared" si="87"/>
        <v>6</v>
      </c>
      <c r="BN33" s="1028">
        <f t="shared" si="87"/>
        <v>0</v>
      </c>
      <c r="BO33" s="1028">
        <f t="shared" si="87"/>
        <v>0</v>
      </c>
      <c r="BP33" s="1028">
        <f t="shared" si="87"/>
        <v>0</v>
      </c>
      <c r="BQ33" s="1028">
        <f t="shared" ref="BQ33:BZ35" si="88">IF(R$2=1,R33,0)</f>
        <v>0</v>
      </c>
      <c r="BR33" s="1028">
        <f t="shared" si="88"/>
        <v>0</v>
      </c>
      <c r="BS33" s="1028">
        <f t="shared" si="88"/>
        <v>0</v>
      </c>
      <c r="BT33" s="1028">
        <f t="shared" si="88"/>
        <v>0</v>
      </c>
      <c r="BU33" s="1028">
        <f t="shared" si="88"/>
        <v>0</v>
      </c>
      <c r="BV33" s="1028">
        <f t="shared" si="88"/>
        <v>0</v>
      </c>
      <c r="BW33" s="1028">
        <f t="shared" si="88"/>
        <v>0</v>
      </c>
      <c r="BX33" s="1028">
        <f t="shared" si="88"/>
        <v>0</v>
      </c>
      <c r="BY33" s="1028">
        <f t="shared" si="88"/>
        <v>0</v>
      </c>
      <c r="BZ33" s="1028">
        <f t="shared" si="88"/>
        <v>0</v>
      </c>
      <c r="CA33" s="1028">
        <f t="shared" ref="CA33:CA35" si="89">IF(AB$2=1,AB33,0)</f>
        <v>0</v>
      </c>
      <c r="CB33" s="1028">
        <f t="shared" ref="CB33:CD35" si="90">IF(AC$2=1,AC33,0)</f>
        <v>0</v>
      </c>
      <c r="CC33" s="1028">
        <f t="shared" si="90"/>
        <v>0</v>
      </c>
      <c r="CD33" s="1028">
        <f t="shared" si="90"/>
        <v>0</v>
      </c>
      <c r="CE33" s="1028">
        <f t="shared" ref="CE33:CN35" si="91">IF(AF$2=1,AF33,0)</f>
        <v>0</v>
      </c>
      <c r="CF33" s="1028">
        <f t="shared" si="91"/>
        <v>0</v>
      </c>
      <c r="CG33" s="1028">
        <f t="shared" si="91"/>
        <v>0</v>
      </c>
      <c r="CH33" s="1028">
        <f t="shared" si="91"/>
        <v>0</v>
      </c>
      <c r="CI33" s="1028">
        <f t="shared" si="91"/>
        <v>0</v>
      </c>
      <c r="CJ33" s="1028">
        <f t="shared" si="91"/>
        <v>0</v>
      </c>
      <c r="CK33" s="1028">
        <f t="shared" si="91"/>
        <v>0</v>
      </c>
      <c r="CL33" s="1028">
        <f t="shared" si="91"/>
        <v>0</v>
      </c>
      <c r="CM33" s="1028">
        <f t="shared" si="91"/>
        <v>0</v>
      </c>
      <c r="CN33" s="1028">
        <f t="shared" si="91"/>
        <v>0</v>
      </c>
      <c r="CO33" s="1028">
        <f t="shared" ref="CO33:CX35" si="92">IF(AP$2=1,AP33,0)</f>
        <v>0</v>
      </c>
      <c r="CP33" s="1028">
        <f t="shared" si="92"/>
        <v>0</v>
      </c>
      <c r="CQ33" s="1028">
        <f t="shared" si="92"/>
        <v>0</v>
      </c>
      <c r="CR33" s="1028">
        <f t="shared" si="92"/>
        <v>0</v>
      </c>
      <c r="CS33" s="1028">
        <f t="shared" si="92"/>
        <v>0</v>
      </c>
      <c r="CT33" s="1028">
        <f t="shared" si="92"/>
        <v>0</v>
      </c>
      <c r="CU33" s="1028">
        <f t="shared" si="92"/>
        <v>0</v>
      </c>
      <c r="CV33" s="1028">
        <f t="shared" si="92"/>
        <v>0</v>
      </c>
      <c r="CW33" s="1028">
        <f t="shared" si="92"/>
        <v>0</v>
      </c>
      <c r="CX33" s="1028">
        <f t="shared" si="92"/>
        <v>0</v>
      </c>
      <c r="CY33" s="1028">
        <f t="shared" ref="CY33:CZ35" si="93">IF(AZ$2=1,AZ33,0)</f>
        <v>0</v>
      </c>
      <c r="CZ33" s="1028">
        <f t="shared" si="93"/>
        <v>0</v>
      </c>
    </row>
    <row r="34" spans="1:104" ht="12.75" customHeight="1" x14ac:dyDescent="0.35">
      <c r="A34" s="300" t="str">
        <f>Budget!A35</f>
        <v>Survey and Mark Levees (Rice)</v>
      </c>
      <c r="B34" s="1024">
        <f>IF(B$2=1,SUM(BC34:CZ34),"Error")</f>
        <v>0</v>
      </c>
      <c r="C34" s="1025"/>
      <c r="D34" s="1026">
        <v>0</v>
      </c>
      <c r="E34" s="1026">
        <v>0</v>
      </c>
      <c r="F34" s="1026">
        <v>0</v>
      </c>
      <c r="G34" s="1026">
        <v>3</v>
      </c>
      <c r="H34" s="1026">
        <v>3</v>
      </c>
      <c r="I34" s="1026">
        <v>3</v>
      </c>
      <c r="J34" s="1026">
        <v>3</v>
      </c>
      <c r="K34" s="1026">
        <v>3</v>
      </c>
      <c r="L34" s="1026">
        <v>3</v>
      </c>
      <c r="M34" s="1026">
        <v>3</v>
      </c>
      <c r="N34" s="1026">
        <v>0</v>
      </c>
      <c r="O34" s="1026">
        <v>0</v>
      </c>
      <c r="P34" s="1026">
        <v>0</v>
      </c>
      <c r="Q34" s="1026">
        <v>4.5</v>
      </c>
      <c r="R34" s="1026">
        <v>4.5</v>
      </c>
      <c r="S34" s="1026">
        <v>4.5</v>
      </c>
      <c r="T34" s="1026">
        <v>4.5</v>
      </c>
      <c r="U34" s="1026">
        <v>0</v>
      </c>
      <c r="V34" s="1026">
        <v>0</v>
      </c>
      <c r="W34" s="1026">
        <v>0</v>
      </c>
      <c r="X34" s="1026">
        <v>0</v>
      </c>
      <c r="Y34" s="1026">
        <v>0</v>
      </c>
      <c r="Z34" s="1026">
        <v>0</v>
      </c>
      <c r="AA34" s="1026">
        <v>0</v>
      </c>
      <c r="AB34" s="1026">
        <v>0</v>
      </c>
      <c r="AC34" s="1026">
        <v>0</v>
      </c>
      <c r="AD34" s="1026">
        <v>0</v>
      </c>
      <c r="AE34" s="1026">
        <v>0</v>
      </c>
      <c r="AF34" s="1026">
        <v>0</v>
      </c>
      <c r="AG34" s="1026">
        <v>0</v>
      </c>
      <c r="AH34" s="1026">
        <v>0</v>
      </c>
      <c r="AI34" s="1026">
        <v>0</v>
      </c>
      <c r="AJ34" s="1026">
        <v>0</v>
      </c>
      <c r="AK34" s="1026">
        <v>0</v>
      </c>
      <c r="AL34" s="1026">
        <v>0</v>
      </c>
      <c r="AM34" s="1026">
        <v>0</v>
      </c>
      <c r="AN34" s="1026">
        <v>0</v>
      </c>
      <c r="AO34" s="1026">
        <v>4</v>
      </c>
      <c r="AP34" s="1026"/>
      <c r="AQ34" s="1026">
        <v>0</v>
      </c>
      <c r="AR34" s="1026">
        <v>0</v>
      </c>
      <c r="AS34" s="1026">
        <v>0</v>
      </c>
      <c r="AT34" s="1026">
        <v>0</v>
      </c>
      <c r="AU34" s="1026">
        <v>4.5</v>
      </c>
      <c r="AV34" s="1026">
        <v>4.5</v>
      </c>
      <c r="AW34" s="1026"/>
      <c r="AX34" s="1026"/>
      <c r="AY34" s="1026"/>
      <c r="AZ34" s="1026"/>
      <c r="BA34" s="1026"/>
      <c r="BB34" s="1027"/>
      <c r="BC34" s="1028">
        <f t="shared" si="76"/>
        <v>0</v>
      </c>
      <c r="BD34" s="1028">
        <f t="shared" si="77"/>
        <v>0</v>
      </c>
      <c r="BE34" s="1028">
        <f t="shared" si="78"/>
        <v>0</v>
      </c>
      <c r="BF34" s="1028">
        <f t="shared" si="79"/>
        <v>0</v>
      </c>
      <c r="BG34" s="1028">
        <f t="shared" si="87"/>
        <v>0</v>
      </c>
      <c r="BH34" s="1028">
        <f t="shared" si="87"/>
        <v>0</v>
      </c>
      <c r="BI34" s="1028">
        <f t="shared" si="87"/>
        <v>0</v>
      </c>
      <c r="BJ34" s="1028">
        <f t="shared" si="87"/>
        <v>0</v>
      </c>
      <c r="BK34" s="1028">
        <f t="shared" si="87"/>
        <v>0</v>
      </c>
      <c r="BL34" s="1028">
        <f t="shared" si="87"/>
        <v>0</v>
      </c>
      <c r="BM34" s="1028">
        <f t="shared" si="87"/>
        <v>0</v>
      </c>
      <c r="BN34" s="1028">
        <f t="shared" si="87"/>
        <v>0</v>
      </c>
      <c r="BO34" s="1028">
        <f t="shared" si="87"/>
        <v>0</v>
      </c>
      <c r="BP34" s="1028">
        <f t="shared" si="87"/>
        <v>0</v>
      </c>
      <c r="BQ34" s="1028">
        <f t="shared" si="88"/>
        <v>0</v>
      </c>
      <c r="BR34" s="1028">
        <f t="shared" si="88"/>
        <v>0</v>
      </c>
      <c r="BS34" s="1028">
        <f t="shared" si="88"/>
        <v>0</v>
      </c>
      <c r="BT34" s="1028">
        <f t="shared" si="88"/>
        <v>0</v>
      </c>
      <c r="BU34" s="1028">
        <f t="shared" si="88"/>
        <v>0</v>
      </c>
      <c r="BV34" s="1028">
        <f t="shared" si="88"/>
        <v>0</v>
      </c>
      <c r="BW34" s="1028">
        <f t="shared" si="88"/>
        <v>0</v>
      </c>
      <c r="BX34" s="1028">
        <f t="shared" si="88"/>
        <v>0</v>
      </c>
      <c r="BY34" s="1028">
        <f t="shared" si="88"/>
        <v>0</v>
      </c>
      <c r="BZ34" s="1028">
        <f t="shared" si="88"/>
        <v>0</v>
      </c>
      <c r="CA34" s="1028">
        <f t="shared" si="89"/>
        <v>0</v>
      </c>
      <c r="CB34" s="1028">
        <f t="shared" si="90"/>
        <v>0</v>
      </c>
      <c r="CC34" s="1028">
        <f t="shared" si="90"/>
        <v>0</v>
      </c>
      <c r="CD34" s="1028">
        <f t="shared" si="90"/>
        <v>0</v>
      </c>
      <c r="CE34" s="1028">
        <f t="shared" si="91"/>
        <v>0</v>
      </c>
      <c r="CF34" s="1028">
        <f t="shared" si="91"/>
        <v>0</v>
      </c>
      <c r="CG34" s="1028">
        <f t="shared" si="91"/>
        <v>0</v>
      </c>
      <c r="CH34" s="1028">
        <f t="shared" si="91"/>
        <v>0</v>
      </c>
      <c r="CI34" s="1028">
        <f t="shared" si="91"/>
        <v>0</v>
      </c>
      <c r="CJ34" s="1028">
        <f t="shared" si="91"/>
        <v>0</v>
      </c>
      <c r="CK34" s="1028">
        <f t="shared" si="91"/>
        <v>0</v>
      </c>
      <c r="CL34" s="1028">
        <f t="shared" si="91"/>
        <v>0</v>
      </c>
      <c r="CM34" s="1028">
        <f t="shared" si="91"/>
        <v>0</v>
      </c>
      <c r="CN34" s="1028">
        <f t="shared" si="91"/>
        <v>0</v>
      </c>
      <c r="CO34" s="1028">
        <f t="shared" si="92"/>
        <v>0</v>
      </c>
      <c r="CP34" s="1028">
        <f t="shared" si="92"/>
        <v>0</v>
      </c>
      <c r="CQ34" s="1028">
        <f t="shared" si="92"/>
        <v>0</v>
      </c>
      <c r="CR34" s="1028">
        <f t="shared" si="92"/>
        <v>0</v>
      </c>
      <c r="CS34" s="1028">
        <f t="shared" si="92"/>
        <v>0</v>
      </c>
      <c r="CT34" s="1028">
        <f t="shared" si="92"/>
        <v>0</v>
      </c>
      <c r="CU34" s="1028">
        <f t="shared" si="92"/>
        <v>0</v>
      </c>
      <c r="CV34" s="1028">
        <f t="shared" si="92"/>
        <v>0</v>
      </c>
      <c r="CW34" s="1028">
        <f t="shared" si="92"/>
        <v>0</v>
      </c>
      <c r="CX34" s="1028">
        <f t="shared" si="92"/>
        <v>0</v>
      </c>
      <c r="CY34" s="1028">
        <f t="shared" si="93"/>
        <v>0</v>
      </c>
      <c r="CZ34" s="1028">
        <f t="shared" si="93"/>
        <v>0</v>
      </c>
    </row>
    <row r="35" spans="1:104" ht="12.75" customHeight="1" x14ac:dyDescent="0.35">
      <c r="A35" s="300" t="s">
        <v>1</v>
      </c>
      <c r="B35" s="1024">
        <f>IF(B$2=1,SUM(BC35:CZ35),"Error")</f>
        <v>31</v>
      </c>
      <c r="C35" s="1025"/>
      <c r="D35" s="1026">
        <v>34</v>
      </c>
      <c r="E35" s="1026">
        <v>34</v>
      </c>
      <c r="F35" s="1026">
        <v>40</v>
      </c>
      <c r="G35" s="1026">
        <v>28</v>
      </c>
      <c r="H35" s="1026">
        <v>28</v>
      </c>
      <c r="I35" s="1026">
        <v>35</v>
      </c>
      <c r="J35" s="1026">
        <v>28</v>
      </c>
      <c r="K35" s="1026">
        <v>28</v>
      </c>
      <c r="L35" s="1026">
        <v>35</v>
      </c>
      <c r="M35" s="1026">
        <v>28</v>
      </c>
      <c r="N35" s="1026">
        <v>31</v>
      </c>
      <c r="O35" s="1026">
        <v>31</v>
      </c>
      <c r="P35" s="1026">
        <v>26</v>
      </c>
      <c r="Q35" s="1026">
        <v>32</v>
      </c>
      <c r="R35" s="1026">
        <v>32</v>
      </c>
      <c r="S35" s="1026">
        <v>32</v>
      </c>
      <c r="T35" s="1026">
        <v>32</v>
      </c>
      <c r="U35" s="1026">
        <v>32</v>
      </c>
      <c r="V35" s="1026">
        <v>16</v>
      </c>
      <c r="W35" s="1026">
        <v>16</v>
      </c>
      <c r="X35" s="1026">
        <v>19</v>
      </c>
      <c r="Y35" s="1026">
        <v>16</v>
      </c>
      <c r="Z35" s="1026">
        <v>16</v>
      </c>
      <c r="AA35" s="1026">
        <v>16</v>
      </c>
      <c r="AB35" s="1026">
        <v>19</v>
      </c>
      <c r="AC35" s="1026">
        <v>16</v>
      </c>
      <c r="AD35" s="1026">
        <v>16</v>
      </c>
      <c r="AE35" s="1026">
        <v>27</v>
      </c>
      <c r="AF35" s="1026">
        <v>22</v>
      </c>
      <c r="AG35" s="1026">
        <v>22</v>
      </c>
      <c r="AH35" s="1026">
        <v>20</v>
      </c>
      <c r="AI35" s="1026">
        <v>34</v>
      </c>
      <c r="AJ35" s="1026">
        <v>34</v>
      </c>
      <c r="AK35" s="1026">
        <v>40</v>
      </c>
      <c r="AL35" s="1026">
        <v>16</v>
      </c>
      <c r="AM35" s="1026">
        <v>19</v>
      </c>
      <c r="AN35" s="1026">
        <v>16</v>
      </c>
      <c r="AO35" s="1026">
        <v>28</v>
      </c>
      <c r="AP35" s="1026">
        <v>35</v>
      </c>
      <c r="AQ35" s="1026">
        <v>32</v>
      </c>
      <c r="AR35" s="1026">
        <v>32</v>
      </c>
      <c r="AS35" s="1026">
        <v>32</v>
      </c>
      <c r="AT35" s="1026">
        <v>32</v>
      </c>
      <c r="AU35" s="1026">
        <v>32</v>
      </c>
      <c r="AV35" s="1026">
        <v>32</v>
      </c>
      <c r="AW35" s="1026"/>
      <c r="AX35" s="1026"/>
      <c r="AY35" s="1026"/>
      <c r="AZ35" s="1026"/>
      <c r="BA35" s="1026"/>
      <c r="BB35" s="1027"/>
      <c r="BC35" s="1028">
        <f t="shared" si="76"/>
        <v>0</v>
      </c>
      <c r="BD35" s="1028">
        <f t="shared" si="77"/>
        <v>0</v>
      </c>
      <c r="BE35" s="1028">
        <f t="shared" si="78"/>
        <v>0</v>
      </c>
      <c r="BF35" s="1028">
        <f t="shared" si="79"/>
        <v>0</v>
      </c>
      <c r="BG35" s="1028">
        <f t="shared" si="87"/>
        <v>0</v>
      </c>
      <c r="BH35" s="1028">
        <f t="shared" si="87"/>
        <v>0</v>
      </c>
      <c r="BI35" s="1028">
        <f t="shared" si="87"/>
        <v>0</v>
      </c>
      <c r="BJ35" s="1028">
        <f t="shared" si="87"/>
        <v>0</v>
      </c>
      <c r="BK35" s="1028">
        <f t="shared" si="87"/>
        <v>0</v>
      </c>
      <c r="BL35" s="1028">
        <f t="shared" si="87"/>
        <v>0</v>
      </c>
      <c r="BM35" s="1028">
        <f t="shared" si="87"/>
        <v>31</v>
      </c>
      <c r="BN35" s="1028">
        <f t="shared" si="87"/>
        <v>0</v>
      </c>
      <c r="BO35" s="1028">
        <f t="shared" si="87"/>
        <v>0</v>
      </c>
      <c r="BP35" s="1028">
        <f t="shared" si="87"/>
        <v>0</v>
      </c>
      <c r="BQ35" s="1028">
        <f t="shared" si="88"/>
        <v>0</v>
      </c>
      <c r="BR35" s="1028">
        <f t="shared" si="88"/>
        <v>0</v>
      </c>
      <c r="BS35" s="1028">
        <f t="shared" si="88"/>
        <v>0</v>
      </c>
      <c r="BT35" s="1028">
        <f t="shared" si="88"/>
        <v>0</v>
      </c>
      <c r="BU35" s="1028">
        <f t="shared" si="88"/>
        <v>0</v>
      </c>
      <c r="BV35" s="1028">
        <f t="shared" si="88"/>
        <v>0</v>
      </c>
      <c r="BW35" s="1028">
        <f t="shared" si="88"/>
        <v>0</v>
      </c>
      <c r="BX35" s="1028">
        <f t="shared" si="88"/>
        <v>0</v>
      </c>
      <c r="BY35" s="1028">
        <f t="shared" si="88"/>
        <v>0</v>
      </c>
      <c r="BZ35" s="1028">
        <f t="shared" si="88"/>
        <v>0</v>
      </c>
      <c r="CA35" s="1028">
        <f t="shared" si="89"/>
        <v>0</v>
      </c>
      <c r="CB35" s="1028">
        <f t="shared" si="90"/>
        <v>0</v>
      </c>
      <c r="CC35" s="1028">
        <f t="shared" si="90"/>
        <v>0</v>
      </c>
      <c r="CD35" s="1028">
        <f t="shared" si="90"/>
        <v>0</v>
      </c>
      <c r="CE35" s="1028">
        <f t="shared" si="91"/>
        <v>0</v>
      </c>
      <c r="CF35" s="1028">
        <f t="shared" si="91"/>
        <v>0</v>
      </c>
      <c r="CG35" s="1028">
        <f t="shared" si="91"/>
        <v>0</v>
      </c>
      <c r="CH35" s="1028">
        <f t="shared" si="91"/>
        <v>0</v>
      </c>
      <c r="CI35" s="1028">
        <f t="shared" si="91"/>
        <v>0</v>
      </c>
      <c r="CJ35" s="1028">
        <f t="shared" si="91"/>
        <v>0</v>
      </c>
      <c r="CK35" s="1028">
        <f t="shared" si="91"/>
        <v>0</v>
      </c>
      <c r="CL35" s="1028">
        <f t="shared" si="91"/>
        <v>0</v>
      </c>
      <c r="CM35" s="1028">
        <f t="shared" si="91"/>
        <v>0</v>
      </c>
      <c r="CN35" s="1028">
        <f t="shared" si="91"/>
        <v>0</v>
      </c>
      <c r="CO35" s="1028">
        <f t="shared" si="92"/>
        <v>0</v>
      </c>
      <c r="CP35" s="1028">
        <f t="shared" si="92"/>
        <v>0</v>
      </c>
      <c r="CQ35" s="1028">
        <f t="shared" si="92"/>
        <v>0</v>
      </c>
      <c r="CR35" s="1028">
        <f t="shared" si="92"/>
        <v>0</v>
      </c>
      <c r="CS35" s="1028">
        <f t="shared" si="92"/>
        <v>0</v>
      </c>
      <c r="CT35" s="1028">
        <f t="shared" si="92"/>
        <v>0</v>
      </c>
      <c r="CU35" s="1028">
        <f t="shared" si="92"/>
        <v>0</v>
      </c>
      <c r="CV35" s="1028">
        <f t="shared" si="92"/>
        <v>0</v>
      </c>
      <c r="CW35" s="1028">
        <f t="shared" si="92"/>
        <v>0</v>
      </c>
      <c r="CX35" s="1028">
        <f t="shared" si="92"/>
        <v>0</v>
      </c>
      <c r="CY35" s="1028">
        <f t="shared" si="93"/>
        <v>0</v>
      </c>
      <c r="CZ35" s="1028">
        <f t="shared" si="93"/>
        <v>0</v>
      </c>
    </row>
    <row r="36" spans="1:104" ht="12.75" customHeight="1" x14ac:dyDescent="0.35">
      <c r="A36" s="300"/>
      <c r="B36" s="1034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6"/>
      <c r="AG36" s="1036"/>
      <c r="AH36" s="1036"/>
      <c r="AI36" s="1036"/>
      <c r="AJ36" s="1036"/>
      <c r="AK36" s="1036"/>
      <c r="AL36" s="1036"/>
      <c r="AM36" s="1036"/>
      <c r="AN36" s="1036"/>
      <c r="AO36" s="1036"/>
      <c r="AP36" s="1036"/>
      <c r="AQ36" s="1036"/>
      <c r="AR36" s="1036"/>
      <c r="AS36" s="1036"/>
      <c r="AT36" s="1036"/>
      <c r="AU36" s="1036"/>
      <c r="AV36" s="1036"/>
      <c r="AW36" s="1036"/>
      <c r="AX36" s="1036"/>
      <c r="AY36" s="1036"/>
      <c r="AZ36" s="1036"/>
      <c r="BA36" s="1036"/>
      <c r="BB36" s="1037"/>
      <c r="BC36" s="1038"/>
      <c r="BD36" s="1038"/>
      <c r="BE36" s="1038"/>
      <c r="BF36" s="1038"/>
      <c r="BG36" s="1038"/>
      <c r="BH36" s="1038"/>
      <c r="BI36" s="1038"/>
      <c r="BJ36" s="1038"/>
      <c r="BK36" s="1038"/>
      <c r="BL36" s="1038"/>
      <c r="BM36" s="1038"/>
      <c r="BN36" s="1038"/>
      <c r="BO36" s="1038"/>
      <c r="BP36" s="1038"/>
      <c r="BQ36" s="1038"/>
      <c r="BR36" s="1038"/>
      <c r="BS36" s="1038"/>
      <c r="BT36" s="1038"/>
      <c r="BU36" s="1038"/>
      <c r="BV36" s="1038"/>
      <c r="BW36" s="1038"/>
      <c r="BX36" s="1038"/>
      <c r="BY36" s="1038"/>
      <c r="BZ36" s="1038"/>
      <c r="CA36" s="1038"/>
      <c r="CB36" s="1038"/>
      <c r="CC36" s="1038"/>
      <c r="CD36" s="1038"/>
      <c r="CE36" s="1038"/>
      <c r="CF36" s="1038"/>
      <c r="CG36" s="1038"/>
      <c r="CH36" s="1038"/>
      <c r="CI36" s="1038"/>
      <c r="CJ36" s="1038"/>
      <c r="CK36" s="1038"/>
      <c r="CL36" s="1038"/>
      <c r="CM36" s="1038"/>
      <c r="CN36" s="1038"/>
      <c r="CO36" s="1038"/>
      <c r="CP36" s="1038"/>
      <c r="CQ36" s="1038"/>
      <c r="CR36" s="1038"/>
      <c r="CS36" s="1038"/>
      <c r="CT36" s="1038"/>
      <c r="CU36" s="1038"/>
      <c r="CV36" s="1038"/>
      <c r="CW36" s="1038"/>
      <c r="CX36" s="1038"/>
      <c r="CY36" s="1038"/>
      <c r="CZ36" s="1038"/>
    </row>
    <row r="37" spans="1:104" ht="12.75" customHeight="1" x14ac:dyDescent="0.35">
      <c r="A37" s="1041" t="s">
        <v>659</v>
      </c>
      <c r="B37" s="1042">
        <f>IF(B$2=1,SUM(BC37:CZ37),"Error")</f>
        <v>0</v>
      </c>
      <c r="C37" s="1047"/>
      <c r="D37" s="1044">
        <v>0.19</v>
      </c>
      <c r="E37" s="1044">
        <v>0.19</v>
      </c>
      <c r="F37" s="1044">
        <v>0.19</v>
      </c>
      <c r="G37" s="1044">
        <v>0.1</v>
      </c>
      <c r="H37" s="1044">
        <v>0.1</v>
      </c>
      <c r="I37" s="1044">
        <v>0.1</v>
      </c>
      <c r="J37" s="1044">
        <v>0.1</v>
      </c>
      <c r="K37" s="1044">
        <v>0.1</v>
      </c>
      <c r="L37" s="1044">
        <v>0.1</v>
      </c>
      <c r="M37" s="1044">
        <v>0.1</v>
      </c>
      <c r="N37" s="1044">
        <v>0</v>
      </c>
      <c r="O37" s="1044">
        <v>0</v>
      </c>
      <c r="P37" s="1044">
        <v>0</v>
      </c>
      <c r="Q37" s="1044">
        <v>0.4</v>
      </c>
      <c r="R37" s="1044">
        <v>0.4</v>
      </c>
      <c r="S37" s="1044">
        <v>0.4</v>
      </c>
      <c r="T37" s="1044">
        <v>0.4</v>
      </c>
      <c r="U37" s="1044">
        <v>0.4</v>
      </c>
      <c r="V37" s="1044">
        <v>0</v>
      </c>
      <c r="W37" s="1044">
        <v>0</v>
      </c>
      <c r="X37" s="1044">
        <v>0</v>
      </c>
      <c r="Y37" s="1044">
        <v>0</v>
      </c>
      <c r="Z37" s="1044">
        <v>0</v>
      </c>
      <c r="AA37" s="1044">
        <v>0</v>
      </c>
      <c r="AB37" s="1044">
        <v>0</v>
      </c>
      <c r="AC37" s="1044">
        <v>0</v>
      </c>
      <c r="AD37" s="1044">
        <v>0</v>
      </c>
      <c r="AE37" s="1044">
        <v>0</v>
      </c>
      <c r="AF37" s="1044">
        <v>10</v>
      </c>
      <c r="AG37" s="1044">
        <v>10</v>
      </c>
      <c r="AH37" s="1044">
        <v>10</v>
      </c>
      <c r="AI37" s="1044">
        <v>0.19</v>
      </c>
      <c r="AJ37" s="1044">
        <v>0.19</v>
      </c>
      <c r="AK37" s="1044">
        <v>0.19</v>
      </c>
      <c r="AL37" s="1044">
        <v>0</v>
      </c>
      <c r="AM37" s="1044">
        <v>0</v>
      </c>
      <c r="AN37" s="1044">
        <v>0</v>
      </c>
      <c r="AO37" s="1044">
        <v>0.1</v>
      </c>
      <c r="AP37" s="1044">
        <v>0.1</v>
      </c>
      <c r="AQ37" s="1044">
        <v>0.4</v>
      </c>
      <c r="AR37" s="1044">
        <v>0.4</v>
      </c>
      <c r="AS37" s="1044">
        <v>0.4</v>
      </c>
      <c r="AT37" s="1044">
        <v>0.4</v>
      </c>
      <c r="AU37" s="1044">
        <v>0.4</v>
      </c>
      <c r="AV37" s="1044">
        <v>0.4</v>
      </c>
      <c r="AW37" s="1044"/>
      <c r="AX37" s="1044"/>
      <c r="AY37" s="1044"/>
      <c r="AZ37" s="1044"/>
      <c r="BA37" s="1044"/>
      <c r="BB37" s="1048"/>
      <c r="BC37" s="1046">
        <f t="shared" ref="BC37:BM39" si="94">IF(D$2=1,D37,0)</f>
        <v>0</v>
      </c>
      <c r="BD37" s="1046">
        <f t="shared" si="94"/>
        <v>0</v>
      </c>
      <c r="BE37" s="1046">
        <f t="shared" si="94"/>
        <v>0</v>
      </c>
      <c r="BF37" s="1046">
        <f t="shared" si="94"/>
        <v>0</v>
      </c>
      <c r="BG37" s="1046">
        <f t="shared" si="94"/>
        <v>0</v>
      </c>
      <c r="BH37" s="1046">
        <f t="shared" si="94"/>
        <v>0</v>
      </c>
      <c r="BI37" s="1046">
        <f t="shared" si="94"/>
        <v>0</v>
      </c>
      <c r="BJ37" s="1046">
        <f t="shared" si="94"/>
        <v>0</v>
      </c>
      <c r="BK37" s="1046">
        <f t="shared" si="94"/>
        <v>0</v>
      </c>
      <c r="BL37" s="1046">
        <f t="shared" si="94"/>
        <v>0</v>
      </c>
      <c r="BM37" s="1046">
        <f t="shared" si="94"/>
        <v>0</v>
      </c>
      <c r="BN37" s="1046">
        <f t="shared" ref="BN37:BO39" si="95">IF(O$2=1,O37,0)</f>
        <v>0</v>
      </c>
      <c r="BO37" s="1046">
        <f t="shared" si="95"/>
        <v>0</v>
      </c>
      <c r="BP37" s="1046">
        <f t="shared" ref="BP37:CA39" si="96">IF(Q$2=1,Q37,0)</f>
        <v>0</v>
      </c>
      <c r="BQ37" s="1046">
        <f t="shared" si="96"/>
        <v>0</v>
      </c>
      <c r="BR37" s="1046">
        <f t="shared" si="96"/>
        <v>0</v>
      </c>
      <c r="BS37" s="1046">
        <f t="shared" si="96"/>
        <v>0</v>
      </c>
      <c r="BT37" s="1046">
        <f t="shared" si="96"/>
        <v>0</v>
      </c>
      <c r="BU37" s="1046">
        <f t="shared" si="96"/>
        <v>0</v>
      </c>
      <c r="BV37" s="1046">
        <f t="shared" si="96"/>
        <v>0</v>
      </c>
      <c r="BW37" s="1046">
        <f t="shared" si="96"/>
        <v>0</v>
      </c>
      <c r="BX37" s="1046">
        <f t="shared" si="96"/>
        <v>0</v>
      </c>
      <c r="BY37" s="1046">
        <f t="shared" si="96"/>
        <v>0</v>
      </c>
      <c r="BZ37" s="1046">
        <f t="shared" si="96"/>
        <v>0</v>
      </c>
      <c r="CA37" s="1046">
        <f t="shared" si="96"/>
        <v>0</v>
      </c>
      <c r="CB37" s="1046">
        <f t="shared" ref="CB37:CD39" si="97">IF(AC$2=1,AC37,0)</f>
        <v>0</v>
      </c>
      <c r="CC37" s="1046">
        <f t="shared" si="97"/>
        <v>0</v>
      </c>
      <c r="CD37" s="1046">
        <f t="shared" si="97"/>
        <v>0</v>
      </c>
      <c r="CE37" s="1046">
        <f t="shared" ref="CE37:CN39" si="98">IF(AF$2=1,AF37,0)</f>
        <v>0</v>
      </c>
      <c r="CF37" s="1046">
        <f t="shared" si="98"/>
        <v>0</v>
      </c>
      <c r="CG37" s="1046">
        <f t="shared" si="98"/>
        <v>0</v>
      </c>
      <c r="CH37" s="1046">
        <f t="shared" si="98"/>
        <v>0</v>
      </c>
      <c r="CI37" s="1046">
        <f t="shared" si="98"/>
        <v>0</v>
      </c>
      <c r="CJ37" s="1046">
        <f t="shared" si="98"/>
        <v>0</v>
      </c>
      <c r="CK37" s="1046">
        <f t="shared" si="98"/>
        <v>0</v>
      </c>
      <c r="CL37" s="1046">
        <f t="shared" si="98"/>
        <v>0</v>
      </c>
      <c r="CM37" s="1046">
        <f t="shared" si="98"/>
        <v>0</v>
      </c>
      <c r="CN37" s="1046">
        <f t="shared" si="98"/>
        <v>0</v>
      </c>
      <c r="CO37" s="1046">
        <f t="shared" ref="CO37:CX39" si="99">IF(AP$2=1,AP37,0)</f>
        <v>0</v>
      </c>
      <c r="CP37" s="1046">
        <f t="shared" si="99"/>
        <v>0</v>
      </c>
      <c r="CQ37" s="1046">
        <f t="shared" si="99"/>
        <v>0</v>
      </c>
      <c r="CR37" s="1046">
        <f t="shared" si="99"/>
        <v>0</v>
      </c>
      <c r="CS37" s="1046">
        <f t="shared" si="99"/>
        <v>0</v>
      </c>
      <c r="CT37" s="1046">
        <f t="shared" si="99"/>
        <v>0</v>
      </c>
      <c r="CU37" s="1046">
        <f t="shared" si="99"/>
        <v>0</v>
      </c>
      <c r="CV37" s="1046">
        <f t="shared" si="99"/>
        <v>0</v>
      </c>
      <c r="CW37" s="1046">
        <f t="shared" si="99"/>
        <v>0</v>
      </c>
      <c r="CX37" s="1046">
        <f t="shared" si="99"/>
        <v>0</v>
      </c>
      <c r="CY37" s="1046">
        <f t="shared" ref="CY37:CZ39" si="100">IF(AZ$2=1,AZ37,0)</f>
        <v>0</v>
      </c>
      <c r="CZ37" s="1046">
        <f t="shared" si="100"/>
        <v>0</v>
      </c>
    </row>
    <row r="38" spans="1:104" ht="12.75" customHeight="1" x14ac:dyDescent="0.35">
      <c r="A38" s="300" t="s">
        <v>660</v>
      </c>
      <c r="B38" s="1024">
        <f>IF(B$2=1,SUM(BC38:CZ38),"Error")</f>
        <v>0.25</v>
      </c>
      <c r="C38" s="1035"/>
      <c r="D38" s="1026">
        <v>0.25</v>
      </c>
      <c r="E38" s="1026">
        <v>0.25</v>
      </c>
      <c r="F38" s="1026">
        <v>0.25</v>
      </c>
      <c r="G38" s="1026">
        <v>20</v>
      </c>
      <c r="H38" s="1026">
        <v>20</v>
      </c>
      <c r="I38" s="1026">
        <v>20</v>
      </c>
      <c r="J38" s="1026">
        <v>20</v>
      </c>
      <c r="K38" s="1026">
        <v>20</v>
      </c>
      <c r="L38" s="1026">
        <v>20</v>
      </c>
      <c r="M38" s="1026">
        <v>20</v>
      </c>
      <c r="N38" s="1026">
        <v>0.25</v>
      </c>
      <c r="O38" s="1026">
        <v>0.25</v>
      </c>
      <c r="P38" s="1026">
        <v>0.25</v>
      </c>
      <c r="Q38" s="1026">
        <v>0.25</v>
      </c>
      <c r="R38" s="1026">
        <v>0.25</v>
      </c>
      <c r="S38" s="1026">
        <v>0.25</v>
      </c>
      <c r="T38" s="1026">
        <v>0.25</v>
      </c>
      <c r="U38" s="1026">
        <v>0.25</v>
      </c>
      <c r="V38" s="1026">
        <v>0.25</v>
      </c>
      <c r="W38" s="1026">
        <v>0.25</v>
      </c>
      <c r="X38" s="1026">
        <v>0.25</v>
      </c>
      <c r="Y38" s="1026">
        <v>0.25</v>
      </c>
      <c r="Z38" s="1026">
        <v>0.25</v>
      </c>
      <c r="AA38" s="1026">
        <v>0.25</v>
      </c>
      <c r="AB38" s="1026">
        <v>0.25</v>
      </c>
      <c r="AC38" s="1026">
        <v>0.25</v>
      </c>
      <c r="AD38" s="1026">
        <v>0.25</v>
      </c>
      <c r="AE38" s="1026">
        <v>0.25</v>
      </c>
      <c r="AF38" s="1026">
        <v>20</v>
      </c>
      <c r="AG38" s="1026">
        <v>20</v>
      </c>
      <c r="AH38" s="1026">
        <v>20</v>
      </c>
      <c r="AI38" s="1026">
        <v>0.25</v>
      </c>
      <c r="AJ38" s="1026">
        <v>0.25</v>
      </c>
      <c r="AK38" s="1026">
        <v>0.25</v>
      </c>
      <c r="AL38" s="1026">
        <v>0.25</v>
      </c>
      <c r="AM38" s="1026">
        <v>0.25</v>
      </c>
      <c r="AN38" s="1026">
        <v>0.25</v>
      </c>
      <c r="AO38" s="1026">
        <v>20</v>
      </c>
      <c r="AP38" s="1026">
        <v>20</v>
      </c>
      <c r="AQ38" s="1026">
        <v>0.25</v>
      </c>
      <c r="AR38" s="1026">
        <v>0.25</v>
      </c>
      <c r="AS38" s="1026">
        <v>0.25</v>
      </c>
      <c r="AT38" s="1026">
        <v>0.25</v>
      </c>
      <c r="AU38" s="1026">
        <v>0.25</v>
      </c>
      <c r="AV38" s="1026">
        <v>0.25</v>
      </c>
      <c r="AW38" s="1026"/>
      <c r="AX38" s="1026"/>
      <c r="AY38" s="1026"/>
      <c r="AZ38" s="1026"/>
      <c r="BA38" s="1026"/>
      <c r="BB38" s="1037"/>
      <c r="BC38" s="1028">
        <f t="shared" si="94"/>
        <v>0</v>
      </c>
      <c r="BD38" s="1028">
        <f t="shared" si="94"/>
        <v>0</v>
      </c>
      <c r="BE38" s="1028">
        <f t="shared" si="94"/>
        <v>0</v>
      </c>
      <c r="BF38" s="1028">
        <f t="shared" si="94"/>
        <v>0</v>
      </c>
      <c r="BG38" s="1028">
        <f t="shared" si="94"/>
        <v>0</v>
      </c>
      <c r="BH38" s="1028">
        <f t="shared" si="94"/>
        <v>0</v>
      </c>
      <c r="BI38" s="1028">
        <f t="shared" si="94"/>
        <v>0</v>
      </c>
      <c r="BJ38" s="1028">
        <f t="shared" si="94"/>
        <v>0</v>
      </c>
      <c r="BK38" s="1028">
        <f t="shared" si="94"/>
        <v>0</v>
      </c>
      <c r="BL38" s="1028">
        <f t="shared" si="94"/>
        <v>0</v>
      </c>
      <c r="BM38" s="1028">
        <f t="shared" si="94"/>
        <v>0.25</v>
      </c>
      <c r="BN38" s="1028">
        <f t="shared" si="95"/>
        <v>0</v>
      </c>
      <c r="BO38" s="1028">
        <f t="shared" si="95"/>
        <v>0</v>
      </c>
      <c r="BP38" s="1028">
        <f t="shared" si="96"/>
        <v>0</v>
      </c>
      <c r="BQ38" s="1028">
        <f t="shared" si="96"/>
        <v>0</v>
      </c>
      <c r="BR38" s="1028">
        <f t="shared" si="96"/>
        <v>0</v>
      </c>
      <c r="BS38" s="1028">
        <f t="shared" si="96"/>
        <v>0</v>
      </c>
      <c r="BT38" s="1028">
        <f t="shared" si="96"/>
        <v>0</v>
      </c>
      <c r="BU38" s="1028">
        <f t="shared" si="96"/>
        <v>0</v>
      </c>
      <c r="BV38" s="1028">
        <f t="shared" si="96"/>
        <v>0</v>
      </c>
      <c r="BW38" s="1028">
        <f t="shared" si="96"/>
        <v>0</v>
      </c>
      <c r="BX38" s="1028">
        <f t="shared" si="96"/>
        <v>0</v>
      </c>
      <c r="BY38" s="1028">
        <f t="shared" si="96"/>
        <v>0</v>
      </c>
      <c r="BZ38" s="1028">
        <f t="shared" si="96"/>
        <v>0</v>
      </c>
      <c r="CA38" s="1028">
        <f t="shared" si="96"/>
        <v>0</v>
      </c>
      <c r="CB38" s="1028">
        <f t="shared" si="97"/>
        <v>0</v>
      </c>
      <c r="CC38" s="1028">
        <f t="shared" si="97"/>
        <v>0</v>
      </c>
      <c r="CD38" s="1028">
        <f t="shared" si="97"/>
        <v>0</v>
      </c>
      <c r="CE38" s="1028">
        <f t="shared" si="98"/>
        <v>0</v>
      </c>
      <c r="CF38" s="1028">
        <f t="shared" si="98"/>
        <v>0</v>
      </c>
      <c r="CG38" s="1028">
        <f t="shared" si="98"/>
        <v>0</v>
      </c>
      <c r="CH38" s="1028">
        <f t="shared" si="98"/>
        <v>0</v>
      </c>
      <c r="CI38" s="1028">
        <f t="shared" si="98"/>
        <v>0</v>
      </c>
      <c r="CJ38" s="1028">
        <f t="shared" si="98"/>
        <v>0</v>
      </c>
      <c r="CK38" s="1028">
        <f t="shared" si="98"/>
        <v>0</v>
      </c>
      <c r="CL38" s="1028">
        <f t="shared" si="98"/>
        <v>0</v>
      </c>
      <c r="CM38" s="1028">
        <f t="shared" si="98"/>
        <v>0</v>
      </c>
      <c r="CN38" s="1028">
        <f t="shared" si="98"/>
        <v>0</v>
      </c>
      <c r="CO38" s="1028">
        <f t="shared" si="99"/>
        <v>0</v>
      </c>
      <c r="CP38" s="1028">
        <f t="shared" si="99"/>
        <v>0</v>
      </c>
      <c r="CQ38" s="1028">
        <f t="shared" si="99"/>
        <v>0</v>
      </c>
      <c r="CR38" s="1028">
        <f t="shared" si="99"/>
        <v>0</v>
      </c>
      <c r="CS38" s="1028">
        <f t="shared" si="99"/>
        <v>0</v>
      </c>
      <c r="CT38" s="1028">
        <f t="shared" si="99"/>
        <v>0</v>
      </c>
      <c r="CU38" s="1028">
        <f t="shared" si="99"/>
        <v>0</v>
      </c>
      <c r="CV38" s="1028">
        <f t="shared" si="99"/>
        <v>0</v>
      </c>
      <c r="CW38" s="1028">
        <f t="shared" si="99"/>
        <v>0</v>
      </c>
      <c r="CX38" s="1028">
        <f t="shared" si="99"/>
        <v>0</v>
      </c>
      <c r="CY38" s="1028">
        <f t="shared" si="100"/>
        <v>0</v>
      </c>
      <c r="CZ38" s="1028">
        <f t="shared" si="100"/>
        <v>0</v>
      </c>
    </row>
    <row r="39" spans="1:104" ht="12.75" customHeight="1" x14ac:dyDescent="0.35">
      <c r="A39" s="300" t="s">
        <v>661</v>
      </c>
      <c r="B39" s="1024">
        <f>IF(B$2=1,SUM(BC39:CZ39),"Error")</f>
        <v>0.01</v>
      </c>
      <c r="C39" s="1035"/>
      <c r="D39" s="1026">
        <v>0.01</v>
      </c>
      <c r="E39" s="1026">
        <v>0.01</v>
      </c>
      <c r="F39" s="1026">
        <v>0.01</v>
      </c>
      <c r="G39" s="1049">
        <f>(1+2.2)+(0.005*500*Budget!$E$3)</f>
        <v>15.074999999999999</v>
      </c>
      <c r="H39" s="1049">
        <f>(1+2.2)+(0.005*500*Budget!$E$3)</f>
        <v>15.074999999999999</v>
      </c>
      <c r="I39" s="1049">
        <f>(1+2.2)+(0.005*500*Budget!$E$3)</f>
        <v>15.074999999999999</v>
      </c>
      <c r="J39" s="1049">
        <f>(1+2.2)+(0.005*500*Budget!$E$3)</f>
        <v>15.074999999999999</v>
      </c>
      <c r="K39" s="1049">
        <f>(1+2.2)+(0.005*500*Budget!$E$3)</f>
        <v>15.074999999999999</v>
      </c>
      <c r="L39" s="1049">
        <f>(1+2.2)+(0.005*500*Budget!$E$3)</f>
        <v>15.074999999999999</v>
      </c>
      <c r="M39" s="1049">
        <f>(1+2.2)+(0.005*500*Budget!$E$3)</f>
        <v>15.074999999999999</v>
      </c>
      <c r="N39" s="1026">
        <v>0.01</v>
      </c>
      <c r="O39" s="1026">
        <v>0.01</v>
      </c>
      <c r="P39" s="1026">
        <v>0.01</v>
      </c>
      <c r="Q39" s="1132">
        <v>1.35E-2</v>
      </c>
      <c r="R39" s="1132">
        <v>1.35E-2</v>
      </c>
      <c r="S39" s="1132">
        <v>1.35E-2</v>
      </c>
      <c r="T39" s="1132">
        <v>1.35E-2</v>
      </c>
      <c r="U39" s="1132">
        <v>1.35E-2</v>
      </c>
      <c r="V39" s="1886">
        <f>(Budget!$E$3*(0.01/2))</f>
        <v>2.375E-2</v>
      </c>
      <c r="W39" s="1886">
        <f>(Budget!$E$3*(0.01/2))</f>
        <v>2.375E-2</v>
      </c>
      <c r="X39" s="1886">
        <f>(Budget!$E$3*(0.01/2))</f>
        <v>2.375E-2</v>
      </c>
      <c r="Y39" s="1886">
        <f>(Budget!$E$3*(0.01/2))</f>
        <v>2.375E-2</v>
      </c>
      <c r="Z39" s="1886">
        <f>(Budget!$E$3*(0.01/2))</f>
        <v>2.375E-2</v>
      </c>
      <c r="AA39" s="1886">
        <f>(Budget!$E$3*(0.01/2))</f>
        <v>2.375E-2</v>
      </c>
      <c r="AB39" s="1886">
        <f>(Budget!$E$3*(0.01/2))</f>
        <v>2.375E-2</v>
      </c>
      <c r="AC39" s="1886">
        <f>(Budget!$E$3*(0.01/2))</f>
        <v>2.375E-2</v>
      </c>
      <c r="AD39" s="1886">
        <f>(Budget!$E$3*(0.01/2))</f>
        <v>2.375E-2</v>
      </c>
      <c r="AE39" s="1026">
        <v>0.01</v>
      </c>
      <c r="AF39" s="1026">
        <v>2.5</v>
      </c>
      <c r="AG39" s="1026">
        <v>2.5</v>
      </c>
      <c r="AH39" s="1026">
        <v>2.5</v>
      </c>
      <c r="AI39" s="1026">
        <v>0.01</v>
      </c>
      <c r="AJ39" s="1026">
        <v>0.01</v>
      </c>
      <c r="AK39" s="1026">
        <v>0.01</v>
      </c>
      <c r="AL39" s="1886">
        <f>(Budget!$E$3*(0.01/2))</f>
        <v>2.375E-2</v>
      </c>
      <c r="AM39" s="1886">
        <f>(Budget!$E$3*(0.01/2))</f>
        <v>2.375E-2</v>
      </c>
      <c r="AN39" s="1886">
        <f>(Budget!$E$3*(0.01/2))</f>
        <v>2.375E-2</v>
      </c>
      <c r="AO39" s="1049">
        <f>(1+2.2)+(0.005*500*Budget!$E$3)</f>
        <v>15.074999999999999</v>
      </c>
      <c r="AP39" s="1049">
        <f>(1+2.2)+(0.005*500*Budget!$E$3)</f>
        <v>15.074999999999999</v>
      </c>
      <c r="AQ39" s="1132">
        <v>1.35E-2</v>
      </c>
      <c r="AR39" s="1132">
        <v>1.35E-2</v>
      </c>
      <c r="AS39" s="1132">
        <v>1.35E-2</v>
      </c>
      <c r="AT39" s="1132">
        <v>1.35E-2</v>
      </c>
      <c r="AU39" s="1132">
        <v>1.35E-2</v>
      </c>
      <c r="AV39" s="1132">
        <v>1.35E-2</v>
      </c>
      <c r="AW39" s="1026"/>
      <c r="AX39" s="1026"/>
      <c r="AY39" s="1026"/>
      <c r="AZ39" s="1026"/>
      <c r="BA39" s="1026"/>
      <c r="BB39" s="1037"/>
      <c r="BC39" s="1885">
        <f t="shared" si="94"/>
        <v>0</v>
      </c>
      <c r="BD39" s="1885">
        <f t="shared" si="94"/>
        <v>0</v>
      </c>
      <c r="BE39" s="1885">
        <f t="shared" si="94"/>
        <v>0</v>
      </c>
      <c r="BF39" s="1885">
        <f t="shared" si="94"/>
        <v>0</v>
      </c>
      <c r="BG39" s="1885">
        <f t="shared" si="94"/>
        <v>0</v>
      </c>
      <c r="BH39" s="1885">
        <f t="shared" si="94"/>
        <v>0</v>
      </c>
      <c r="BI39" s="1885">
        <f t="shared" si="94"/>
        <v>0</v>
      </c>
      <c r="BJ39" s="1885">
        <f t="shared" si="94"/>
        <v>0</v>
      </c>
      <c r="BK39" s="1885">
        <f t="shared" si="94"/>
        <v>0</v>
      </c>
      <c r="BL39" s="1885">
        <f t="shared" si="94"/>
        <v>0</v>
      </c>
      <c r="BM39" s="1885">
        <f t="shared" si="94"/>
        <v>0.01</v>
      </c>
      <c r="BN39" s="1885">
        <f t="shared" si="95"/>
        <v>0</v>
      </c>
      <c r="BO39" s="1885">
        <f t="shared" si="95"/>
        <v>0</v>
      </c>
      <c r="BP39" s="1885">
        <f t="shared" si="96"/>
        <v>0</v>
      </c>
      <c r="BQ39" s="1885">
        <f t="shared" si="96"/>
        <v>0</v>
      </c>
      <c r="BR39" s="1885">
        <f t="shared" si="96"/>
        <v>0</v>
      </c>
      <c r="BS39" s="1885">
        <f t="shared" si="96"/>
        <v>0</v>
      </c>
      <c r="BT39" s="1885">
        <f t="shared" si="96"/>
        <v>0</v>
      </c>
      <c r="BU39" s="1885">
        <f t="shared" si="96"/>
        <v>0</v>
      </c>
      <c r="BV39" s="1885">
        <f t="shared" si="96"/>
        <v>0</v>
      </c>
      <c r="BW39" s="1885">
        <f t="shared" si="96"/>
        <v>0</v>
      </c>
      <c r="BX39" s="1885">
        <f t="shared" si="96"/>
        <v>0</v>
      </c>
      <c r="BY39" s="1885">
        <f t="shared" si="96"/>
        <v>0</v>
      </c>
      <c r="BZ39" s="1885">
        <f t="shared" si="96"/>
        <v>0</v>
      </c>
      <c r="CA39" s="1885">
        <f t="shared" si="96"/>
        <v>0</v>
      </c>
      <c r="CB39" s="1885">
        <f t="shared" si="97"/>
        <v>0</v>
      </c>
      <c r="CC39" s="1885">
        <f t="shared" si="97"/>
        <v>0</v>
      </c>
      <c r="CD39" s="1885">
        <f t="shared" si="97"/>
        <v>0</v>
      </c>
      <c r="CE39" s="1885">
        <f t="shared" si="98"/>
        <v>0</v>
      </c>
      <c r="CF39" s="1885">
        <f t="shared" si="98"/>
        <v>0</v>
      </c>
      <c r="CG39" s="1885">
        <f t="shared" si="98"/>
        <v>0</v>
      </c>
      <c r="CH39" s="1885">
        <f t="shared" si="98"/>
        <v>0</v>
      </c>
      <c r="CI39" s="1885">
        <f t="shared" si="98"/>
        <v>0</v>
      </c>
      <c r="CJ39" s="1885">
        <f t="shared" si="98"/>
        <v>0</v>
      </c>
      <c r="CK39" s="1885">
        <f t="shared" si="98"/>
        <v>0</v>
      </c>
      <c r="CL39" s="1885">
        <f t="shared" si="98"/>
        <v>0</v>
      </c>
      <c r="CM39" s="1885">
        <f t="shared" si="98"/>
        <v>0</v>
      </c>
      <c r="CN39" s="1885">
        <f t="shared" si="98"/>
        <v>0</v>
      </c>
      <c r="CO39" s="1885">
        <f t="shared" si="99"/>
        <v>0</v>
      </c>
      <c r="CP39" s="1885">
        <f t="shared" si="99"/>
        <v>0</v>
      </c>
      <c r="CQ39" s="1885">
        <f t="shared" si="99"/>
        <v>0</v>
      </c>
      <c r="CR39" s="1885">
        <f t="shared" si="99"/>
        <v>0</v>
      </c>
      <c r="CS39" s="1885">
        <f t="shared" si="99"/>
        <v>0</v>
      </c>
      <c r="CT39" s="1885">
        <f t="shared" si="99"/>
        <v>0</v>
      </c>
      <c r="CU39" s="1885">
        <f t="shared" si="99"/>
        <v>0</v>
      </c>
      <c r="CV39" s="1885">
        <f t="shared" si="99"/>
        <v>0</v>
      </c>
      <c r="CW39" s="1885">
        <f t="shared" si="99"/>
        <v>0</v>
      </c>
      <c r="CX39" s="1885">
        <f t="shared" si="99"/>
        <v>0</v>
      </c>
      <c r="CY39" s="1885">
        <f t="shared" si="100"/>
        <v>0</v>
      </c>
      <c r="CZ39" s="1885">
        <f t="shared" si="100"/>
        <v>0</v>
      </c>
    </row>
    <row r="40" spans="1:104" ht="12.75" customHeight="1" x14ac:dyDescent="0.35">
      <c r="A40" s="1039" t="s">
        <v>662</v>
      </c>
      <c r="B40" s="1029">
        <f>IF(B$2=1,SUM(BC40:CZ40),"Error")</f>
        <v>0</v>
      </c>
      <c r="C40" s="1017"/>
      <c r="D40" s="1051"/>
      <c r="E40" s="1051"/>
      <c r="F40" s="1051"/>
      <c r="G40" s="1052"/>
      <c r="H40" s="1051"/>
      <c r="I40" s="1051"/>
      <c r="J40" s="1052"/>
      <c r="K40" s="1051"/>
      <c r="L40" s="1051"/>
      <c r="M40" s="1052"/>
      <c r="N40" s="1051"/>
      <c r="O40" s="1051"/>
      <c r="P40" s="1051"/>
      <c r="Q40" s="1051"/>
      <c r="R40" s="1051"/>
      <c r="S40" s="1051"/>
      <c r="T40" s="1051"/>
      <c r="U40" s="1051"/>
      <c r="V40" s="1051"/>
      <c r="W40" s="1051"/>
      <c r="X40" s="1051"/>
      <c r="Y40" s="1051"/>
      <c r="Z40" s="1051"/>
      <c r="AA40" s="1051"/>
      <c r="AB40" s="1051"/>
      <c r="AC40" s="1051"/>
      <c r="AD40" s="1051"/>
      <c r="AE40" s="1051"/>
      <c r="AF40" s="1051"/>
      <c r="AG40" s="1051"/>
      <c r="AH40" s="1051"/>
      <c r="AI40" s="1051"/>
      <c r="AJ40" s="1051"/>
      <c r="AK40" s="1051"/>
      <c r="AL40" s="1051"/>
      <c r="AM40" s="1051"/>
      <c r="AN40" s="1051"/>
      <c r="AO40" s="1051"/>
      <c r="AP40" s="1051"/>
      <c r="AQ40" s="1051"/>
      <c r="AR40" s="1051"/>
      <c r="AS40" s="1051"/>
      <c r="AT40" s="1051"/>
      <c r="AU40" s="1051"/>
      <c r="AV40" s="1051"/>
      <c r="AW40" s="1051"/>
      <c r="AX40" s="1051"/>
      <c r="AY40" s="1051"/>
      <c r="AZ40" s="1051"/>
      <c r="BA40" s="1051"/>
      <c r="BB40" s="1022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</row>
    <row r="41" spans="1:104" ht="12.75" customHeight="1" x14ac:dyDescent="0.35">
      <c r="A41" s="300"/>
      <c r="B41" s="1024"/>
      <c r="C41" s="1035"/>
      <c r="D41" s="1036"/>
      <c r="E41" s="1036"/>
      <c r="F41" s="1036"/>
      <c r="G41" s="1026"/>
      <c r="H41" s="1036"/>
      <c r="I41" s="1036"/>
      <c r="J41" s="1026"/>
      <c r="K41" s="1036"/>
      <c r="L41" s="1036"/>
      <c r="M41" s="1026"/>
      <c r="N41" s="1036"/>
      <c r="O41" s="1036"/>
      <c r="P41" s="1036"/>
      <c r="Q41" s="1036"/>
      <c r="R41" s="1036"/>
      <c r="S41" s="1036"/>
      <c r="T41" s="1036"/>
      <c r="U41" s="1036"/>
      <c r="V41" s="1036"/>
      <c r="W41" s="1036"/>
      <c r="X41" s="1036"/>
      <c r="Y41" s="1036"/>
      <c r="Z41" s="1036"/>
      <c r="AA41" s="1036"/>
      <c r="AB41" s="1036"/>
      <c r="AC41" s="1036"/>
      <c r="AD41" s="1036"/>
      <c r="AE41" s="1036"/>
      <c r="AF41" s="1036"/>
      <c r="AG41" s="1036"/>
      <c r="AH41" s="1036"/>
      <c r="AI41" s="1036"/>
      <c r="AJ41" s="1036"/>
      <c r="AK41" s="1036"/>
      <c r="AL41" s="1036"/>
      <c r="AM41" s="1036"/>
      <c r="AN41" s="1036"/>
      <c r="AO41" s="1036"/>
      <c r="AP41" s="1036"/>
      <c r="AQ41" s="1036"/>
      <c r="AR41" s="1036"/>
      <c r="AS41" s="1036"/>
      <c r="AT41" s="1036"/>
      <c r="AU41" s="1036"/>
      <c r="AV41" s="1036"/>
      <c r="AW41" s="1036"/>
      <c r="AX41" s="1036"/>
      <c r="AY41" s="1036"/>
      <c r="AZ41" s="1036"/>
      <c r="BA41" s="1036"/>
      <c r="BB41" s="1037"/>
      <c r="BC41" s="1028"/>
      <c r="BD41" s="1028"/>
      <c r="BE41" s="1028"/>
      <c r="BF41" s="1028"/>
      <c r="BG41" s="1028"/>
      <c r="BH41" s="1028"/>
      <c r="BI41" s="1028"/>
      <c r="BJ41" s="1028"/>
      <c r="BK41" s="1028"/>
      <c r="BL41" s="1028"/>
      <c r="BM41" s="1028"/>
      <c r="BN41" s="1028"/>
      <c r="BO41" s="1028"/>
      <c r="BP41" s="1028"/>
      <c r="BQ41" s="1028"/>
      <c r="BR41" s="1028"/>
      <c r="BS41" s="1028"/>
      <c r="BT41" s="1028"/>
      <c r="BU41" s="1028"/>
      <c r="BV41" s="1028"/>
      <c r="BW41" s="1028"/>
      <c r="BX41" s="1028"/>
      <c r="BY41" s="1028"/>
      <c r="BZ41" s="1028"/>
      <c r="CA41" s="1028"/>
      <c r="CB41" s="1028"/>
      <c r="CC41" s="1028"/>
      <c r="CD41" s="1028"/>
      <c r="CE41" s="1028"/>
      <c r="CF41" s="1028"/>
      <c r="CG41" s="1028"/>
      <c r="CH41" s="1028"/>
      <c r="CI41" s="1028"/>
      <c r="CJ41" s="1028"/>
      <c r="CK41" s="1028"/>
      <c r="CL41" s="1028"/>
      <c r="CM41" s="1028"/>
      <c r="CN41" s="1028"/>
      <c r="CO41" s="1028"/>
      <c r="CP41" s="1028"/>
      <c r="CQ41" s="1028"/>
      <c r="CR41" s="1028"/>
      <c r="CS41" s="1028"/>
      <c r="CT41" s="1028"/>
      <c r="CU41" s="1028"/>
      <c r="CV41" s="1028"/>
      <c r="CW41" s="1028"/>
      <c r="CX41" s="1028"/>
      <c r="CY41" s="1028"/>
      <c r="CZ41" s="1028"/>
    </row>
    <row r="42" spans="1:104" ht="12.75" customHeight="1" x14ac:dyDescent="0.4">
      <c r="A42" s="388" t="s">
        <v>223</v>
      </c>
      <c r="B42" s="1024"/>
      <c r="C42" s="1035"/>
      <c r="D42" s="1036"/>
      <c r="E42" s="1036"/>
      <c r="F42" s="1036"/>
      <c r="G42" s="1053"/>
      <c r="H42" s="1036"/>
      <c r="I42" s="1036"/>
      <c r="J42" s="1053"/>
      <c r="K42" s="1036"/>
      <c r="L42" s="1036"/>
      <c r="M42" s="1053"/>
      <c r="N42" s="1036"/>
      <c r="O42" s="1036"/>
      <c r="P42" s="1036"/>
      <c r="Q42" s="1036"/>
      <c r="R42" s="1036"/>
      <c r="S42" s="1036"/>
      <c r="T42" s="1036"/>
      <c r="U42" s="1036"/>
      <c r="V42" s="1036"/>
      <c r="W42" s="1036"/>
      <c r="X42" s="1036"/>
      <c r="Y42" s="1036"/>
      <c r="Z42" s="1036"/>
      <c r="AA42" s="1036"/>
      <c r="AB42" s="1036"/>
      <c r="AC42" s="1036"/>
      <c r="AD42" s="1036"/>
      <c r="AE42" s="1036"/>
      <c r="AF42" s="1036"/>
      <c r="AG42" s="1036"/>
      <c r="AH42" s="1036"/>
      <c r="AI42" s="1036"/>
      <c r="AJ42" s="1036"/>
      <c r="AK42" s="1036"/>
      <c r="AL42" s="1036"/>
      <c r="AM42" s="1036"/>
      <c r="AN42" s="1036"/>
      <c r="AO42" s="1036"/>
      <c r="AP42" s="1036"/>
      <c r="AQ42" s="1036"/>
      <c r="AR42" s="1036"/>
      <c r="AS42" s="1036"/>
      <c r="AT42" s="1036"/>
      <c r="AU42" s="1036"/>
      <c r="AV42" s="1036"/>
      <c r="AW42" s="1036"/>
      <c r="AX42" s="1036"/>
      <c r="AY42" s="1036"/>
      <c r="AZ42" s="1036"/>
      <c r="BA42" s="1036"/>
      <c r="BB42" s="1037"/>
      <c r="BC42" s="1054">
        <f t="shared" ref="BC42:BM46" si="101">IF(D$2=1,D42,0)</f>
        <v>0</v>
      </c>
      <c r="BD42" s="1054">
        <f t="shared" si="101"/>
        <v>0</v>
      </c>
      <c r="BE42" s="1054">
        <f t="shared" si="101"/>
        <v>0</v>
      </c>
      <c r="BF42" s="1054">
        <f t="shared" si="101"/>
        <v>0</v>
      </c>
      <c r="BG42" s="1054">
        <f t="shared" si="101"/>
        <v>0</v>
      </c>
      <c r="BH42" s="1054">
        <f t="shared" si="101"/>
        <v>0</v>
      </c>
      <c r="BI42" s="1054">
        <f t="shared" si="101"/>
        <v>0</v>
      </c>
      <c r="BJ42" s="1054">
        <f t="shared" si="101"/>
        <v>0</v>
      </c>
      <c r="BK42" s="1054">
        <f t="shared" si="101"/>
        <v>0</v>
      </c>
      <c r="BL42" s="1054">
        <f t="shared" si="101"/>
        <v>0</v>
      </c>
      <c r="BM42" s="1054">
        <f t="shared" si="101"/>
        <v>0</v>
      </c>
      <c r="BN42" s="1054">
        <f t="shared" ref="BN42:BO46" si="102">IF(O$2=1,O42,0)</f>
        <v>0</v>
      </c>
      <c r="BO42" s="1054">
        <f t="shared" si="102"/>
        <v>0</v>
      </c>
      <c r="BP42" s="1054">
        <f t="shared" ref="BP42:CA46" si="103">IF(Q$2=1,Q42,0)</f>
        <v>0</v>
      </c>
      <c r="BQ42" s="1054">
        <f t="shared" si="103"/>
        <v>0</v>
      </c>
      <c r="BR42" s="1054">
        <f t="shared" si="103"/>
        <v>0</v>
      </c>
      <c r="BS42" s="1054">
        <f t="shared" si="103"/>
        <v>0</v>
      </c>
      <c r="BT42" s="1054">
        <f t="shared" si="103"/>
        <v>0</v>
      </c>
      <c r="BU42" s="1054">
        <f t="shared" si="103"/>
        <v>0</v>
      </c>
      <c r="BV42" s="1054">
        <f t="shared" si="103"/>
        <v>0</v>
      </c>
      <c r="BW42" s="1054">
        <f t="shared" si="103"/>
        <v>0</v>
      </c>
      <c r="BX42" s="1054">
        <f t="shared" si="103"/>
        <v>0</v>
      </c>
      <c r="BY42" s="1054">
        <f t="shared" si="103"/>
        <v>0</v>
      </c>
      <c r="BZ42" s="1054">
        <f t="shared" si="103"/>
        <v>0</v>
      </c>
      <c r="CA42" s="1054">
        <f t="shared" si="103"/>
        <v>0</v>
      </c>
      <c r="CB42" s="1054">
        <f t="shared" ref="CB42:CD46" si="104">IF(AC$2=1,AC42,0)</f>
        <v>0</v>
      </c>
      <c r="CC42" s="1054">
        <f t="shared" si="104"/>
        <v>0</v>
      </c>
      <c r="CD42" s="1054">
        <f t="shared" si="104"/>
        <v>0</v>
      </c>
      <c r="CE42" s="1054">
        <f t="shared" ref="CE42:CN46" si="105">IF(AF$2=1,AF42,0)</f>
        <v>0</v>
      </c>
      <c r="CF42" s="1054">
        <f t="shared" si="105"/>
        <v>0</v>
      </c>
      <c r="CG42" s="1054">
        <f t="shared" si="105"/>
        <v>0</v>
      </c>
      <c r="CH42" s="1054">
        <f t="shared" si="105"/>
        <v>0</v>
      </c>
      <c r="CI42" s="1054">
        <f t="shared" si="105"/>
        <v>0</v>
      </c>
      <c r="CJ42" s="1054">
        <f t="shared" si="105"/>
        <v>0</v>
      </c>
      <c r="CK42" s="1054">
        <f t="shared" si="105"/>
        <v>0</v>
      </c>
      <c r="CL42" s="1054">
        <f t="shared" si="105"/>
        <v>0</v>
      </c>
      <c r="CM42" s="1054">
        <f t="shared" si="105"/>
        <v>0</v>
      </c>
      <c r="CN42" s="1054">
        <f t="shared" si="105"/>
        <v>0</v>
      </c>
      <c r="CO42" s="1054">
        <f t="shared" ref="CO42:CX46" si="106">IF(AP$2=1,AP42,0)</f>
        <v>0</v>
      </c>
      <c r="CP42" s="1054">
        <f t="shared" si="106"/>
        <v>0</v>
      </c>
      <c r="CQ42" s="1054">
        <f t="shared" si="106"/>
        <v>0</v>
      </c>
      <c r="CR42" s="1054">
        <f t="shared" si="106"/>
        <v>0</v>
      </c>
      <c r="CS42" s="1054">
        <f t="shared" si="106"/>
        <v>0</v>
      </c>
      <c r="CT42" s="1054">
        <f t="shared" si="106"/>
        <v>0</v>
      </c>
      <c r="CU42" s="1054">
        <f t="shared" si="106"/>
        <v>0</v>
      </c>
      <c r="CV42" s="1054">
        <f t="shared" si="106"/>
        <v>0</v>
      </c>
      <c r="CW42" s="1054">
        <f t="shared" si="106"/>
        <v>0</v>
      </c>
      <c r="CX42" s="1054">
        <f t="shared" si="106"/>
        <v>0</v>
      </c>
      <c r="CY42" s="1054">
        <f t="shared" ref="CY42:CZ46" si="107">IF(AZ$2=1,AZ42,0)</f>
        <v>0</v>
      </c>
      <c r="CZ42" s="1054">
        <f t="shared" si="107"/>
        <v>0</v>
      </c>
    </row>
    <row r="43" spans="1:104" ht="12.75" customHeight="1" x14ac:dyDescent="0.35">
      <c r="A43" s="300" t="s">
        <v>1002</v>
      </c>
      <c r="B43" s="1055">
        <f>IF(B$2=1,SUM(BC43:CZ43),"Error")</f>
        <v>4.16</v>
      </c>
      <c r="C43" s="1035"/>
      <c r="D43" s="1132">
        <v>3.89</v>
      </c>
      <c r="E43" s="1132">
        <v>3.89</v>
      </c>
      <c r="F43" s="1132">
        <v>3.89</v>
      </c>
      <c r="G43" s="1132">
        <v>2.38</v>
      </c>
      <c r="H43" s="1132">
        <v>2.38</v>
      </c>
      <c r="I43" s="1132">
        <v>2.38</v>
      </c>
      <c r="J43" s="1132">
        <v>2.38</v>
      </c>
      <c r="K43" s="1132">
        <v>2.38</v>
      </c>
      <c r="L43" s="1132">
        <v>2.38</v>
      </c>
      <c r="M43" s="1132">
        <v>0</v>
      </c>
      <c r="N43" s="1132">
        <v>4.16</v>
      </c>
      <c r="O43" s="1132">
        <v>4.16</v>
      </c>
      <c r="P43" s="1132">
        <v>4.16</v>
      </c>
      <c r="Q43" s="1132">
        <f>72/148</f>
        <v>0.48648648648648651</v>
      </c>
      <c r="R43" s="1132">
        <v>1.8</v>
      </c>
      <c r="S43" s="1132">
        <f>152/450</f>
        <v>0.33777777777777779</v>
      </c>
      <c r="T43" s="1132">
        <f>162/450</f>
        <v>0.36</v>
      </c>
      <c r="U43" s="1132">
        <v>0</v>
      </c>
      <c r="V43" s="1132">
        <v>0.59689999999999999</v>
      </c>
      <c r="W43" s="1132">
        <v>0.59689999999999999</v>
      </c>
      <c r="X43" s="1132">
        <v>0.59689999999999999</v>
      </c>
      <c r="Y43" s="1132">
        <v>0.59689999999999999</v>
      </c>
      <c r="Z43" s="1132">
        <v>0.60119999999999996</v>
      </c>
      <c r="AA43" s="1132">
        <v>0.60119999999999996</v>
      </c>
      <c r="AB43" s="1132">
        <v>0.60119999999999996</v>
      </c>
      <c r="AC43" s="1132">
        <v>0.60119999999999996</v>
      </c>
      <c r="AD43" s="1132">
        <v>0</v>
      </c>
      <c r="AE43" s="1132">
        <v>0.32</v>
      </c>
      <c r="AF43" s="1132">
        <v>0.87</v>
      </c>
      <c r="AG43" s="1132">
        <v>0.87</v>
      </c>
      <c r="AH43" s="1132">
        <v>0.87</v>
      </c>
      <c r="AI43" s="1056">
        <v>0</v>
      </c>
      <c r="AJ43" s="1056">
        <v>0</v>
      </c>
      <c r="AK43" s="1056">
        <v>0</v>
      </c>
      <c r="AL43" s="1056">
        <v>0</v>
      </c>
      <c r="AM43" s="1132">
        <v>0</v>
      </c>
      <c r="AN43" s="1132">
        <v>0</v>
      </c>
      <c r="AO43" s="1132">
        <v>0</v>
      </c>
      <c r="AP43" s="1056"/>
      <c r="AQ43" s="1132">
        <v>0</v>
      </c>
      <c r="AR43" s="1132">
        <v>0</v>
      </c>
      <c r="AS43" s="1132">
        <v>0</v>
      </c>
      <c r="AT43" s="1132">
        <v>0</v>
      </c>
      <c r="AU43" s="1056">
        <v>1.89</v>
      </c>
      <c r="AV43" s="1056">
        <f>175/450</f>
        <v>0.3888888888888889</v>
      </c>
      <c r="AW43" s="1056"/>
      <c r="AX43" s="1056"/>
      <c r="AY43" s="1056"/>
      <c r="AZ43" s="1056"/>
      <c r="BA43" s="1056"/>
      <c r="BB43" s="1037"/>
      <c r="BC43" s="1054">
        <f t="shared" si="101"/>
        <v>0</v>
      </c>
      <c r="BD43" s="1054">
        <f t="shared" si="101"/>
        <v>0</v>
      </c>
      <c r="BE43" s="1054">
        <f t="shared" si="101"/>
        <v>0</v>
      </c>
      <c r="BF43" s="1054">
        <f t="shared" si="101"/>
        <v>0</v>
      </c>
      <c r="BG43" s="1054">
        <f t="shared" si="101"/>
        <v>0</v>
      </c>
      <c r="BH43" s="1054">
        <f t="shared" si="101"/>
        <v>0</v>
      </c>
      <c r="BI43" s="1054">
        <f t="shared" si="101"/>
        <v>0</v>
      </c>
      <c r="BJ43" s="1054">
        <f t="shared" si="101"/>
        <v>0</v>
      </c>
      <c r="BK43" s="1054">
        <f t="shared" si="101"/>
        <v>0</v>
      </c>
      <c r="BL43" s="1054">
        <f t="shared" si="101"/>
        <v>0</v>
      </c>
      <c r="BM43" s="1054">
        <f t="shared" si="101"/>
        <v>4.16</v>
      </c>
      <c r="BN43" s="1054">
        <f t="shared" si="102"/>
        <v>0</v>
      </c>
      <c r="BO43" s="1054">
        <f t="shared" si="102"/>
        <v>0</v>
      </c>
      <c r="BP43" s="1054">
        <f t="shared" si="103"/>
        <v>0</v>
      </c>
      <c r="BQ43" s="1054">
        <f t="shared" si="103"/>
        <v>0</v>
      </c>
      <c r="BR43" s="1054">
        <f t="shared" si="103"/>
        <v>0</v>
      </c>
      <c r="BS43" s="1054">
        <f t="shared" si="103"/>
        <v>0</v>
      </c>
      <c r="BT43" s="1054">
        <f t="shared" si="103"/>
        <v>0</v>
      </c>
      <c r="BU43" s="1054">
        <f t="shared" si="103"/>
        <v>0</v>
      </c>
      <c r="BV43" s="1054">
        <f t="shared" si="103"/>
        <v>0</v>
      </c>
      <c r="BW43" s="1054">
        <f t="shared" si="103"/>
        <v>0</v>
      </c>
      <c r="BX43" s="1054">
        <f t="shared" si="103"/>
        <v>0</v>
      </c>
      <c r="BY43" s="1054">
        <f t="shared" si="103"/>
        <v>0</v>
      </c>
      <c r="BZ43" s="1054">
        <f t="shared" si="103"/>
        <v>0</v>
      </c>
      <c r="CA43" s="1054">
        <f t="shared" si="103"/>
        <v>0</v>
      </c>
      <c r="CB43" s="1054">
        <f t="shared" si="104"/>
        <v>0</v>
      </c>
      <c r="CC43" s="1054">
        <f t="shared" si="104"/>
        <v>0</v>
      </c>
      <c r="CD43" s="1054">
        <f t="shared" si="104"/>
        <v>0</v>
      </c>
      <c r="CE43" s="1054">
        <f t="shared" si="105"/>
        <v>0</v>
      </c>
      <c r="CF43" s="1054">
        <f t="shared" si="105"/>
        <v>0</v>
      </c>
      <c r="CG43" s="1054">
        <f t="shared" si="105"/>
        <v>0</v>
      </c>
      <c r="CH43" s="1054">
        <f t="shared" si="105"/>
        <v>0</v>
      </c>
      <c r="CI43" s="1054">
        <f t="shared" si="105"/>
        <v>0</v>
      </c>
      <c r="CJ43" s="1054">
        <f t="shared" si="105"/>
        <v>0</v>
      </c>
      <c r="CK43" s="1054">
        <f t="shared" si="105"/>
        <v>0</v>
      </c>
      <c r="CL43" s="1054">
        <f t="shared" si="105"/>
        <v>0</v>
      </c>
      <c r="CM43" s="1054">
        <f t="shared" si="105"/>
        <v>0</v>
      </c>
      <c r="CN43" s="1054">
        <f t="shared" si="105"/>
        <v>0</v>
      </c>
      <c r="CO43" s="1054">
        <f t="shared" si="106"/>
        <v>0</v>
      </c>
      <c r="CP43" s="1054">
        <f t="shared" si="106"/>
        <v>0</v>
      </c>
      <c r="CQ43" s="1054">
        <f t="shared" si="106"/>
        <v>0</v>
      </c>
      <c r="CR43" s="1054">
        <f t="shared" si="106"/>
        <v>0</v>
      </c>
      <c r="CS43" s="1054">
        <f t="shared" si="106"/>
        <v>0</v>
      </c>
      <c r="CT43" s="1054">
        <f t="shared" si="106"/>
        <v>0</v>
      </c>
      <c r="CU43" s="1054">
        <f t="shared" si="106"/>
        <v>0</v>
      </c>
      <c r="CV43" s="1054">
        <f t="shared" si="106"/>
        <v>0</v>
      </c>
      <c r="CW43" s="1054">
        <f t="shared" si="106"/>
        <v>0</v>
      </c>
      <c r="CX43" s="1054">
        <f t="shared" si="106"/>
        <v>0</v>
      </c>
      <c r="CY43" s="1054">
        <f t="shared" si="107"/>
        <v>0</v>
      </c>
      <c r="CZ43" s="1054">
        <f t="shared" si="107"/>
        <v>0</v>
      </c>
    </row>
    <row r="44" spans="1:104" ht="12.75" customHeight="1" x14ac:dyDescent="0.35">
      <c r="A44" s="300" t="s">
        <v>668</v>
      </c>
      <c r="B44" s="1055">
        <f>IF(B$2=1,SUM(BC44:CZ44),"Error")</f>
        <v>0</v>
      </c>
      <c r="C44" s="1035"/>
      <c r="D44" s="1056">
        <v>0</v>
      </c>
      <c r="E44" s="1056">
        <v>0</v>
      </c>
      <c r="F44" s="1056">
        <v>0</v>
      </c>
      <c r="G44" s="1056">
        <v>0</v>
      </c>
      <c r="H44" s="1056">
        <v>0</v>
      </c>
      <c r="I44" s="1056">
        <v>0</v>
      </c>
      <c r="J44" s="1056">
        <v>0</v>
      </c>
      <c r="K44" s="1056">
        <v>0</v>
      </c>
      <c r="L44" s="1056">
        <v>0</v>
      </c>
      <c r="M44" s="1056">
        <v>0</v>
      </c>
      <c r="N44" s="1056">
        <v>0</v>
      </c>
      <c r="O44" s="1056">
        <v>0</v>
      </c>
      <c r="P44" s="1056">
        <v>0</v>
      </c>
      <c r="Q44" s="1056">
        <v>0</v>
      </c>
      <c r="R44" s="1056">
        <v>0</v>
      </c>
      <c r="S44" s="1056">
        <v>0</v>
      </c>
      <c r="T44" s="1056">
        <v>0</v>
      </c>
      <c r="U44" s="1056">
        <v>0</v>
      </c>
      <c r="V44" s="1056">
        <v>0</v>
      </c>
      <c r="W44" s="1056">
        <v>0</v>
      </c>
      <c r="X44" s="1056">
        <v>0</v>
      </c>
      <c r="Y44" s="1056">
        <v>0</v>
      </c>
      <c r="Z44" s="1056">
        <v>0</v>
      </c>
      <c r="AA44" s="1056">
        <v>0</v>
      </c>
      <c r="AB44" s="1056">
        <v>0</v>
      </c>
      <c r="AC44" s="1056">
        <v>0</v>
      </c>
      <c r="AD44" s="1056">
        <v>0</v>
      </c>
      <c r="AE44" s="1056">
        <v>0</v>
      </c>
      <c r="AF44" s="1056">
        <v>0</v>
      </c>
      <c r="AG44" s="1056">
        <v>0</v>
      </c>
      <c r="AH44" s="1056">
        <v>0</v>
      </c>
      <c r="AI44" s="1056">
        <v>0</v>
      </c>
      <c r="AJ44" s="1056">
        <v>0</v>
      </c>
      <c r="AK44" s="1056">
        <v>0</v>
      </c>
      <c r="AL44" s="1056">
        <v>0</v>
      </c>
      <c r="AM44" s="1056">
        <v>0</v>
      </c>
      <c r="AN44" s="1056">
        <v>0</v>
      </c>
      <c r="AO44" s="1056">
        <v>0</v>
      </c>
      <c r="AP44" s="1056"/>
      <c r="AQ44" s="1056">
        <v>0</v>
      </c>
      <c r="AR44" s="1056">
        <v>0</v>
      </c>
      <c r="AS44" s="1056">
        <v>0</v>
      </c>
      <c r="AT44" s="1056">
        <v>0</v>
      </c>
      <c r="AU44" s="1056">
        <v>0</v>
      </c>
      <c r="AV44" s="1056">
        <v>0</v>
      </c>
      <c r="AW44" s="1056"/>
      <c r="AX44" s="1056"/>
      <c r="AY44" s="1056"/>
      <c r="AZ44" s="1056"/>
      <c r="BA44" s="1056"/>
      <c r="BB44" s="1037"/>
      <c r="BC44" s="1054">
        <f t="shared" si="101"/>
        <v>0</v>
      </c>
      <c r="BD44" s="1054">
        <f t="shared" si="101"/>
        <v>0</v>
      </c>
      <c r="BE44" s="1054">
        <f t="shared" si="101"/>
        <v>0</v>
      </c>
      <c r="BF44" s="1054">
        <f t="shared" si="101"/>
        <v>0</v>
      </c>
      <c r="BG44" s="1054">
        <f t="shared" si="101"/>
        <v>0</v>
      </c>
      <c r="BH44" s="1054">
        <f t="shared" si="101"/>
        <v>0</v>
      </c>
      <c r="BI44" s="1054">
        <f t="shared" si="101"/>
        <v>0</v>
      </c>
      <c r="BJ44" s="1054">
        <f t="shared" si="101"/>
        <v>0</v>
      </c>
      <c r="BK44" s="1054">
        <f t="shared" si="101"/>
        <v>0</v>
      </c>
      <c r="BL44" s="1054">
        <f t="shared" si="101"/>
        <v>0</v>
      </c>
      <c r="BM44" s="1054">
        <f t="shared" si="101"/>
        <v>0</v>
      </c>
      <c r="BN44" s="1054">
        <f t="shared" si="102"/>
        <v>0</v>
      </c>
      <c r="BO44" s="1054">
        <f t="shared" si="102"/>
        <v>0</v>
      </c>
      <c r="BP44" s="1054">
        <f t="shared" si="103"/>
        <v>0</v>
      </c>
      <c r="BQ44" s="1054">
        <f t="shared" si="103"/>
        <v>0</v>
      </c>
      <c r="BR44" s="1054">
        <f t="shared" si="103"/>
        <v>0</v>
      </c>
      <c r="BS44" s="1054">
        <f t="shared" si="103"/>
        <v>0</v>
      </c>
      <c r="BT44" s="1054">
        <f t="shared" si="103"/>
        <v>0</v>
      </c>
      <c r="BU44" s="1054">
        <f t="shared" si="103"/>
        <v>0</v>
      </c>
      <c r="BV44" s="1054">
        <f t="shared" si="103"/>
        <v>0</v>
      </c>
      <c r="BW44" s="1054">
        <f t="shared" si="103"/>
        <v>0</v>
      </c>
      <c r="BX44" s="1054">
        <f t="shared" si="103"/>
        <v>0</v>
      </c>
      <c r="BY44" s="1054">
        <f t="shared" si="103"/>
        <v>0</v>
      </c>
      <c r="BZ44" s="1054">
        <f t="shared" si="103"/>
        <v>0</v>
      </c>
      <c r="CA44" s="1054">
        <f t="shared" si="103"/>
        <v>0</v>
      </c>
      <c r="CB44" s="1054">
        <f t="shared" si="104"/>
        <v>0</v>
      </c>
      <c r="CC44" s="1054">
        <f t="shared" si="104"/>
        <v>0</v>
      </c>
      <c r="CD44" s="1054">
        <f t="shared" si="104"/>
        <v>0</v>
      </c>
      <c r="CE44" s="1054">
        <f t="shared" si="105"/>
        <v>0</v>
      </c>
      <c r="CF44" s="1054">
        <f t="shared" si="105"/>
        <v>0</v>
      </c>
      <c r="CG44" s="1054">
        <f t="shared" si="105"/>
        <v>0</v>
      </c>
      <c r="CH44" s="1054">
        <f t="shared" si="105"/>
        <v>0</v>
      </c>
      <c r="CI44" s="1054">
        <f t="shared" si="105"/>
        <v>0</v>
      </c>
      <c r="CJ44" s="1054">
        <f t="shared" si="105"/>
        <v>0</v>
      </c>
      <c r="CK44" s="1054">
        <f t="shared" si="105"/>
        <v>0</v>
      </c>
      <c r="CL44" s="1054">
        <f t="shared" si="105"/>
        <v>0</v>
      </c>
      <c r="CM44" s="1054">
        <f t="shared" si="105"/>
        <v>0</v>
      </c>
      <c r="CN44" s="1054">
        <f t="shared" si="105"/>
        <v>0</v>
      </c>
      <c r="CO44" s="1054">
        <f t="shared" si="106"/>
        <v>0</v>
      </c>
      <c r="CP44" s="1054">
        <f t="shared" si="106"/>
        <v>0</v>
      </c>
      <c r="CQ44" s="1054">
        <f t="shared" si="106"/>
        <v>0</v>
      </c>
      <c r="CR44" s="1054">
        <f t="shared" si="106"/>
        <v>0</v>
      </c>
      <c r="CS44" s="1054">
        <f t="shared" si="106"/>
        <v>0</v>
      </c>
      <c r="CT44" s="1054">
        <f t="shared" si="106"/>
        <v>0</v>
      </c>
      <c r="CU44" s="1054">
        <f t="shared" si="106"/>
        <v>0</v>
      </c>
      <c r="CV44" s="1054">
        <f t="shared" si="106"/>
        <v>0</v>
      </c>
      <c r="CW44" s="1054">
        <f t="shared" si="106"/>
        <v>0</v>
      </c>
      <c r="CX44" s="1054">
        <f t="shared" si="106"/>
        <v>0</v>
      </c>
      <c r="CY44" s="1054">
        <f t="shared" si="107"/>
        <v>0</v>
      </c>
      <c r="CZ44" s="1054">
        <f t="shared" si="107"/>
        <v>0</v>
      </c>
    </row>
    <row r="45" spans="1:104" ht="12.75" customHeight="1" x14ac:dyDescent="0.35">
      <c r="A45" s="300" t="s">
        <v>1003</v>
      </c>
      <c r="B45" s="1055">
        <f>IF(B$2=1,SUM(BC45:CZ45),"Error")</f>
        <v>6.5</v>
      </c>
      <c r="C45" s="1035"/>
      <c r="D45" s="1056">
        <v>32</v>
      </c>
      <c r="E45" s="1056">
        <v>32</v>
      </c>
      <c r="F45" s="1056">
        <v>26</v>
      </c>
      <c r="G45" s="1056">
        <v>47.5</v>
      </c>
      <c r="H45" s="1056">
        <v>47.5</v>
      </c>
      <c r="I45" s="1056">
        <v>47.5</v>
      </c>
      <c r="J45" s="1056">
        <v>47.5</v>
      </c>
      <c r="K45" s="1056">
        <v>47.5</v>
      </c>
      <c r="L45" s="1056">
        <v>47.5</v>
      </c>
      <c r="M45" s="1056">
        <v>47.5</v>
      </c>
      <c r="N45" s="1056">
        <v>6.5</v>
      </c>
      <c r="O45" s="1056">
        <v>6.5</v>
      </c>
      <c r="P45" s="1056">
        <v>4.5</v>
      </c>
      <c r="Q45" s="1056">
        <v>72</v>
      </c>
      <c r="R45" s="1056">
        <v>72</v>
      </c>
      <c r="S45" s="1056">
        <v>450</v>
      </c>
      <c r="T45" s="1056">
        <v>450</v>
      </c>
      <c r="U45" s="1056">
        <v>120</v>
      </c>
      <c r="V45" s="1056">
        <v>150</v>
      </c>
      <c r="W45" s="1056">
        <v>150</v>
      </c>
      <c r="X45" s="1056">
        <v>110</v>
      </c>
      <c r="Y45" s="1056">
        <v>150</v>
      </c>
      <c r="Z45" s="1056">
        <v>150</v>
      </c>
      <c r="AA45" s="1056">
        <v>150</v>
      </c>
      <c r="AB45" s="1056">
        <v>110</v>
      </c>
      <c r="AC45" s="1056">
        <v>150</v>
      </c>
      <c r="AD45" s="1056">
        <v>0</v>
      </c>
      <c r="AE45" s="1056">
        <v>120</v>
      </c>
      <c r="AF45" s="1056">
        <v>115</v>
      </c>
      <c r="AG45" s="1056">
        <v>115</v>
      </c>
      <c r="AH45" s="1056">
        <v>115</v>
      </c>
      <c r="AI45" s="1056">
        <v>33</v>
      </c>
      <c r="AJ45" s="1056">
        <v>33</v>
      </c>
      <c r="AK45" s="1056">
        <v>26</v>
      </c>
      <c r="AL45" s="1056">
        <v>60</v>
      </c>
      <c r="AM45" s="1056">
        <v>60</v>
      </c>
      <c r="AN45" s="1056">
        <v>60</v>
      </c>
      <c r="AO45" s="1056">
        <v>47.5</v>
      </c>
      <c r="AP45" s="1056"/>
      <c r="AQ45" s="1056">
        <v>72</v>
      </c>
      <c r="AR45" s="1056">
        <v>72</v>
      </c>
      <c r="AS45" s="1056">
        <v>23</v>
      </c>
      <c r="AT45" s="1056">
        <v>23</v>
      </c>
      <c r="AU45" s="1056">
        <v>72</v>
      </c>
      <c r="AV45" s="1056">
        <v>450</v>
      </c>
      <c r="AW45" s="1056"/>
      <c r="AX45" s="1056"/>
      <c r="AY45" s="1056"/>
      <c r="AZ45" s="1056"/>
      <c r="BA45" s="1056"/>
      <c r="BB45" s="1037"/>
      <c r="BC45" s="1054">
        <f t="shared" si="101"/>
        <v>0</v>
      </c>
      <c r="BD45" s="1054">
        <f t="shared" si="101"/>
        <v>0</v>
      </c>
      <c r="BE45" s="1054">
        <f t="shared" si="101"/>
        <v>0</v>
      </c>
      <c r="BF45" s="1054">
        <f t="shared" si="101"/>
        <v>0</v>
      </c>
      <c r="BG45" s="1054">
        <f t="shared" si="101"/>
        <v>0</v>
      </c>
      <c r="BH45" s="1054">
        <f t="shared" si="101"/>
        <v>0</v>
      </c>
      <c r="BI45" s="1054">
        <f t="shared" si="101"/>
        <v>0</v>
      </c>
      <c r="BJ45" s="1054">
        <f t="shared" si="101"/>
        <v>0</v>
      </c>
      <c r="BK45" s="1054">
        <f t="shared" si="101"/>
        <v>0</v>
      </c>
      <c r="BL45" s="1054">
        <f t="shared" si="101"/>
        <v>0</v>
      </c>
      <c r="BM45" s="1054">
        <f t="shared" si="101"/>
        <v>6.5</v>
      </c>
      <c r="BN45" s="1054">
        <f t="shared" si="102"/>
        <v>0</v>
      </c>
      <c r="BO45" s="1054">
        <f t="shared" si="102"/>
        <v>0</v>
      </c>
      <c r="BP45" s="1054">
        <f t="shared" si="103"/>
        <v>0</v>
      </c>
      <c r="BQ45" s="1054">
        <f t="shared" si="103"/>
        <v>0</v>
      </c>
      <c r="BR45" s="1054">
        <f t="shared" si="103"/>
        <v>0</v>
      </c>
      <c r="BS45" s="1054">
        <f t="shared" si="103"/>
        <v>0</v>
      </c>
      <c r="BT45" s="1054">
        <f t="shared" si="103"/>
        <v>0</v>
      </c>
      <c r="BU45" s="1054">
        <f t="shared" si="103"/>
        <v>0</v>
      </c>
      <c r="BV45" s="1054">
        <f t="shared" si="103"/>
        <v>0</v>
      </c>
      <c r="BW45" s="1054">
        <f t="shared" si="103"/>
        <v>0</v>
      </c>
      <c r="BX45" s="1054">
        <f t="shared" si="103"/>
        <v>0</v>
      </c>
      <c r="BY45" s="1054">
        <f t="shared" si="103"/>
        <v>0</v>
      </c>
      <c r="BZ45" s="1054">
        <f t="shared" si="103"/>
        <v>0</v>
      </c>
      <c r="CA45" s="1054">
        <f t="shared" si="103"/>
        <v>0</v>
      </c>
      <c r="CB45" s="1054">
        <f t="shared" si="104"/>
        <v>0</v>
      </c>
      <c r="CC45" s="1054">
        <f t="shared" si="104"/>
        <v>0</v>
      </c>
      <c r="CD45" s="1054">
        <f t="shared" si="104"/>
        <v>0</v>
      </c>
      <c r="CE45" s="1054">
        <f t="shared" si="105"/>
        <v>0</v>
      </c>
      <c r="CF45" s="1054">
        <f t="shared" si="105"/>
        <v>0</v>
      </c>
      <c r="CG45" s="1054">
        <f t="shared" si="105"/>
        <v>0</v>
      </c>
      <c r="CH45" s="1054">
        <f t="shared" si="105"/>
        <v>0</v>
      </c>
      <c r="CI45" s="1054">
        <f t="shared" si="105"/>
        <v>0</v>
      </c>
      <c r="CJ45" s="1054">
        <f t="shared" si="105"/>
        <v>0</v>
      </c>
      <c r="CK45" s="1054">
        <f t="shared" si="105"/>
        <v>0</v>
      </c>
      <c r="CL45" s="1054">
        <f t="shared" si="105"/>
        <v>0</v>
      </c>
      <c r="CM45" s="1054">
        <f t="shared" si="105"/>
        <v>0</v>
      </c>
      <c r="CN45" s="1054">
        <f t="shared" si="105"/>
        <v>0</v>
      </c>
      <c r="CO45" s="1054">
        <f t="shared" si="106"/>
        <v>0</v>
      </c>
      <c r="CP45" s="1054">
        <f t="shared" si="106"/>
        <v>0</v>
      </c>
      <c r="CQ45" s="1054">
        <f t="shared" si="106"/>
        <v>0</v>
      </c>
      <c r="CR45" s="1054">
        <f t="shared" si="106"/>
        <v>0</v>
      </c>
      <c r="CS45" s="1054">
        <f t="shared" si="106"/>
        <v>0</v>
      </c>
      <c r="CT45" s="1054">
        <f t="shared" si="106"/>
        <v>0</v>
      </c>
      <c r="CU45" s="1054">
        <f t="shared" si="106"/>
        <v>0</v>
      </c>
      <c r="CV45" s="1054">
        <f t="shared" si="106"/>
        <v>0</v>
      </c>
      <c r="CW45" s="1054">
        <f t="shared" si="106"/>
        <v>0</v>
      </c>
      <c r="CX45" s="1054">
        <f t="shared" si="106"/>
        <v>0</v>
      </c>
      <c r="CY45" s="1054">
        <f t="shared" si="107"/>
        <v>0</v>
      </c>
      <c r="CZ45" s="1054">
        <f t="shared" si="107"/>
        <v>0</v>
      </c>
    </row>
    <row r="46" spans="1:104" ht="12.75" customHeight="1" x14ac:dyDescent="0.35">
      <c r="A46" s="300" t="s">
        <v>669</v>
      </c>
      <c r="B46" s="1055">
        <f>IF(B$2=1,SUM(BC46:CZ46),"Error")</f>
        <v>0</v>
      </c>
      <c r="C46" s="1035"/>
      <c r="D46" s="1056">
        <v>0</v>
      </c>
      <c r="E46" s="1056">
        <v>0</v>
      </c>
      <c r="F46" s="1056">
        <v>0</v>
      </c>
      <c r="G46" s="1056">
        <v>47.5</v>
      </c>
      <c r="H46" s="1056">
        <v>47.5</v>
      </c>
      <c r="I46" s="1056">
        <v>47.5</v>
      </c>
      <c r="J46" s="1056">
        <v>47.5</v>
      </c>
      <c r="K46" s="1056">
        <v>47.5</v>
      </c>
      <c r="L46" s="1056">
        <v>47.5</v>
      </c>
      <c r="M46" s="1056">
        <v>47.5</v>
      </c>
      <c r="N46" s="1056">
        <v>0</v>
      </c>
      <c r="O46" s="1056">
        <v>0</v>
      </c>
      <c r="P46" s="1056">
        <v>0</v>
      </c>
      <c r="Q46" s="1056">
        <v>0</v>
      </c>
      <c r="R46" s="1056">
        <v>0</v>
      </c>
      <c r="S46" s="1056">
        <v>0</v>
      </c>
      <c r="T46" s="1056">
        <v>0</v>
      </c>
      <c r="U46" s="1056">
        <v>0</v>
      </c>
      <c r="V46" s="1056">
        <v>0</v>
      </c>
      <c r="W46" s="1056">
        <v>0</v>
      </c>
      <c r="X46" s="1056">
        <v>0</v>
      </c>
      <c r="Y46" s="1056">
        <v>0</v>
      </c>
      <c r="Z46" s="1056">
        <v>0</v>
      </c>
      <c r="AA46" s="1056">
        <v>0</v>
      </c>
      <c r="AB46" s="1056">
        <v>0</v>
      </c>
      <c r="AC46" s="1056">
        <v>0</v>
      </c>
      <c r="AD46" s="1056">
        <v>0</v>
      </c>
      <c r="AE46" s="1056">
        <v>0</v>
      </c>
      <c r="AF46" s="1056">
        <v>0</v>
      </c>
      <c r="AG46" s="1056">
        <v>0</v>
      </c>
      <c r="AH46" s="1056">
        <v>0</v>
      </c>
      <c r="AI46" s="1056">
        <v>0</v>
      </c>
      <c r="AJ46" s="1056">
        <v>0</v>
      </c>
      <c r="AK46" s="1056">
        <v>0</v>
      </c>
      <c r="AL46" s="1056">
        <v>0</v>
      </c>
      <c r="AM46" s="1056">
        <v>0</v>
      </c>
      <c r="AN46" s="1056">
        <v>0</v>
      </c>
      <c r="AO46" s="1056">
        <v>47.5</v>
      </c>
      <c r="AP46" s="1056"/>
      <c r="AQ46" s="1056">
        <v>0</v>
      </c>
      <c r="AR46" s="1056">
        <v>0</v>
      </c>
      <c r="AS46" s="1056">
        <v>0</v>
      </c>
      <c r="AT46" s="1056">
        <v>0</v>
      </c>
      <c r="AU46" s="1056">
        <v>0</v>
      </c>
      <c r="AV46" s="1056">
        <v>0</v>
      </c>
      <c r="AW46" s="1056"/>
      <c r="AX46" s="1056"/>
      <c r="AY46" s="1056"/>
      <c r="AZ46" s="1056"/>
      <c r="BA46" s="1056"/>
      <c r="BB46" s="1037"/>
      <c r="BC46" s="1054">
        <f t="shared" si="101"/>
        <v>0</v>
      </c>
      <c r="BD46" s="1054">
        <f t="shared" si="101"/>
        <v>0</v>
      </c>
      <c r="BE46" s="1054">
        <f t="shared" si="101"/>
        <v>0</v>
      </c>
      <c r="BF46" s="1054">
        <f t="shared" si="101"/>
        <v>0</v>
      </c>
      <c r="BG46" s="1054">
        <f t="shared" si="101"/>
        <v>0</v>
      </c>
      <c r="BH46" s="1054">
        <f t="shared" si="101"/>
        <v>0</v>
      </c>
      <c r="BI46" s="1054">
        <f t="shared" si="101"/>
        <v>0</v>
      </c>
      <c r="BJ46" s="1054">
        <f t="shared" si="101"/>
        <v>0</v>
      </c>
      <c r="BK46" s="1054">
        <f t="shared" si="101"/>
        <v>0</v>
      </c>
      <c r="BL46" s="1054">
        <f t="shared" si="101"/>
        <v>0</v>
      </c>
      <c r="BM46" s="1054">
        <f t="shared" si="101"/>
        <v>0</v>
      </c>
      <c r="BN46" s="1054">
        <f t="shared" si="102"/>
        <v>0</v>
      </c>
      <c r="BO46" s="1054">
        <f t="shared" si="102"/>
        <v>0</v>
      </c>
      <c r="BP46" s="1054">
        <f t="shared" si="103"/>
        <v>0</v>
      </c>
      <c r="BQ46" s="1054">
        <f t="shared" si="103"/>
        <v>0</v>
      </c>
      <c r="BR46" s="1054">
        <f t="shared" si="103"/>
        <v>0</v>
      </c>
      <c r="BS46" s="1054">
        <f t="shared" si="103"/>
        <v>0</v>
      </c>
      <c r="BT46" s="1054">
        <f t="shared" si="103"/>
        <v>0</v>
      </c>
      <c r="BU46" s="1054">
        <f t="shared" si="103"/>
        <v>0</v>
      </c>
      <c r="BV46" s="1054">
        <f t="shared" si="103"/>
        <v>0</v>
      </c>
      <c r="BW46" s="1054">
        <f t="shared" si="103"/>
        <v>0</v>
      </c>
      <c r="BX46" s="1054">
        <f t="shared" si="103"/>
        <v>0</v>
      </c>
      <c r="BY46" s="1054">
        <f t="shared" si="103"/>
        <v>0</v>
      </c>
      <c r="BZ46" s="1054">
        <f t="shared" si="103"/>
        <v>0</v>
      </c>
      <c r="CA46" s="1054">
        <f t="shared" si="103"/>
        <v>0</v>
      </c>
      <c r="CB46" s="1054">
        <f t="shared" si="104"/>
        <v>0</v>
      </c>
      <c r="CC46" s="1054">
        <f t="shared" si="104"/>
        <v>0</v>
      </c>
      <c r="CD46" s="1054">
        <f t="shared" si="104"/>
        <v>0</v>
      </c>
      <c r="CE46" s="1054">
        <f t="shared" si="105"/>
        <v>0</v>
      </c>
      <c r="CF46" s="1054">
        <f t="shared" si="105"/>
        <v>0</v>
      </c>
      <c r="CG46" s="1054">
        <f t="shared" si="105"/>
        <v>0</v>
      </c>
      <c r="CH46" s="1054">
        <f t="shared" si="105"/>
        <v>0</v>
      </c>
      <c r="CI46" s="1054">
        <f t="shared" si="105"/>
        <v>0</v>
      </c>
      <c r="CJ46" s="1054">
        <f t="shared" si="105"/>
        <v>0</v>
      </c>
      <c r="CK46" s="1054">
        <f t="shared" si="105"/>
        <v>0</v>
      </c>
      <c r="CL46" s="1054">
        <f t="shared" si="105"/>
        <v>0</v>
      </c>
      <c r="CM46" s="1054">
        <f t="shared" si="105"/>
        <v>0</v>
      </c>
      <c r="CN46" s="1054">
        <f t="shared" si="105"/>
        <v>0</v>
      </c>
      <c r="CO46" s="1054">
        <f t="shared" si="106"/>
        <v>0</v>
      </c>
      <c r="CP46" s="1054">
        <f t="shared" si="106"/>
        <v>0</v>
      </c>
      <c r="CQ46" s="1054">
        <f t="shared" si="106"/>
        <v>0</v>
      </c>
      <c r="CR46" s="1054">
        <f t="shared" si="106"/>
        <v>0</v>
      </c>
      <c r="CS46" s="1054">
        <f t="shared" si="106"/>
        <v>0</v>
      </c>
      <c r="CT46" s="1054">
        <f t="shared" si="106"/>
        <v>0</v>
      </c>
      <c r="CU46" s="1054">
        <f t="shared" si="106"/>
        <v>0</v>
      </c>
      <c r="CV46" s="1054">
        <f t="shared" si="106"/>
        <v>0</v>
      </c>
      <c r="CW46" s="1054">
        <f t="shared" si="106"/>
        <v>0</v>
      </c>
      <c r="CX46" s="1054">
        <f t="shared" si="106"/>
        <v>0</v>
      </c>
      <c r="CY46" s="1054">
        <f t="shared" si="107"/>
        <v>0</v>
      </c>
      <c r="CZ46" s="1054">
        <f t="shared" si="107"/>
        <v>0</v>
      </c>
    </row>
    <row r="47" spans="1:104" ht="12.75" customHeight="1" x14ac:dyDescent="0.35">
      <c r="A47" s="300"/>
      <c r="B47" s="1024"/>
      <c r="C47" s="1035"/>
      <c r="D47" s="1036"/>
      <c r="E47" s="1036"/>
      <c r="F47" s="1036"/>
      <c r="G47" s="1026"/>
      <c r="H47" s="1036"/>
      <c r="I47" s="1036"/>
      <c r="J47" s="1026"/>
      <c r="K47" s="1036"/>
      <c r="L47" s="1036"/>
      <c r="M47" s="102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6"/>
      <c r="AG47" s="1036"/>
      <c r="AH47" s="1036"/>
      <c r="AI47" s="1036"/>
      <c r="AJ47" s="1036"/>
      <c r="AK47" s="1036"/>
      <c r="AL47" s="1036"/>
      <c r="AM47" s="1036"/>
      <c r="AN47" s="1036"/>
      <c r="AO47" s="1036"/>
      <c r="AP47" s="1036"/>
      <c r="AQ47" s="1036"/>
      <c r="AR47" s="1036"/>
      <c r="AS47" s="1036"/>
      <c r="AT47" s="1036"/>
      <c r="AU47" s="1036"/>
      <c r="AV47" s="1036"/>
      <c r="AW47" s="1036"/>
      <c r="AX47" s="1036"/>
      <c r="AY47" s="1036"/>
      <c r="AZ47" s="1036"/>
      <c r="BA47" s="1036"/>
      <c r="BB47" s="1037"/>
      <c r="BC47" s="1028"/>
      <c r="BD47" s="1028"/>
      <c r="BE47" s="1028"/>
      <c r="BF47" s="1028"/>
      <c r="BG47" s="1028"/>
      <c r="BH47" s="1028"/>
      <c r="BI47" s="1028"/>
      <c r="BJ47" s="1028"/>
      <c r="BK47" s="1028"/>
      <c r="BL47" s="1028"/>
      <c r="BM47" s="1028"/>
      <c r="BN47" s="1028"/>
      <c r="BO47" s="1028"/>
      <c r="BP47" s="1028"/>
      <c r="BQ47" s="1028"/>
      <c r="BR47" s="1028"/>
      <c r="BS47" s="1028"/>
      <c r="BT47" s="1028"/>
      <c r="BU47" s="1028"/>
      <c r="BV47" s="1028"/>
      <c r="BW47" s="1028"/>
      <c r="BX47" s="1028"/>
      <c r="BY47" s="1028"/>
      <c r="BZ47" s="1028"/>
      <c r="CA47" s="1028"/>
      <c r="CB47" s="1028"/>
      <c r="CC47" s="1028"/>
      <c r="CD47" s="1028"/>
      <c r="CE47" s="1028"/>
      <c r="CF47" s="1028"/>
      <c r="CG47" s="1028"/>
      <c r="CH47" s="1028"/>
      <c r="CI47" s="1028"/>
      <c r="CJ47" s="1028"/>
      <c r="CK47" s="1028"/>
      <c r="CL47" s="1028"/>
      <c r="CM47" s="1028"/>
      <c r="CN47" s="1028"/>
      <c r="CO47" s="1028"/>
      <c r="CP47" s="1028"/>
      <c r="CQ47" s="1028"/>
      <c r="CR47" s="1028"/>
      <c r="CS47" s="1028"/>
      <c r="CT47" s="1028"/>
      <c r="CU47" s="1028"/>
      <c r="CV47" s="1028"/>
      <c r="CW47" s="1028"/>
      <c r="CX47" s="1028"/>
      <c r="CY47" s="1028"/>
      <c r="CZ47" s="1028"/>
    </row>
    <row r="48" spans="1:104" ht="12.75" customHeight="1" x14ac:dyDescent="0.35">
      <c r="A48" s="1061" t="s">
        <v>743</v>
      </c>
      <c r="B48" s="1062">
        <f>IF(B$2=1,SUM(BC48:CZ48),"Error")</f>
        <v>1</v>
      </c>
      <c r="C48" s="1063"/>
      <c r="D48" s="1064">
        <v>1</v>
      </c>
      <c r="E48" s="1064">
        <v>2</v>
      </c>
      <c r="F48" s="1064">
        <v>3</v>
      </c>
      <c r="G48" s="1064">
        <v>1</v>
      </c>
      <c r="H48" s="1064">
        <v>2</v>
      </c>
      <c r="I48" s="1064">
        <v>3</v>
      </c>
      <c r="J48" s="1064">
        <v>1</v>
      </c>
      <c r="K48" s="1064">
        <v>2</v>
      </c>
      <c r="L48" s="1064">
        <v>3</v>
      </c>
      <c r="M48" s="1064">
        <v>1</v>
      </c>
      <c r="N48" s="1064">
        <v>1</v>
      </c>
      <c r="O48" s="1064">
        <v>2</v>
      </c>
      <c r="P48" s="1064">
        <v>3</v>
      </c>
      <c r="Q48" s="1064">
        <v>1</v>
      </c>
      <c r="R48" s="1064">
        <v>1</v>
      </c>
      <c r="S48" s="1064">
        <v>1</v>
      </c>
      <c r="T48" s="1064">
        <v>1</v>
      </c>
      <c r="U48" s="1064">
        <v>1</v>
      </c>
      <c r="V48" s="1064">
        <v>1</v>
      </c>
      <c r="W48" s="1064">
        <v>2</v>
      </c>
      <c r="X48" s="1064">
        <v>3</v>
      </c>
      <c r="Y48" s="1064">
        <v>1</v>
      </c>
      <c r="Z48" s="1064">
        <v>1</v>
      </c>
      <c r="AA48" s="1064">
        <v>2</v>
      </c>
      <c r="AB48" s="1064">
        <v>3</v>
      </c>
      <c r="AC48" s="1064">
        <v>1</v>
      </c>
      <c r="AD48" s="1064">
        <v>1</v>
      </c>
      <c r="AE48" s="1064">
        <v>3</v>
      </c>
      <c r="AF48" s="1064">
        <v>1</v>
      </c>
      <c r="AG48" s="1064">
        <v>2</v>
      </c>
      <c r="AH48" s="1064">
        <v>3</v>
      </c>
      <c r="AI48" s="1064">
        <v>1</v>
      </c>
      <c r="AJ48" s="1064">
        <v>2</v>
      </c>
      <c r="AK48" s="1064">
        <v>3</v>
      </c>
      <c r="AL48" s="1064">
        <v>2</v>
      </c>
      <c r="AM48" s="1064">
        <v>3</v>
      </c>
      <c r="AN48" s="1064">
        <v>1</v>
      </c>
      <c r="AO48" s="1064">
        <v>2</v>
      </c>
      <c r="AP48" s="1064"/>
      <c r="AQ48" s="1064">
        <v>1</v>
      </c>
      <c r="AR48" s="1064">
        <v>1</v>
      </c>
      <c r="AS48" s="1064">
        <v>1</v>
      </c>
      <c r="AT48" s="1064">
        <v>1</v>
      </c>
      <c r="AU48" s="1064">
        <v>1</v>
      </c>
      <c r="AV48" s="1064">
        <v>1</v>
      </c>
      <c r="AW48" s="1064"/>
      <c r="AX48" s="1064"/>
      <c r="AY48" s="1064"/>
      <c r="AZ48" s="1064"/>
      <c r="BA48" s="1064"/>
      <c r="BB48" s="1065"/>
      <c r="BC48" s="1066">
        <f t="shared" ref="BC48:CH48" si="108">IF(D$2=1,D48,0)</f>
        <v>0</v>
      </c>
      <c r="BD48" s="1066">
        <f t="shared" si="108"/>
        <v>0</v>
      </c>
      <c r="BE48" s="1066">
        <f t="shared" si="108"/>
        <v>0</v>
      </c>
      <c r="BF48" s="1066">
        <f t="shared" si="108"/>
        <v>0</v>
      </c>
      <c r="BG48" s="1066">
        <f t="shared" si="108"/>
        <v>0</v>
      </c>
      <c r="BH48" s="1066">
        <f t="shared" si="108"/>
        <v>0</v>
      </c>
      <c r="BI48" s="1066">
        <f t="shared" si="108"/>
        <v>0</v>
      </c>
      <c r="BJ48" s="1066">
        <f t="shared" si="108"/>
        <v>0</v>
      </c>
      <c r="BK48" s="1066">
        <f t="shared" si="108"/>
        <v>0</v>
      </c>
      <c r="BL48" s="1066">
        <f t="shared" si="108"/>
        <v>0</v>
      </c>
      <c r="BM48" s="1066">
        <f t="shared" si="108"/>
        <v>1</v>
      </c>
      <c r="BN48" s="1066">
        <f t="shared" si="108"/>
        <v>0</v>
      </c>
      <c r="BO48" s="1066">
        <f t="shared" si="108"/>
        <v>0</v>
      </c>
      <c r="BP48" s="1066">
        <f t="shared" si="108"/>
        <v>0</v>
      </c>
      <c r="BQ48" s="1066">
        <f t="shared" si="108"/>
        <v>0</v>
      </c>
      <c r="BR48" s="1066">
        <f t="shared" si="108"/>
        <v>0</v>
      </c>
      <c r="BS48" s="1066">
        <f t="shared" si="108"/>
        <v>0</v>
      </c>
      <c r="BT48" s="1066">
        <f t="shared" si="108"/>
        <v>0</v>
      </c>
      <c r="BU48" s="1066">
        <f t="shared" si="108"/>
        <v>0</v>
      </c>
      <c r="BV48" s="1066">
        <f t="shared" si="108"/>
        <v>0</v>
      </c>
      <c r="BW48" s="1066">
        <f t="shared" si="108"/>
        <v>0</v>
      </c>
      <c r="BX48" s="1066">
        <f t="shared" si="108"/>
        <v>0</v>
      </c>
      <c r="BY48" s="1066">
        <f t="shared" si="108"/>
        <v>0</v>
      </c>
      <c r="BZ48" s="1066">
        <f t="shared" si="108"/>
        <v>0</v>
      </c>
      <c r="CA48" s="1066">
        <f t="shared" si="108"/>
        <v>0</v>
      </c>
      <c r="CB48" s="1066">
        <f t="shared" si="108"/>
        <v>0</v>
      </c>
      <c r="CC48" s="1066">
        <f t="shared" si="108"/>
        <v>0</v>
      </c>
      <c r="CD48" s="1066">
        <f t="shared" si="108"/>
        <v>0</v>
      </c>
      <c r="CE48" s="1066">
        <f t="shared" si="108"/>
        <v>0</v>
      </c>
      <c r="CF48" s="1066">
        <f t="shared" si="108"/>
        <v>0</v>
      </c>
      <c r="CG48" s="1066">
        <f t="shared" si="108"/>
        <v>0</v>
      </c>
      <c r="CH48" s="1066">
        <f t="shared" si="108"/>
        <v>0</v>
      </c>
      <c r="CI48" s="1066">
        <f t="shared" ref="CI48:CZ48" si="109">IF(AJ$2=1,AJ48,0)</f>
        <v>0</v>
      </c>
      <c r="CJ48" s="1066">
        <f t="shared" si="109"/>
        <v>0</v>
      </c>
      <c r="CK48" s="1066">
        <f t="shared" si="109"/>
        <v>0</v>
      </c>
      <c r="CL48" s="1066">
        <f t="shared" si="109"/>
        <v>0</v>
      </c>
      <c r="CM48" s="1066">
        <f t="shared" si="109"/>
        <v>0</v>
      </c>
      <c r="CN48" s="1066">
        <f t="shared" si="109"/>
        <v>0</v>
      </c>
      <c r="CO48" s="1066">
        <f t="shared" si="109"/>
        <v>0</v>
      </c>
      <c r="CP48" s="1066">
        <f t="shared" si="109"/>
        <v>0</v>
      </c>
      <c r="CQ48" s="1066">
        <f t="shared" si="109"/>
        <v>0</v>
      </c>
      <c r="CR48" s="1066">
        <f t="shared" si="109"/>
        <v>0</v>
      </c>
      <c r="CS48" s="1066">
        <f t="shared" si="109"/>
        <v>0</v>
      </c>
      <c r="CT48" s="1066">
        <f t="shared" si="109"/>
        <v>0</v>
      </c>
      <c r="CU48" s="1066">
        <f t="shared" si="109"/>
        <v>0</v>
      </c>
      <c r="CV48" s="1066">
        <f t="shared" si="109"/>
        <v>0</v>
      </c>
      <c r="CW48" s="1066">
        <f t="shared" si="109"/>
        <v>0</v>
      </c>
      <c r="CX48" s="1066">
        <f t="shared" si="109"/>
        <v>0</v>
      </c>
      <c r="CY48" s="1066">
        <f t="shared" si="109"/>
        <v>0</v>
      </c>
      <c r="CZ48" s="1066">
        <f t="shared" si="109"/>
        <v>0</v>
      </c>
    </row>
    <row r="50" spans="1:104" ht="13.15" x14ac:dyDescent="0.4">
      <c r="A50" s="994" t="s">
        <v>217</v>
      </c>
      <c r="B50" s="995" t="s">
        <v>655</v>
      </c>
      <c r="C50" s="996"/>
      <c r="D50" s="997" t="s">
        <v>655</v>
      </c>
      <c r="E50" s="997" t="s">
        <v>655</v>
      </c>
      <c r="F50" s="997" t="s">
        <v>655</v>
      </c>
      <c r="G50" s="997" t="s">
        <v>655</v>
      </c>
      <c r="H50" s="997" t="s">
        <v>655</v>
      </c>
      <c r="I50" s="997" t="s">
        <v>655</v>
      </c>
      <c r="J50" s="997" t="s">
        <v>655</v>
      </c>
      <c r="K50" s="997" t="s">
        <v>655</v>
      </c>
      <c r="L50" s="997" t="s">
        <v>655</v>
      </c>
      <c r="M50" s="997" t="s">
        <v>655</v>
      </c>
      <c r="N50" s="997" t="s">
        <v>655</v>
      </c>
      <c r="O50" s="997" t="s">
        <v>655</v>
      </c>
      <c r="P50" s="997" t="s">
        <v>655</v>
      </c>
      <c r="Q50" s="997" t="s">
        <v>655</v>
      </c>
      <c r="R50" s="997" t="s">
        <v>655</v>
      </c>
      <c r="S50" s="997" t="s">
        <v>655</v>
      </c>
      <c r="T50" s="997" t="s">
        <v>655</v>
      </c>
      <c r="U50" s="997" t="s">
        <v>655</v>
      </c>
      <c r="V50" s="997" t="s">
        <v>655</v>
      </c>
      <c r="W50" s="997" t="s">
        <v>655</v>
      </c>
      <c r="X50" s="997" t="s">
        <v>655</v>
      </c>
      <c r="Y50" s="997" t="s">
        <v>655</v>
      </c>
      <c r="Z50" s="997" t="s">
        <v>655</v>
      </c>
      <c r="AA50" s="997" t="s">
        <v>655</v>
      </c>
      <c r="AB50" s="997" t="s">
        <v>655</v>
      </c>
      <c r="AC50" s="997" t="s">
        <v>655</v>
      </c>
      <c r="AD50" s="997" t="s">
        <v>655</v>
      </c>
      <c r="AE50" s="997" t="s">
        <v>655</v>
      </c>
      <c r="AF50" s="997" t="s">
        <v>655</v>
      </c>
      <c r="AG50" s="997" t="s">
        <v>655</v>
      </c>
      <c r="AH50" s="997" t="s">
        <v>655</v>
      </c>
      <c r="AI50" s="997" t="s">
        <v>655</v>
      </c>
      <c r="AJ50" s="997" t="s">
        <v>655</v>
      </c>
      <c r="AK50" s="997" t="s">
        <v>655</v>
      </c>
      <c r="AL50" s="997" t="s">
        <v>655</v>
      </c>
      <c r="AM50" s="997" t="s">
        <v>655</v>
      </c>
      <c r="AN50" s="997" t="s">
        <v>655</v>
      </c>
      <c r="AO50" s="997"/>
      <c r="AP50" s="997"/>
      <c r="AQ50" s="997" t="s">
        <v>655</v>
      </c>
      <c r="AR50" s="997" t="s">
        <v>655</v>
      </c>
      <c r="AS50" s="997" t="s">
        <v>655</v>
      </c>
      <c r="AT50" s="997" t="s">
        <v>655</v>
      </c>
      <c r="AU50" s="997" t="s">
        <v>655</v>
      </c>
      <c r="AV50" s="997" t="s">
        <v>655</v>
      </c>
      <c r="AW50" s="997"/>
      <c r="AX50" s="997"/>
      <c r="AY50" s="997"/>
      <c r="AZ50" s="997"/>
      <c r="BA50" s="997"/>
      <c r="BB50" s="832"/>
      <c r="BC50" s="995" t="s">
        <v>655</v>
      </c>
      <c r="BD50" s="995" t="s">
        <v>655</v>
      </c>
      <c r="BE50" s="995" t="s">
        <v>655</v>
      </c>
      <c r="BF50" s="995" t="s">
        <v>655</v>
      </c>
      <c r="BG50" s="995" t="s">
        <v>655</v>
      </c>
      <c r="BH50" s="995" t="s">
        <v>655</v>
      </c>
      <c r="BI50" s="995" t="s">
        <v>655</v>
      </c>
      <c r="BJ50" s="995" t="s">
        <v>655</v>
      </c>
      <c r="BK50" s="995" t="s">
        <v>655</v>
      </c>
      <c r="BL50" s="995" t="s">
        <v>655</v>
      </c>
      <c r="BM50" s="995" t="s">
        <v>655</v>
      </c>
      <c r="BN50" s="995" t="s">
        <v>655</v>
      </c>
      <c r="BO50" s="995" t="s">
        <v>655</v>
      </c>
      <c r="BP50" s="995" t="s">
        <v>655</v>
      </c>
      <c r="BQ50" s="995" t="s">
        <v>655</v>
      </c>
      <c r="BR50" s="995" t="s">
        <v>655</v>
      </c>
      <c r="BS50" s="995" t="s">
        <v>655</v>
      </c>
      <c r="BT50" s="995" t="s">
        <v>655</v>
      </c>
      <c r="BU50" s="995" t="s">
        <v>655</v>
      </c>
      <c r="BV50" s="995" t="s">
        <v>655</v>
      </c>
      <c r="BW50" s="995" t="s">
        <v>655</v>
      </c>
      <c r="BX50" s="995" t="s">
        <v>655</v>
      </c>
      <c r="BY50" s="995" t="s">
        <v>655</v>
      </c>
      <c r="BZ50" s="995" t="s">
        <v>655</v>
      </c>
      <c r="CA50" s="995" t="s">
        <v>655</v>
      </c>
      <c r="CB50" s="995" t="s">
        <v>655</v>
      </c>
      <c r="CC50" s="995" t="s">
        <v>655</v>
      </c>
      <c r="CD50" s="995" t="s">
        <v>655</v>
      </c>
      <c r="CE50" s="995" t="s">
        <v>655</v>
      </c>
      <c r="CF50" s="995" t="s">
        <v>655</v>
      </c>
      <c r="CG50" s="995" t="s">
        <v>655</v>
      </c>
      <c r="CH50" s="995" t="s">
        <v>655</v>
      </c>
      <c r="CI50" s="995" t="s">
        <v>655</v>
      </c>
      <c r="CJ50" s="995" t="s">
        <v>655</v>
      </c>
      <c r="CK50" s="995" t="s">
        <v>655</v>
      </c>
      <c r="CL50" s="995" t="s">
        <v>655</v>
      </c>
      <c r="CM50" s="995" t="s">
        <v>655</v>
      </c>
      <c r="CN50" s="995" t="s">
        <v>655</v>
      </c>
      <c r="CO50" s="995" t="s">
        <v>655</v>
      </c>
      <c r="CP50" s="995" t="s">
        <v>655</v>
      </c>
      <c r="CQ50" s="995" t="s">
        <v>655</v>
      </c>
      <c r="CR50" s="995" t="s">
        <v>655</v>
      </c>
      <c r="CS50" s="995" t="s">
        <v>655</v>
      </c>
      <c r="CT50" s="995" t="s">
        <v>655</v>
      </c>
      <c r="CU50" s="995" t="s">
        <v>655</v>
      </c>
      <c r="CV50" s="995" t="s">
        <v>655</v>
      </c>
      <c r="CW50" s="995" t="s">
        <v>655</v>
      </c>
      <c r="CX50" s="995" t="s">
        <v>655</v>
      </c>
      <c r="CY50" s="995" t="s">
        <v>655</v>
      </c>
      <c r="CZ50" s="995" t="s">
        <v>655</v>
      </c>
    </row>
    <row r="51" spans="1:104" ht="12.75" customHeight="1" x14ac:dyDescent="0.35">
      <c r="A51" s="301" t="str">
        <f>Machine!A14</f>
        <v>Paratill</v>
      </c>
      <c r="B51" s="993">
        <f t="shared" ref="B51:B83" si="110">IF(B$2=1,SUM(BC51:CZ51),"Error")</f>
        <v>0</v>
      </c>
      <c r="C51" s="990"/>
      <c r="D51" s="989">
        <v>0</v>
      </c>
      <c r="E51" s="989">
        <v>0</v>
      </c>
      <c r="F51" s="989">
        <v>0</v>
      </c>
      <c r="G51" s="989">
        <v>0</v>
      </c>
      <c r="H51" s="989">
        <v>0</v>
      </c>
      <c r="I51" s="989">
        <v>0</v>
      </c>
      <c r="J51" s="989">
        <v>0</v>
      </c>
      <c r="K51" s="989">
        <v>0</v>
      </c>
      <c r="L51" s="989">
        <v>0</v>
      </c>
      <c r="M51" s="989">
        <v>0</v>
      </c>
      <c r="N51" s="989">
        <v>0</v>
      </c>
      <c r="O51" s="989">
        <v>0</v>
      </c>
      <c r="P51" s="989">
        <v>0</v>
      </c>
      <c r="Q51" s="989">
        <v>0</v>
      </c>
      <c r="R51" s="989">
        <v>0</v>
      </c>
      <c r="S51" s="989">
        <v>0</v>
      </c>
      <c r="T51" s="989">
        <v>0</v>
      </c>
      <c r="U51" s="989">
        <v>0</v>
      </c>
      <c r="V51" s="989">
        <v>0</v>
      </c>
      <c r="W51" s="989">
        <v>0</v>
      </c>
      <c r="X51" s="989">
        <v>0</v>
      </c>
      <c r="Y51" s="989">
        <v>0</v>
      </c>
      <c r="Z51" s="989">
        <v>0</v>
      </c>
      <c r="AA51" s="989">
        <v>0</v>
      </c>
      <c r="AB51" s="989">
        <v>0</v>
      </c>
      <c r="AC51" s="989">
        <v>0</v>
      </c>
      <c r="AD51" s="989">
        <v>0</v>
      </c>
      <c r="AE51" s="989">
        <v>0</v>
      </c>
      <c r="AF51" s="989">
        <v>0</v>
      </c>
      <c r="AG51" s="989">
        <v>0</v>
      </c>
      <c r="AH51" s="989">
        <v>0</v>
      </c>
      <c r="AI51" s="989">
        <v>0</v>
      </c>
      <c r="AJ51" s="989">
        <v>0</v>
      </c>
      <c r="AK51" s="989">
        <v>0</v>
      </c>
      <c r="AL51" s="989">
        <v>0</v>
      </c>
      <c r="AM51" s="989">
        <v>0</v>
      </c>
      <c r="AN51" s="989">
        <v>0</v>
      </c>
      <c r="AO51" s="989">
        <v>0</v>
      </c>
      <c r="AP51" s="989"/>
      <c r="AQ51" s="989">
        <v>0</v>
      </c>
      <c r="AR51" s="989">
        <v>0</v>
      </c>
      <c r="AS51" s="989">
        <v>0</v>
      </c>
      <c r="AT51" s="989">
        <v>0</v>
      </c>
      <c r="AU51" s="989">
        <v>0</v>
      </c>
      <c r="AV51" s="989">
        <v>0</v>
      </c>
      <c r="AW51" s="989"/>
      <c r="AX51" s="989"/>
      <c r="AY51" s="989"/>
      <c r="AZ51" s="989"/>
      <c r="BA51" s="989"/>
      <c r="BB51" s="20"/>
      <c r="BC51" s="993">
        <f t="shared" ref="BC51:BC66" si="111">IF(D$2=1,D51,0)</f>
        <v>0</v>
      </c>
      <c r="BD51" s="993">
        <f t="shared" ref="BD51:BD66" si="112">IF(E$2=1,E51,0)</f>
        <v>0</v>
      </c>
      <c r="BE51" s="993">
        <f t="shared" ref="BE51:BE66" si="113">IF(F$2=1,F51,0)</f>
        <v>0</v>
      </c>
      <c r="BF51" s="993">
        <f t="shared" ref="BF51:BF66" si="114">IF(G$2=1,G51,0)</f>
        <v>0</v>
      </c>
      <c r="BG51" s="993">
        <f t="shared" ref="BG51:BG91" si="115">IF(H$2=1,H51,0)</f>
        <v>0</v>
      </c>
      <c r="BH51" s="993">
        <f t="shared" ref="BH51:BH91" si="116">IF(I$2=1,I51,0)</f>
        <v>0</v>
      </c>
      <c r="BI51" s="993">
        <f t="shared" ref="BI51:BI83" si="117">IF(J$2=1,J51,0)</f>
        <v>0</v>
      </c>
      <c r="BJ51" s="993">
        <f t="shared" ref="BJ51:BJ83" si="118">IF(K$2=1,K51,0)</f>
        <v>0</v>
      </c>
      <c r="BK51" s="993">
        <f t="shared" ref="BK51:BK83" si="119">IF(L$2=1,L51,0)</f>
        <v>0</v>
      </c>
      <c r="BL51" s="993">
        <f t="shared" ref="BL51:BL83" si="120">IF(M$2=1,M51,0)</f>
        <v>0</v>
      </c>
      <c r="BM51" s="993">
        <f t="shared" ref="BM51:BM83" si="121">IF(N$2=1,N51,0)</f>
        <v>0</v>
      </c>
      <c r="BN51" s="993">
        <f t="shared" ref="BN51:BN83" si="122">IF(O$2=1,O51,0)</f>
        <v>0</v>
      </c>
      <c r="BO51" s="993">
        <f t="shared" ref="BO51:BO83" si="123">IF(P$2=1,P51,0)</f>
        <v>0</v>
      </c>
      <c r="BP51" s="993">
        <f t="shared" ref="BP51:BP83" si="124">IF(Q$2=1,Q51,0)</f>
        <v>0</v>
      </c>
      <c r="BQ51" s="993">
        <f t="shared" ref="BQ51:BQ83" si="125">IF(R$2=1,R51,0)</f>
        <v>0</v>
      </c>
      <c r="BR51" s="993">
        <f t="shared" ref="BR51:BR83" si="126">IF(S$2=1,S51,0)</f>
        <v>0</v>
      </c>
      <c r="BS51" s="993">
        <f t="shared" ref="BS51:BS83" si="127">IF(T$2=1,T51,0)</f>
        <v>0</v>
      </c>
      <c r="BT51" s="993">
        <f t="shared" ref="BT51:BT83" si="128">IF(U$2=1,U51,0)</f>
        <v>0</v>
      </c>
      <c r="BU51" s="993">
        <f t="shared" ref="BU51:BU83" si="129">IF(V$2=1,V51,0)</f>
        <v>0</v>
      </c>
      <c r="BV51" s="993">
        <f t="shared" ref="BV51:BV83" si="130">IF(W$2=1,W51,0)</f>
        <v>0</v>
      </c>
      <c r="BW51" s="993">
        <f t="shared" ref="BW51:BW83" si="131">IF(X$2=1,X51,0)</f>
        <v>0</v>
      </c>
      <c r="BX51" s="993">
        <f t="shared" ref="BX51:BX83" si="132">IF(Y$2=1,Y51,0)</f>
        <v>0</v>
      </c>
      <c r="BY51" s="993">
        <f t="shared" ref="BY51:BY83" si="133">IF(Z$2=1,Z51,0)</f>
        <v>0</v>
      </c>
      <c r="BZ51" s="993">
        <f t="shared" ref="BZ51:BZ83" si="134">IF(AA$2=1,AA51,0)</f>
        <v>0</v>
      </c>
      <c r="CA51" s="993">
        <f t="shared" ref="CA51:CA83" si="135">IF(AB$2=1,AB51,0)</f>
        <v>0</v>
      </c>
      <c r="CB51" s="993">
        <f t="shared" ref="CB51:CB83" si="136">IF(AC$2=1,AC51,0)</f>
        <v>0</v>
      </c>
      <c r="CC51" s="993">
        <f t="shared" ref="CC51:CC83" si="137">IF(AD$2=1,AD51,0)</f>
        <v>0</v>
      </c>
      <c r="CD51" s="993">
        <f t="shared" ref="CD51:CD83" si="138">IF(AE$2=1,AE51,0)</f>
        <v>0</v>
      </c>
      <c r="CE51" s="993">
        <f t="shared" ref="CE51:CE83" si="139">IF(AF$2=1,AF51,0)</f>
        <v>0</v>
      </c>
      <c r="CF51" s="993">
        <f t="shared" ref="CF51:CF83" si="140">IF(AG$2=1,AG51,0)</f>
        <v>0</v>
      </c>
      <c r="CG51" s="993">
        <f t="shared" ref="CG51:CG83" si="141">IF(AH$2=1,AH51,0)</f>
        <v>0</v>
      </c>
      <c r="CH51" s="993">
        <f t="shared" ref="CH51:CH83" si="142">IF(AI$2=1,AI51,0)</f>
        <v>0</v>
      </c>
      <c r="CI51" s="993">
        <f t="shared" ref="CI51:CI83" si="143">IF(AJ$2=1,AJ51,0)</f>
        <v>0</v>
      </c>
      <c r="CJ51" s="993">
        <f t="shared" ref="CJ51:CJ83" si="144">IF(AK$2=1,AK51,0)</f>
        <v>0</v>
      </c>
      <c r="CK51" s="993">
        <f t="shared" ref="CK51:CK83" si="145">IF(AL$2=1,AL51,0)</f>
        <v>0</v>
      </c>
      <c r="CL51" s="993">
        <f t="shared" ref="CL51:CL83" si="146">IF(AM$2=1,AM51,0)</f>
        <v>0</v>
      </c>
      <c r="CM51" s="993">
        <f t="shared" ref="CM51:CM83" si="147">IF(AN$2=1,AN51,0)</f>
        <v>0</v>
      </c>
      <c r="CN51" s="993">
        <f t="shared" ref="CN51:CN83" si="148">IF(AO$2=1,AO51,0)</f>
        <v>0</v>
      </c>
      <c r="CO51" s="993">
        <f t="shared" ref="CO51:CO83" si="149">IF(AP$2=1,AP51,0)</f>
        <v>0</v>
      </c>
      <c r="CP51" s="993">
        <f t="shared" ref="CP51:CP83" si="150">IF(AQ$2=1,AQ51,0)</f>
        <v>0</v>
      </c>
      <c r="CQ51" s="993">
        <f t="shared" ref="CQ51:CQ83" si="151">IF(AR$2=1,AR51,0)</f>
        <v>0</v>
      </c>
      <c r="CR51" s="993">
        <f t="shared" ref="CR51:CR83" si="152">IF(AS$2=1,AS51,0)</f>
        <v>0</v>
      </c>
      <c r="CS51" s="993">
        <f t="shared" ref="CS51:CS83" si="153">IF(AT$2=1,AT51,0)</f>
        <v>0</v>
      </c>
      <c r="CT51" s="993">
        <f t="shared" ref="CT51:CT83" si="154">IF(AU$2=1,AU51,0)</f>
        <v>0</v>
      </c>
      <c r="CU51" s="993">
        <f t="shared" ref="CU51:CU83" si="155">IF(AV$2=1,AV51,0)</f>
        <v>0</v>
      </c>
      <c r="CV51" s="993">
        <f t="shared" ref="CV51:CV83" si="156">IF(AW$2=1,AW51,0)</f>
        <v>0</v>
      </c>
      <c r="CW51" s="993">
        <f t="shared" ref="CW51:CW83" si="157">IF(AX$2=1,AX51,0)</f>
        <v>0</v>
      </c>
      <c r="CX51" s="993">
        <f t="shared" ref="CX51:CX83" si="158">IF(AY$2=1,AY51,0)</f>
        <v>0</v>
      </c>
      <c r="CY51" s="993">
        <f t="shared" ref="CY51:CY83" si="159">IF(AZ$2=1,AZ51,0)</f>
        <v>0</v>
      </c>
      <c r="CZ51" s="993">
        <f t="shared" ref="CZ51:CZ83" si="160">IF(BA$2=1,BA51,0)</f>
        <v>0</v>
      </c>
    </row>
    <row r="52" spans="1:104" x14ac:dyDescent="0.35">
      <c r="A52" s="301" t="str">
        <f>Machine!A15</f>
        <v>Subsoiler, 25 ft.</v>
      </c>
      <c r="B52" s="993">
        <f t="shared" si="110"/>
        <v>0</v>
      </c>
      <c r="C52" s="990"/>
      <c r="D52" s="989">
        <v>0</v>
      </c>
      <c r="E52" s="989">
        <v>0</v>
      </c>
      <c r="F52" s="989">
        <v>0</v>
      </c>
      <c r="G52" s="989">
        <v>0</v>
      </c>
      <c r="H52" s="989">
        <v>0</v>
      </c>
      <c r="I52" s="989">
        <v>0</v>
      </c>
      <c r="J52" s="989">
        <v>0</v>
      </c>
      <c r="K52" s="989">
        <v>0</v>
      </c>
      <c r="L52" s="989">
        <v>0</v>
      </c>
      <c r="M52" s="989">
        <v>0</v>
      </c>
      <c r="N52" s="989">
        <v>0</v>
      </c>
      <c r="O52" s="989">
        <v>0</v>
      </c>
      <c r="P52" s="989">
        <v>0</v>
      </c>
      <c r="Q52" s="989">
        <v>0</v>
      </c>
      <c r="R52" s="989">
        <v>0</v>
      </c>
      <c r="S52" s="989">
        <v>0</v>
      </c>
      <c r="T52" s="989">
        <v>0</v>
      </c>
      <c r="U52" s="989">
        <v>0</v>
      </c>
      <c r="V52" s="989">
        <v>0</v>
      </c>
      <c r="W52" s="989">
        <v>0</v>
      </c>
      <c r="X52" s="989">
        <v>0</v>
      </c>
      <c r="Y52" s="989">
        <v>0</v>
      </c>
      <c r="Z52" s="989">
        <v>0</v>
      </c>
      <c r="AA52" s="989">
        <v>0</v>
      </c>
      <c r="AB52" s="989">
        <v>0</v>
      </c>
      <c r="AC52" s="989">
        <v>0</v>
      </c>
      <c r="AD52" s="989">
        <v>0</v>
      </c>
      <c r="AE52" s="989">
        <v>0</v>
      </c>
      <c r="AF52" s="989">
        <v>1</v>
      </c>
      <c r="AG52" s="989">
        <v>1</v>
      </c>
      <c r="AH52" s="989">
        <v>1</v>
      </c>
      <c r="AI52" s="989">
        <v>0</v>
      </c>
      <c r="AJ52" s="989">
        <v>0</v>
      </c>
      <c r="AK52" s="989">
        <v>0</v>
      </c>
      <c r="AL52" s="989">
        <v>0</v>
      </c>
      <c r="AM52" s="989">
        <v>0</v>
      </c>
      <c r="AN52" s="989">
        <v>0</v>
      </c>
      <c r="AO52" s="989">
        <v>0</v>
      </c>
      <c r="AP52" s="989"/>
      <c r="AQ52" s="989">
        <v>0</v>
      </c>
      <c r="AR52" s="989">
        <v>0</v>
      </c>
      <c r="AS52" s="989">
        <v>0</v>
      </c>
      <c r="AT52" s="989">
        <v>0</v>
      </c>
      <c r="AU52" s="989">
        <v>0</v>
      </c>
      <c r="AV52" s="989">
        <v>0</v>
      </c>
      <c r="AW52" s="989"/>
      <c r="AX52" s="989"/>
      <c r="AY52" s="989"/>
      <c r="AZ52" s="989"/>
      <c r="BA52" s="989"/>
      <c r="BB52" s="20"/>
      <c r="BC52" s="993">
        <f t="shared" si="111"/>
        <v>0</v>
      </c>
      <c r="BD52" s="993">
        <f t="shared" si="112"/>
        <v>0</v>
      </c>
      <c r="BE52" s="993">
        <f t="shared" si="113"/>
        <v>0</v>
      </c>
      <c r="BF52" s="993">
        <f t="shared" si="114"/>
        <v>0</v>
      </c>
      <c r="BG52" s="993">
        <f t="shared" si="115"/>
        <v>0</v>
      </c>
      <c r="BH52" s="993">
        <f t="shared" si="116"/>
        <v>0</v>
      </c>
      <c r="BI52" s="993">
        <f t="shared" si="117"/>
        <v>0</v>
      </c>
      <c r="BJ52" s="993">
        <f t="shared" si="118"/>
        <v>0</v>
      </c>
      <c r="BK52" s="993">
        <f t="shared" si="119"/>
        <v>0</v>
      </c>
      <c r="BL52" s="993">
        <f t="shared" si="120"/>
        <v>0</v>
      </c>
      <c r="BM52" s="993">
        <f t="shared" si="121"/>
        <v>0</v>
      </c>
      <c r="BN52" s="993">
        <f t="shared" si="122"/>
        <v>0</v>
      </c>
      <c r="BO52" s="993">
        <f t="shared" si="123"/>
        <v>0</v>
      </c>
      <c r="BP52" s="993">
        <f t="shared" si="124"/>
        <v>0</v>
      </c>
      <c r="BQ52" s="993">
        <f t="shared" si="125"/>
        <v>0</v>
      </c>
      <c r="BR52" s="993">
        <f t="shared" si="126"/>
        <v>0</v>
      </c>
      <c r="BS52" s="993">
        <f t="shared" si="127"/>
        <v>0</v>
      </c>
      <c r="BT52" s="993">
        <f t="shared" si="128"/>
        <v>0</v>
      </c>
      <c r="BU52" s="993">
        <f t="shared" si="129"/>
        <v>0</v>
      </c>
      <c r="BV52" s="993">
        <f t="shared" si="130"/>
        <v>0</v>
      </c>
      <c r="BW52" s="993">
        <f t="shared" si="131"/>
        <v>0</v>
      </c>
      <c r="BX52" s="993">
        <f t="shared" si="132"/>
        <v>0</v>
      </c>
      <c r="BY52" s="993">
        <f t="shared" si="133"/>
        <v>0</v>
      </c>
      <c r="BZ52" s="993">
        <f t="shared" si="134"/>
        <v>0</v>
      </c>
      <c r="CA52" s="993">
        <f t="shared" si="135"/>
        <v>0</v>
      </c>
      <c r="CB52" s="993">
        <f t="shared" si="136"/>
        <v>0</v>
      </c>
      <c r="CC52" s="993">
        <f t="shared" si="137"/>
        <v>0</v>
      </c>
      <c r="CD52" s="993">
        <f t="shared" si="138"/>
        <v>0</v>
      </c>
      <c r="CE52" s="993">
        <f t="shared" si="139"/>
        <v>0</v>
      </c>
      <c r="CF52" s="993">
        <f t="shared" si="140"/>
        <v>0</v>
      </c>
      <c r="CG52" s="993">
        <f t="shared" si="141"/>
        <v>0</v>
      </c>
      <c r="CH52" s="993">
        <f t="shared" si="142"/>
        <v>0</v>
      </c>
      <c r="CI52" s="993">
        <f t="shared" si="143"/>
        <v>0</v>
      </c>
      <c r="CJ52" s="993">
        <f t="shared" si="144"/>
        <v>0</v>
      </c>
      <c r="CK52" s="993">
        <f t="shared" si="145"/>
        <v>0</v>
      </c>
      <c r="CL52" s="993">
        <f t="shared" si="146"/>
        <v>0</v>
      </c>
      <c r="CM52" s="993">
        <f t="shared" si="147"/>
        <v>0</v>
      </c>
      <c r="CN52" s="993">
        <f t="shared" si="148"/>
        <v>0</v>
      </c>
      <c r="CO52" s="993">
        <f t="shared" si="149"/>
        <v>0</v>
      </c>
      <c r="CP52" s="993">
        <f t="shared" si="150"/>
        <v>0</v>
      </c>
      <c r="CQ52" s="993">
        <f t="shared" si="151"/>
        <v>0</v>
      </c>
      <c r="CR52" s="993">
        <f t="shared" si="152"/>
        <v>0</v>
      </c>
      <c r="CS52" s="993">
        <f t="shared" si="153"/>
        <v>0</v>
      </c>
      <c r="CT52" s="993">
        <f t="shared" si="154"/>
        <v>0</v>
      </c>
      <c r="CU52" s="993">
        <f t="shared" si="155"/>
        <v>0</v>
      </c>
      <c r="CV52" s="993">
        <f t="shared" si="156"/>
        <v>0</v>
      </c>
      <c r="CW52" s="993">
        <f t="shared" si="157"/>
        <v>0</v>
      </c>
      <c r="CX52" s="993">
        <f t="shared" si="158"/>
        <v>0</v>
      </c>
      <c r="CY52" s="993">
        <f t="shared" si="159"/>
        <v>0</v>
      </c>
      <c r="CZ52" s="993">
        <f t="shared" si="160"/>
        <v>0</v>
      </c>
    </row>
    <row r="53" spans="1:104" x14ac:dyDescent="0.35">
      <c r="A53" s="301" t="str">
        <f>Machine!A16</f>
        <v>Subsoiler, 5 shank</v>
      </c>
      <c r="B53" s="993">
        <f t="shared" si="110"/>
        <v>0</v>
      </c>
      <c r="C53" s="990"/>
      <c r="D53" s="989">
        <v>0</v>
      </c>
      <c r="E53" s="989">
        <v>0</v>
      </c>
      <c r="F53" s="989">
        <v>0</v>
      </c>
      <c r="G53" s="989">
        <v>0</v>
      </c>
      <c r="H53" s="989">
        <v>0</v>
      </c>
      <c r="I53" s="989">
        <v>0</v>
      </c>
      <c r="J53" s="989">
        <v>0</v>
      </c>
      <c r="K53" s="989">
        <v>0</v>
      </c>
      <c r="L53" s="989">
        <v>0</v>
      </c>
      <c r="M53" s="989">
        <v>0</v>
      </c>
      <c r="N53" s="989">
        <v>0</v>
      </c>
      <c r="O53" s="989">
        <v>0</v>
      </c>
      <c r="P53" s="989">
        <v>0</v>
      </c>
      <c r="Q53" s="989">
        <v>0</v>
      </c>
      <c r="R53" s="989">
        <v>0</v>
      </c>
      <c r="S53" s="989">
        <v>0</v>
      </c>
      <c r="T53" s="989">
        <v>0</v>
      </c>
      <c r="U53" s="989">
        <v>0</v>
      </c>
      <c r="V53" s="989">
        <v>0</v>
      </c>
      <c r="W53" s="989">
        <v>0</v>
      </c>
      <c r="X53" s="989">
        <v>0</v>
      </c>
      <c r="Y53" s="989">
        <v>0</v>
      </c>
      <c r="Z53" s="989">
        <v>0</v>
      </c>
      <c r="AA53" s="989">
        <v>0</v>
      </c>
      <c r="AB53" s="989">
        <v>0</v>
      </c>
      <c r="AC53" s="989">
        <v>0</v>
      </c>
      <c r="AD53" s="989">
        <v>0</v>
      </c>
      <c r="AE53" s="989">
        <v>0</v>
      </c>
      <c r="AF53" s="989">
        <v>0</v>
      </c>
      <c r="AG53" s="989">
        <v>0</v>
      </c>
      <c r="AH53" s="989">
        <v>0</v>
      </c>
      <c r="AI53" s="989">
        <v>0</v>
      </c>
      <c r="AJ53" s="989">
        <v>0</v>
      </c>
      <c r="AK53" s="989">
        <v>0</v>
      </c>
      <c r="AL53" s="989">
        <v>0</v>
      </c>
      <c r="AM53" s="989">
        <v>0</v>
      </c>
      <c r="AN53" s="989">
        <v>0</v>
      </c>
      <c r="AO53" s="989">
        <v>0</v>
      </c>
      <c r="AP53" s="989"/>
      <c r="AQ53" s="989">
        <v>0</v>
      </c>
      <c r="AR53" s="989">
        <v>0</v>
      </c>
      <c r="AS53" s="989">
        <v>0</v>
      </c>
      <c r="AT53" s="989">
        <v>0</v>
      </c>
      <c r="AU53" s="989">
        <v>0</v>
      </c>
      <c r="AV53" s="989">
        <v>0</v>
      </c>
      <c r="AW53" s="989"/>
      <c r="AX53" s="989"/>
      <c r="AY53" s="989"/>
      <c r="AZ53" s="989"/>
      <c r="BA53" s="989"/>
      <c r="BB53" s="20"/>
      <c r="BC53" s="993">
        <f t="shared" si="111"/>
        <v>0</v>
      </c>
      <c r="BD53" s="993">
        <f t="shared" si="112"/>
        <v>0</v>
      </c>
      <c r="BE53" s="993">
        <f t="shared" si="113"/>
        <v>0</v>
      </c>
      <c r="BF53" s="993">
        <f t="shared" si="114"/>
        <v>0</v>
      </c>
      <c r="BG53" s="993">
        <f t="shared" si="115"/>
        <v>0</v>
      </c>
      <c r="BH53" s="993">
        <f t="shared" si="116"/>
        <v>0</v>
      </c>
      <c r="BI53" s="993">
        <f t="shared" si="117"/>
        <v>0</v>
      </c>
      <c r="BJ53" s="993">
        <f t="shared" si="118"/>
        <v>0</v>
      </c>
      <c r="BK53" s="993">
        <f t="shared" si="119"/>
        <v>0</v>
      </c>
      <c r="BL53" s="993">
        <f t="shared" si="120"/>
        <v>0</v>
      </c>
      <c r="BM53" s="993">
        <f t="shared" si="121"/>
        <v>0</v>
      </c>
      <c r="BN53" s="993">
        <f t="shared" si="122"/>
        <v>0</v>
      </c>
      <c r="BO53" s="993">
        <f t="shared" si="123"/>
        <v>0</v>
      </c>
      <c r="BP53" s="993">
        <f t="shared" si="124"/>
        <v>0</v>
      </c>
      <c r="BQ53" s="993">
        <f t="shared" si="125"/>
        <v>0</v>
      </c>
      <c r="BR53" s="993">
        <f t="shared" si="126"/>
        <v>0</v>
      </c>
      <c r="BS53" s="993">
        <f t="shared" si="127"/>
        <v>0</v>
      </c>
      <c r="BT53" s="993">
        <f t="shared" si="128"/>
        <v>0</v>
      </c>
      <c r="BU53" s="993">
        <f t="shared" si="129"/>
        <v>0</v>
      </c>
      <c r="BV53" s="993">
        <f t="shared" si="130"/>
        <v>0</v>
      </c>
      <c r="BW53" s="993">
        <f t="shared" si="131"/>
        <v>0</v>
      </c>
      <c r="BX53" s="993">
        <f t="shared" si="132"/>
        <v>0</v>
      </c>
      <c r="BY53" s="993">
        <f t="shared" si="133"/>
        <v>0</v>
      </c>
      <c r="BZ53" s="993">
        <f t="shared" si="134"/>
        <v>0</v>
      </c>
      <c r="CA53" s="993">
        <f t="shared" si="135"/>
        <v>0</v>
      </c>
      <c r="CB53" s="993">
        <f t="shared" si="136"/>
        <v>0</v>
      </c>
      <c r="CC53" s="993">
        <f t="shared" si="137"/>
        <v>0</v>
      </c>
      <c r="CD53" s="993">
        <f t="shared" si="138"/>
        <v>0</v>
      </c>
      <c r="CE53" s="993">
        <f t="shared" si="139"/>
        <v>0</v>
      </c>
      <c r="CF53" s="993">
        <f t="shared" si="140"/>
        <v>0</v>
      </c>
      <c r="CG53" s="993">
        <f t="shared" si="141"/>
        <v>0</v>
      </c>
      <c r="CH53" s="993">
        <f t="shared" si="142"/>
        <v>0</v>
      </c>
      <c r="CI53" s="993">
        <f t="shared" si="143"/>
        <v>0</v>
      </c>
      <c r="CJ53" s="993">
        <f t="shared" si="144"/>
        <v>0</v>
      </c>
      <c r="CK53" s="993">
        <f t="shared" si="145"/>
        <v>0</v>
      </c>
      <c r="CL53" s="993">
        <f t="shared" si="146"/>
        <v>0</v>
      </c>
      <c r="CM53" s="993">
        <f t="shared" si="147"/>
        <v>0</v>
      </c>
      <c r="CN53" s="993">
        <f t="shared" si="148"/>
        <v>0</v>
      </c>
      <c r="CO53" s="993">
        <f t="shared" si="149"/>
        <v>0</v>
      </c>
      <c r="CP53" s="993">
        <f t="shared" si="150"/>
        <v>0</v>
      </c>
      <c r="CQ53" s="993">
        <f t="shared" si="151"/>
        <v>0</v>
      </c>
      <c r="CR53" s="993">
        <f t="shared" si="152"/>
        <v>0</v>
      </c>
      <c r="CS53" s="993">
        <f t="shared" si="153"/>
        <v>0</v>
      </c>
      <c r="CT53" s="993">
        <f t="shared" si="154"/>
        <v>0</v>
      </c>
      <c r="CU53" s="993">
        <f t="shared" si="155"/>
        <v>0</v>
      </c>
      <c r="CV53" s="993">
        <f t="shared" si="156"/>
        <v>0</v>
      </c>
      <c r="CW53" s="993">
        <f t="shared" si="157"/>
        <v>0</v>
      </c>
      <c r="CX53" s="993">
        <f t="shared" si="158"/>
        <v>0</v>
      </c>
      <c r="CY53" s="993">
        <f t="shared" si="159"/>
        <v>0</v>
      </c>
      <c r="CZ53" s="993">
        <f t="shared" si="160"/>
        <v>0</v>
      </c>
    </row>
    <row r="54" spans="1:104" x14ac:dyDescent="0.35">
      <c r="A54" s="301" t="str">
        <f>Machine!A17</f>
        <v>Bedder, Rip/Disk</v>
      </c>
      <c r="B54" s="993">
        <f t="shared" si="110"/>
        <v>0</v>
      </c>
      <c r="C54" s="990"/>
      <c r="D54" s="989">
        <v>0</v>
      </c>
      <c r="E54" s="989">
        <v>0</v>
      </c>
      <c r="F54" s="989">
        <v>0</v>
      </c>
      <c r="G54" s="989">
        <v>0</v>
      </c>
      <c r="H54" s="989">
        <v>0</v>
      </c>
      <c r="I54" s="989">
        <v>0</v>
      </c>
      <c r="J54" s="989">
        <v>0</v>
      </c>
      <c r="K54" s="989">
        <v>0</v>
      </c>
      <c r="L54" s="989">
        <v>0</v>
      </c>
      <c r="M54" s="989">
        <v>0</v>
      </c>
      <c r="N54" s="989">
        <v>0</v>
      </c>
      <c r="O54" s="989">
        <v>0</v>
      </c>
      <c r="P54" s="989">
        <v>0</v>
      </c>
      <c r="Q54" s="989">
        <v>0</v>
      </c>
      <c r="R54" s="989">
        <v>0</v>
      </c>
      <c r="S54" s="989">
        <v>0</v>
      </c>
      <c r="T54" s="989">
        <v>0</v>
      </c>
      <c r="U54" s="989">
        <v>0</v>
      </c>
      <c r="V54" s="989">
        <v>0</v>
      </c>
      <c r="W54" s="989">
        <v>0</v>
      </c>
      <c r="X54" s="989">
        <v>0</v>
      </c>
      <c r="Y54" s="989">
        <v>0</v>
      </c>
      <c r="Z54" s="989">
        <v>0</v>
      </c>
      <c r="AA54" s="989">
        <v>0</v>
      </c>
      <c r="AB54" s="989">
        <v>0</v>
      </c>
      <c r="AC54" s="989">
        <v>0</v>
      </c>
      <c r="AD54" s="989">
        <v>0</v>
      </c>
      <c r="AE54" s="989">
        <v>0</v>
      </c>
      <c r="AF54" s="989">
        <v>0</v>
      </c>
      <c r="AG54" s="989">
        <v>0</v>
      </c>
      <c r="AH54" s="989">
        <v>0</v>
      </c>
      <c r="AI54" s="989">
        <v>0</v>
      </c>
      <c r="AJ54" s="989">
        <v>0</v>
      </c>
      <c r="AK54" s="989">
        <v>0</v>
      </c>
      <c r="AL54" s="989">
        <v>0</v>
      </c>
      <c r="AM54" s="989">
        <v>0</v>
      </c>
      <c r="AN54" s="989">
        <v>0</v>
      </c>
      <c r="AO54" s="989">
        <v>0</v>
      </c>
      <c r="AP54" s="989"/>
      <c r="AQ54" s="989">
        <v>0</v>
      </c>
      <c r="AR54" s="989">
        <v>0</v>
      </c>
      <c r="AS54" s="989">
        <v>0</v>
      </c>
      <c r="AT54" s="989">
        <v>0</v>
      </c>
      <c r="AU54" s="989">
        <v>0</v>
      </c>
      <c r="AV54" s="989">
        <v>0</v>
      </c>
      <c r="AW54" s="989"/>
      <c r="AX54" s="989"/>
      <c r="AY54" s="989"/>
      <c r="AZ54" s="989"/>
      <c r="BA54" s="989"/>
      <c r="BB54" s="20"/>
      <c r="BC54" s="993">
        <f t="shared" si="111"/>
        <v>0</v>
      </c>
      <c r="BD54" s="993">
        <f t="shared" si="112"/>
        <v>0</v>
      </c>
      <c r="BE54" s="993">
        <f t="shared" si="113"/>
        <v>0</v>
      </c>
      <c r="BF54" s="993">
        <f t="shared" si="114"/>
        <v>0</v>
      </c>
      <c r="BG54" s="993">
        <f t="shared" si="115"/>
        <v>0</v>
      </c>
      <c r="BH54" s="993">
        <f t="shared" si="116"/>
        <v>0</v>
      </c>
      <c r="BI54" s="993">
        <f t="shared" si="117"/>
        <v>0</v>
      </c>
      <c r="BJ54" s="993">
        <f t="shared" si="118"/>
        <v>0</v>
      </c>
      <c r="BK54" s="993">
        <f t="shared" si="119"/>
        <v>0</v>
      </c>
      <c r="BL54" s="993">
        <f t="shared" si="120"/>
        <v>0</v>
      </c>
      <c r="BM54" s="993">
        <f t="shared" si="121"/>
        <v>0</v>
      </c>
      <c r="BN54" s="993">
        <f t="shared" si="122"/>
        <v>0</v>
      </c>
      <c r="BO54" s="993">
        <f t="shared" si="123"/>
        <v>0</v>
      </c>
      <c r="BP54" s="993">
        <f t="shared" si="124"/>
        <v>0</v>
      </c>
      <c r="BQ54" s="993">
        <f t="shared" si="125"/>
        <v>0</v>
      </c>
      <c r="BR54" s="993">
        <f t="shared" si="126"/>
        <v>0</v>
      </c>
      <c r="BS54" s="993">
        <f t="shared" si="127"/>
        <v>0</v>
      </c>
      <c r="BT54" s="993">
        <f t="shared" si="128"/>
        <v>0</v>
      </c>
      <c r="BU54" s="993">
        <f t="shared" si="129"/>
        <v>0</v>
      </c>
      <c r="BV54" s="993">
        <f t="shared" si="130"/>
        <v>0</v>
      </c>
      <c r="BW54" s="993">
        <f t="shared" si="131"/>
        <v>0</v>
      </c>
      <c r="BX54" s="993">
        <f t="shared" si="132"/>
        <v>0</v>
      </c>
      <c r="BY54" s="993">
        <f t="shared" si="133"/>
        <v>0</v>
      </c>
      <c r="BZ54" s="993">
        <f t="shared" si="134"/>
        <v>0</v>
      </c>
      <c r="CA54" s="993">
        <f t="shared" si="135"/>
        <v>0</v>
      </c>
      <c r="CB54" s="993">
        <f t="shared" si="136"/>
        <v>0</v>
      </c>
      <c r="CC54" s="993">
        <f t="shared" si="137"/>
        <v>0</v>
      </c>
      <c r="CD54" s="993">
        <f t="shared" si="138"/>
        <v>0</v>
      </c>
      <c r="CE54" s="993">
        <f t="shared" si="139"/>
        <v>0</v>
      </c>
      <c r="CF54" s="993">
        <f t="shared" si="140"/>
        <v>0</v>
      </c>
      <c r="CG54" s="993">
        <f t="shared" si="141"/>
        <v>0</v>
      </c>
      <c r="CH54" s="993">
        <f t="shared" si="142"/>
        <v>0</v>
      </c>
      <c r="CI54" s="993">
        <f t="shared" si="143"/>
        <v>0</v>
      </c>
      <c r="CJ54" s="993">
        <f t="shared" si="144"/>
        <v>0</v>
      </c>
      <c r="CK54" s="993">
        <f t="shared" si="145"/>
        <v>0</v>
      </c>
      <c r="CL54" s="993">
        <f t="shared" si="146"/>
        <v>0</v>
      </c>
      <c r="CM54" s="993">
        <f t="shared" si="147"/>
        <v>0</v>
      </c>
      <c r="CN54" s="993">
        <f t="shared" si="148"/>
        <v>0</v>
      </c>
      <c r="CO54" s="993">
        <f t="shared" si="149"/>
        <v>0</v>
      </c>
      <c r="CP54" s="993">
        <f t="shared" si="150"/>
        <v>0</v>
      </c>
      <c r="CQ54" s="993">
        <f t="shared" si="151"/>
        <v>0</v>
      </c>
      <c r="CR54" s="993">
        <f t="shared" si="152"/>
        <v>0</v>
      </c>
      <c r="CS54" s="993">
        <f t="shared" si="153"/>
        <v>0</v>
      </c>
      <c r="CT54" s="993">
        <f t="shared" si="154"/>
        <v>0</v>
      </c>
      <c r="CU54" s="993">
        <f t="shared" si="155"/>
        <v>0</v>
      </c>
      <c r="CV54" s="993">
        <f t="shared" si="156"/>
        <v>0</v>
      </c>
      <c r="CW54" s="993">
        <f t="shared" si="157"/>
        <v>0</v>
      </c>
      <c r="CX54" s="993">
        <f t="shared" si="158"/>
        <v>0</v>
      </c>
      <c r="CY54" s="993">
        <f t="shared" si="159"/>
        <v>0</v>
      </c>
      <c r="CZ54" s="993">
        <f t="shared" si="160"/>
        <v>0</v>
      </c>
    </row>
    <row r="55" spans="1:104" x14ac:dyDescent="0.35">
      <c r="A55" s="301" t="str">
        <f>Machine!A18</f>
        <v>Bedder, Lister</v>
      </c>
      <c r="B55" s="993">
        <f t="shared" si="110"/>
        <v>0</v>
      </c>
      <c r="C55" s="990"/>
      <c r="D55" s="989">
        <v>0</v>
      </c>
      <c r="E55" s="989">
        <v>0</v>
      </c>
      <c r="F55" s="989">
        <v>0</v>
      </c>
      <c r="G55" s="989">
        <v>0</v>
      </c>
      <c r="H55" s="989">
        <v>0</v>
      </c>
      <c r="I55" s="989">
        <v>0</v>
      </c>
      <c r="J55" s="989">
        <v>0</v>
      </c>
      <c r="K55" s="989">
        <v>0</v>
      </c>
      <c r="L55" s="989">
        <v>0</v>
      </c>
      <c r="M55" s="989">
        <v>0</v>
      </c>
      <c r="N55" s="989">
        <v>0</v>
      </c>
      <c r="O55" s="989">
        <v>0</v>
      </c>
      <c r="P55" s="989">
        <v>0</v>
      </c>
      <c r="Q55" s="989">
        <v>0</v>
      </c>
      <c r="R55" s="989">
        <v>0</v>
      </c>
      <c r="S55" s="989">
        <v>0</v>
      </c>
      <c r="T55" s="989">
        <v>0</v>
      </c>
      <c r="U55" s="989">
        <v>0</v>
      </c>
      <c r="V55" s="989">
        <v>0</v>
      </c>
      <c r="W55" s="989">
        <v>0</v>
      </c>
      <c r="X55" s="989">
        <v>0</v>
      </c>
      <c r="Y55" s="989">
        <v>0</v>
      </c>
      <c r="Z55" s="989">
        <v>0</v>
      </c>
      <c r="AA55" s="989">
        <v>0</v>
      </c>
      <c r="AB55" s="989">
        <v>0</v>
      </c>
      <c r="AC55" s="989">
        <v>0</v>
      </c>
      <c r="AD55" s="989">
        <v>0</v>
      </c>
      <c r="AE55" s="989">
        <v>0</v>
      </c>
      <c r="AF55" s="989">
        <v>0</v>
      </c>
      <c r="AG55" s="989">
        <v>0</v>
      </c>
      <c r="AH55" s="989">
        <v>0</v>
      </c>
      <c r="AI55" s="989">
        <v>0</v>
      </c>
      <c r="AJ55" s="989">
        <v>0</v>
      </c>
      <c r="AK55" s="989">
        <v>0</v>
      </c>
      <c r="AL55" s="989">
        <v>0</v>
      </c>
      <c r="AM55" s="989">
        <v>0</v>
      </c>
      <c r="AN55" s="989">
        <v>0</v>
      </c>
      <c r="AO55" s="989">
        <v>0</v>
      </c>
      <c r="AP55" s="989"/>
      <c r="AQ55" s="989">
        <v>0</v>
      </c>
      <c r="AR55" s="989">
        <v>0</v>
      </c>
      <c r="AS55" s="989">
        <v>0</v>
      </c>
      <c r="AT55" s="989">
        <v>0</v>
      </c>
      <c r="AU55" s="989">
        <v>0</v>
      </c>
      <c r="AV55" s="989">
        <v>0</v>
      </c>
      <c r="AW55" s="989"/>
      <c r="AX55" s="989"/>
      <c r="AY55" s="989"/>
      <c r="AZ55" s="989"/>
      <c r="BA55" s="989"/>
      <c r="BB55" s="20"/>
      <c r="BC55" s="993">
        <f t="shared" si="111"/>
        <v>0</v>
      </c>
      <c r="BD55" s="993">
        <f t="shared" si="112"/>
        <v>0</v>
      </c>
      <c r="BE55" s="993">
        <f t="shared" si="113"/>
        <v>0</v>
      </c>
      <c r="BF55" s="993">
        <f t="shared" si="114"/>
        <v>0</v>
      </c>
      <c r="BG55" s="993">
        <f t="shared" si="115"/>
        <v>0</v>
      </c>
      <c r="BH55" s="993">
        <f t="shared" si="116"/>
        <v>0</v>
      </c>
      <c r="BI55" s="993">
        <f t="shared" si="117"/>
        <v>0</v>
      </c>
      <c r="BJ55" s="993">
        <f t="shared" si="118"/>
        <v>0</v>
      </c>
      <c r="BK55" s="993">
        <f t="shared" si="119"/>
        <v>0</v>
      </c>
      <c r="BL55" s="993">
        <f t="shared" si="120"/>
        <v>0</v>
      </c>
      <c r="BM55" s="993">
        <f t="shared" si="121"/>
        <v>0</v>
      </c>
      <c r="BN55" s="993">
        <f t="shared" si="122"/>
        <v>0</v>
      </c>
      <c r="BO55" s="993">
        <f t="shared" si="123"/>
        <v>0</v>
      </c>
      <c r="BP55" s="993">
        <f t="shared" si="124"/>
        <v>0</v>
      </c>
      <c r="BQ55" s="993">
        <f t="shared" si="125"/>
        <v>0</v>
      </c>
      <c r="BR55" s="993">
        <f t="shared" si="126"/>
        <v>0</v>
      </c>
      <c r="BS55" s="993">
        <f t="shared" si="127"/>
        <v>0</v>
      </c>
      <c r="BT55" s="993">
        <f t="shared" si="128"/>
        <v>0</v>
      </c>
      <c r="BU55" s="993">
        <f t="shared" si="129"/>
        <v>0</v>
      </c>
      <c r="BV55" s="993">
        <f t="shared" si="130"/>
        <v>0</v>
      </c>
      <c r="BW55" s="993">
        <f t="shared" si="131"/>
        <v>0</v>
      </c>
      <c r="BX55" s="993">
        <f t="shared" si="132"/>
        <v>0</v>
      </c>
      <c r="BY55" s="993">
        <f t="shared" si="133"/>
        <v>0</v>
      </c>
      <c r="BZ55" s="993">
        <f t="shared" si="134"/>
        <v>0</v>
      </c>
      <c r="CA55" s="993">
        <f t="shared" si="135"/>
        <v>0</v>
      </c>
      <c r="CB55" s="993">
        <f t="shared" si="136"/>
        <v>0</v>
      </c>
      <c r="CC55" s="993">
        <f t="shared" si="137"/>
        <v>0</v>
      </c>
      <c r="CD55" s="993">
        <f t="shared" si="138"/>
        <v>0</v>
      </c>
      <c r="CE55" s="993">
        <f t="shared" si="139"/>
        <v>0</v>
      </c>
      <c r="CF55" s="993">
        <f t="shared" si="140"/>
        <v>0</v>
      </c>
      <c r="CG55" s="993">
        <f t="shared" si="141"/>
        <v>0</v>
      </c>
      <c r="CH55" s="993">
        <f t="shared" si="142"/>
        <v>0</v>
      </c>
      <c r="CI55" s="993">
        <f t="shared" si="143"/>
        <v>0</v>
      </c>
      <c r="CJ55" s="993">
        <f t="shared" si="144"/>
        <v>0</v>
      </c>
      <c r="CK55" s="993">
        <f t="shared" si="145"/>
        <v>0</v>
      </c>
      <c r="CL55" s="993">
        <f t="shared" si="146"/>
        <v>0</v>
      </c>
      <c r="CM55" s="993">
        <f t="shared" si="147"/>
        <v>0</v>
      </c>
      <c r="CN55" s="993">
        <f t="shared" si="148"/>
        <v>0</v>
      </c>
      <c r="CO55" s="993">
        <f t="shared" si="149"/>
        <v>0</v>
      </c>
      <c r="CP55" s="993">
        <f t="shared" si="150"/>
        <v>0</v>
      </c>
      <c r="CQ55" s="993">
        <f t="shared" si="151"/>
        <v>0</v>
      </c>
      <c r="CR55" s="993">
        <f t="shared" si="152"/>
        <v>0</v>
      </c>
      <c r="CS55" s="993">
        <f t="shared" si="153"/>
        <v>0</v>
      </c>
      <c r="CT55" s="993">
        <f t="shared" si="154"/>
        <v>0</v>
      </c>
      <c r="CU55" s="993">
        <f t="shared" si="155"/>
        <v>0</v>
      </c>
      <c r="CV55" s="993">
        <f t="shared" si="156"/>
        <v>0</v>
      </c>
      <c r="CW55" s="993">
        <f t="shared" si="157"/>
        <v>0</v>
      </c>
      <c r="CX55" s="993">
        <f t="shared" si="158"/>
        <v>0</v>
      </c>
      <c r="CY55" s="993">
        <f t="shared" si="159"/>
        <v>0</v>
      </c>
      <c r="CZ55" s="993">
        <f t="shared" si="160"/>
        <v>0</v>
      </c>
    </row>
    <row r="56" spans="1:104" x14ac:dyDescent="0.35">
      <c r="A56" s="301" t="str">
        <f>Machine!A19</f>
        <v>Disk</v>
      </c>
      <c r="B56" s="993">
        <f t="shared" si="110"/>
        <v>0</v>
      </c>
      <c r="C56" s="990"/>
      <c r="D56" s="989">
        <v>1</v>
      </c>
      <c r="E56" s="989">
        <v>1</v>
      </c>
      <c r="F56" s="989">
        <v>1</v>
      </c>
      <c r="G56" s="989">
        <v>0</v>
      </c>
      <c r="H56" s="989">
        <v>0</v>
      </c>
      <c r="I56" s="989">
        <v>0</v>
      </c>
      <c r="J56" s="989">
        <v>0</v>
      </c>
      <c r="K56" s="989">
        <v>0</v>
      </c>
      <c r="L56" s="989">
        <v>0</v>
      </c>
      <c r="M56" s="989">
        <v>0</v>
      </c>
      <c r="N56" s="989">
        <v>0</v>
      </c>
      <c r="O56" s="989">
        <v>0</v>
      </c>
      <c r="P56" s="989">
        <v>0</v>
      </c>
      <c r="Q56" s="989">
        <v>1</v>
      </c>
      <c r="R56" s="989">
        <v>1</v>
      </c>
      <c r="S56" s="989">
        <v>1</v>
      </c>
      <c r="T56" s="989">
        <v>1</v>
      </c>
      <c r="U56" s="989">
        <v>0</v>
      </c>
      <c r="V56" s="989">
        <v>1</v>
      </c>
      <c r="W56" s="989">
        <v>1</v>
      </c>
      <c r="X56" s="989">
        <v>1</v>
      </c>
      <c r="Y56" s="989">
        <v>1</v>
      </c>
      <c r="Z56" s="989">
        <v>1</v>
      </c>
      <c r="AA56" s="989">
        <v>1</v>
      </c>
      <c r="AB56" s="989">
        <v>1</v>
      </c>
      <c r="AC56" s="989">
        <v>1</v>
      </c>
      <c r="AD56" s="989">
        <v>1</v>
      </c>
      <c r="AE56" s="989">
        <v>1</v>
      </c>
      <c r="AF56" s="989">
        <v>1</v>
      </c>
      <c r="AG56" s="989">
        <v>1</v>
      </c>
      <c r="AH56" s="989">
        <v>1</v>
      </c>
      <c r="AI56" s="989">
        <v>1</v>
      </c>
      <c r="AJ56" s="989">
        <v>1</v>
      </c>
      <c r="AK56" s="989">
        <v>1</v>
      </c>
      <c r="AL56" s="989">
        <v>1</v>
      </c>
      <c r="AM56" s="989">
        <v>1</v>
      </c>
      <c r="AN56" s="989">
        <v>1</v>
      </c>
      <c r="AO56" s="989">
        <v>0</v>
      </c>
      <c r="AP56" s="989"/>
      <c r="AQ56" s="989">
        <v>2</v>
      </c>
      <c r="AR56" s="989">
        <v>2</v>
      </c>
      <c r="AS56" s="989">
        <v>2</v>
      </c>
      <c r="AT56" s="989">
        <v>2</v>
      </c>
      <c r="AU56" s="989">
        <v>1</v>
      </c>
      <c r="AV56" s="989">
        <v>1</v>
      </c>
      <c r="AW56" s="989"/>
      <c r="AX56" s="989"/>
      <c r="AY56" s="989"/>
      <c r="AZ56" s="989"/>
      <c r="BA56" s="989"/>
      <c r="BB56" s="20"/>
      <c r="BC56" s="993">
        <f t="shared" si="111"/>
        <v>0</v>
      </c>
      <c r="BD56" s="993">
        <f t="shared" si="112"/>
        <v>0</v>
      </c>
      <c r="BE56" s="993">
        <f t="shared" si="113"/>
        <v>0</v>
      </c>
      <c r="BF56" s="993">
        <f t="shared" si="114"/>
        <v>0</v>
      </c>
      <c r="BG56" s="993">
        <f t="shared" si="115"/>
        <v>0</v>
      </c>
      <c r="BH56" s="993">
        <f t="shared" si="116"/>
        <v>0</v>
      </c>
      <c r="BI56" s="993">
        <f t="shared" si="117"/>
        <v>0</v>
      </c>
      <c r="BJ56" s="993">
        <f t="shared" si="118"/>
        <v>0</v>
      </c>
      <c r="BK56" s="993">
        <f t="shared" si="119"/>
        <v>0</v>
      </c>
      <c r="BL56" s="993">
        <f t="shared" si="120"/>
        <v>0</v>
      </c>
      <c r="BM56" s="993">
        <f t="shared" si="121"/>
        <v>0</v>
      </c>
      <c r="BN56" s="993">
        <f t="shared" si="122"/>
        <v>0</v>
      </c>
      <c r="BO56" s="993">
        <f t="shared" si="123"/>
        <v>0</v>
      </c>
      <c r="BP56" s="993">
        <f t="shared" si="124"/>
        <v>0</v>
      </c>
      <c r="BQ56" s="993">
        <f t="shared" si="125"/>
        <v>0</v>
      </c>
      <c r="BR56" s="993">
        <f t="shared" si="126"/>
        <v>0</v>
      </c>
      <c r="BS56" s="993">
        <f t="shared" si="127"/>
        <v>0</v>
      </c>
      <c r="BT56" s="993">
        <f t="shared" si="128"/>
        <v>0</v>
      </c>
      <c r="BU56" s="993">
        <f t="shared" si="129"/>
        <v>0</v>
      </c>
      <c r="BV56" s="993">
        <f t="shared" si="130"/>
        <v>0</v>
      </c>
      <c r="BW56" s="993">
        <f t="shared" si="131"/>
        <v>0</v>
      </c>
      <c r="BX56" s="993">
        <f t="shared" si="132"/>
        <v>0</v>
      </c>
      <c r="BY56" s="993">
        <f t="shared" si="133"/>
        <v>0</v>
      </c>
      <c r="BZ56" s="993">
        <f t="shared" si="134"/>
        <v>0</v>
      </c>
      <c r="CA56" s="993">
        <f t="shared" si="135"/>
        <v>0</v>
      </c>
      <c r="CB56" s="993">
        <f t="shared" si="136"/>
        <v>0</v>
      </c>
      <c r="CC56" s="993">
        <f t="shared" si="137"/>
        <v>0</v>
      </c>
      <c r="CD56" s="993">
        <f t="shared" si="138"/>
        <v>0</v>
      </c>
      <c r="CE56" s="993">
        <f t="shared" si="139"/>
        <v>0</v>
      </c>
      <c r="CF56" s="993">
        <f t="shared" si="140"/>
        <v>0</v>
      </c>
      <c r="CG56" s="993">
        <f t="shared" si="141"/>
        <v>0</v>
      </c>
      <c r="CH56" s="993">
        <f t="shared" si="142"/>
        <v>0</v>
      </c>
      <c r="CI56" s="993">
        <f t="shared" si="143"/>
        <v>0</v>
      </c>
      <c r="CJ56" s="993">
        <f t="shared" si="144"/>
        <v>0</v>
      </c>
      <c r="CK56" s="993">
        <f t="shared" si="145"/>
        <v>0</v>
      </c>
      <c r="CL56" s="993">
        <f t="shared" si="146"/>
        <v>0</v>
      </c>
      <c r="CM56" s="993">
        <f t="shared" si="147"/>
        <v>0</v>
      </c>
      <c r="CN56" s="993">
        <f t="shared" si="148"/>
        <v>0</v>
      </c>
      <c r="CO56" s="993">
        <f t="shared" si="149"/>
        <v>0</v>
      </c>
      <c r="CP56" s="993">
        <f t="shared" si="150"/>
        <v>0</v>
      </c>
      <c r="CQ56" s="993">
        <f t="shared" si="151"/>
        <v>0</v>
      </c>
      <c r="CR56" s="993">
        <f t="shared" si="152"/>
        <v>0</v>
      </c>
      <c r="CS56" s="993">
        <f t="shared" si="153"/>
        <v>0</v>
      </c>
      <c r="CT56" s="993">
        <f t="shared" si="154"/>
        <v>0</v>
      </c>
      <c r="CU56" s="993">
        <f t="shared" si="155"/>
        <v>0</v>
      </c>
      <c r="CV56" s="993">
        <f t="shared" si="156"/>
        <v>0</v>
      </c>
      <c r="CW56" s="993">
        <f t="shared" si="157"/>
        <v>0</v>
      </c>
      <c r="CX56" s="993">
        <f t="shared" si="158"/>
        <v>0</v>
      </c>
      <c r="CY56" s="993">
        <f t="shared" si="159"/>
        <v>0</v>
      </c>
      <c r="CZ56" s="993">
        <f t="shared" si="160"/>
        <v>0</v>
      </c>
    </row>
    <row r="57" spans="1:104" x14ac:dyDescent="0.35">
      <c r="A57" s="301" t="str">
        <f>Machine!A20</f>
        <v>Bedder, Hipper</v>
      </c>
      <c r="B57" s="993">
        <f t="shared" si="110"/>
        <v>2</v>
      </c>
      <c r="C57" s="990"/>
      <c r="D57" s="989">
        <v>1</v>
      </c>
      <c r="E57" s="989">
        <v>1</v>
      </c>
      <c r="F57" s="989">
        <v>1</v>
      </c>
      <c r="G57" s="989">
        <v>2</v>
      </c>
      <c r="H57" s="989">
        <v>2</v>
      </c>
      <c r="I57" s="989">
        <v>2</v>
      </c>
      <c r="J57" s="989">
        <v>2</v>
      </c>
      <c r="K57" s="989">
        <v>2</v>
      </c>
      <c r="L57" s="989">
        <v>2</v>
      </c>
      <c r="M57" s="989">
        <v>2</v>
      </c>
      <c r="N57" s="989">
        <v>2</v>
      </c>
      <c r="O57" s="989">
        <v>2</v>
      </c>
      <c r="P57" s="989">
        <v>2</v>
      </c>
      <c r="Q57" s="989">
        <v>0</v>
      </c>
      <c r="R57" s="989">
        <v>0</v>
      </c>
      <c r="S57" s="989">
        <v>0</v>
      </c>
      <c r="T57" s="989">
        <v>0</v>
      </c>
      <c r="U57" s="989">
        <v>0</v>
      </c>
      <c r="V57" s="989">
        <v>2</v>
      </c>
      <c r="W57" s="989">
        <v>2</v>
      </c>
      <c r="X57" s="989">
        <v>2</v>
      </c>
      <c r="Y57" s="989">
        <v>0</v>
      </c>
      <c r="Z57" s="989">
        <v>2</v>
      </c>
      <c r="AA57" s="989">
        <v>2</v>
      </c>
      <c r="AB57" s="989">
        <v>2</v>
      </c>
      <c r="AC57" s="989">
        <v>0</v>
      </c>
      <c r="AD57" s="989">
        <v>2</v>
      </c>
      <c r="AE57" s="989">
        <v>0</v>
      </c>
      <c r="AF57" s="989">
        <v>1</v>
      </c>
      <c r="AG57" s="989">
        <v>1</v>
      </c>
      <c r="AH57" s="989">
        <v>1</v>
      </c>
      <c r="AI57" s="989">
        <v>1</v>
      </c>
      <c r="AJ57" s="989">
        <v>2</v>
      </c>
      <c r="AK57" s="989">
        <v>2</v>
      </c>
      <c r="AL57" s="989">
        <v>2</v>
      </c>
      <c r="AM57" s="989">
        <v>2</v>
      </c>
      <c r="AN57" s="989">
        <v>0</v>
      </c>
      <c r="AO57" s="989">
        <v>2</v>
      </c>
      <c r="AP57" s="989"/>
      <c r="AQ57" s="989">
        <v>1</v>
      </c>
      <c r="AR57" s="989">
        <v>1</v>
      </c>
      <c r="AS57" s="989">
        <v>1</v>
      </c>
      <c r="AT57" s="989">
        <v>1</v>
      </c>
      <c r="AU57" s="989">
        <v>0</v>
      </c>
      <c r="AV57" s="989">
        <v>0</v>
      </c>
      <c r="AW57" s="989"/>
      <c r="AX57" s="989"/>
      <c r="AY57" s="989"/>
      <c r="AZ57" s="989"/>
      <c r="BA57" s="989"/>
      <c r="BB57" s="20"/>
      <c r="BC57" s="993">
        <f t="shared" si="111"/>
        <v>0</v>
      </c>
      <c r="BD57" s="993">
        <f t="shared" si="112"/>
        <v>0</v>
      </c>
      <c r="BE57" s="993">
        <f t="shared" si="113"/>
        <v>0</v>
      </c>
      <c r="BF57" s="993">
        <f t="shared" si="114"/>
        <v>0</v>
      </c>
      <c r="BG57" s="993">
        <f t="shared" si="115"/>
        <v>0</v>
      </c>
      <c r="BH57" s="993">
        <f t="shared" si="116"/>
        <v>0</v>
      </c>
      <c r="BI57" s="993">
        <f t="shared" si="117"/>
        <v>0</v>
      </c>
      <c r="BJ57" s="993">
        <f t="shared" si="118"/>
        <v>0</v>
      </c>
      <c r="BK57" s="993">
        <f t="shared" si="119"/>
        <v>0</v>
      </c>
      <c r="BL57" s="993">
        <f t="shared" si="120"/>
        <v>0</v>
      </c>
      <c r="BM57" s="993">
        <f t="shared" si="121"/>
        <v>2</v>
      </c>
      <c r="BN57" s="993">
        <f t="shared" si="122"/>
        <v>0</v>
      </c>
      <c r="BO57" s="993">
        <f t="shared" si="123"/>
        <v>0</v>
      </c>
      <c r="BP57" s="993">
        <f t="shared" si="124"/>
        <v>0</v>
      </c>
      <c r="BQ57" s="993">
        <f t="shared" si="125"/>
        <v>0</v>
      </c>
      <c r="BR57" s="993">
        <f t="shared" si="126"/>
        <v>0</v>
      </c>
      <c r="BS57" s="993">
        <f t="shared" si="127"/>
        <v>0</v>
      </c>
      <c r="BT57" s="993">
        <f t="shared" si="128"/>
        <v>0</v>
      </c>
      <c r="BU57" s="993">
        <f t="shared" si="129"/>
        <v>0</v>
      </c>
      <c r="BV57" s="993">
        <f t="shared" si="130"/>
        <v>0</v>
      </c>
      <c r="BW57" s="993">
        <f t="shared" si="131"/>
        <v>0</v>
      </c>
      <c r="BX57" s="993">
        <f t="shared" si="132"/>
        <v>0</v>
      </c>
      <c r="BY57" s="993">
        <f t="shared" si="133"/>
        <v>0</v>
      </c>
      <c r="BZ57" s="993">
        <f t="shared" si="134"/>
        <v>0</v>
      </c>
      <c r="CA57" s="993">
        <f t="shared" si="135"/>
        <v>0</v>
      </c>
      <c r="CB57" s="993">
        <f t="shared" si="136"/>
        <v>0</v>
      </c>
      <c r="CC57" s="993">
        <f t="shared" si="137"/>
        <v>0</v>
      </c>
      <c r="CD57" s="993">
        <f t="shared" si="138"/>
        <v>0</v>
      </c>
      <c r="CE57" s="993">
        <f t="shared" si="139"/>
        <v>0</v>
      </c>
      <c r="CF57" s="993">
        <f t="shared" si="140"/>
        <v>0</v>
      </c>
      <c r="CG57" s="993">
        <f t="shared" si="141"/>
        <v>0</v>
      </c>
      <c r="CH57" s="993">
        <f t="shared" si="142"/>
        <v>0</v>
      </c>
      <c r="CI57" s="993">
        <f t="shared" si="143"/>
        <v>0</v>
      </c>
      <c r="CJ57" s="993">
        <f t="shared" si="144"/>
        <v>0</v>
      </c>
      <c r="CK57" s="993">
        <f t="shared" si="145"/>
        <v>0</v>
      </c>
      <c r="CL57" s="993">
        <f t="shared" si="146"/>
        <v>0</v>
      </c>
      <c r="CM57" s="993">
        <f t="shared" si="147"/>
        <v>0</v>
      </c>
      <c r="CN57" s="993">
        <f t="shared" si="148"/>
        <v>0</v>
      </c>
      <c r="CO57" s="993">
        <f t="shared" si="149"/>
        <v>0</v>
      </c>
      <c r="CP57" s="993">
        <f t="shared" si="150"/>
        <v>0</v>
      </c>
      <c r="CQ57" s="993">
        <f t="shared" si="151"/>
        <v>0</v>
      </c>
      <c r="CR57" s="993">
        <f t="shared" si="152"/>
        <v>0</v>
      </c>
      <c r="CS57" s="993">
        <f t="shared" si="153"/>
        <v>0</v>
      </c>
      <c r="CT57" s="993">
        <f t="shared" si="154"/>
        <v>0</v>
      </c>
      <c r="CU57" s="993">
        <f t="shared" si="155"/>
        <v>0</v>
      </c>
      <c r="CV57" s="993">
        <f t="shared" si="156"/>
        <v>0</v>
      </c>
      <c r="CW57" s="993">
        <f t="shared" si="157"/>
        <v>0</v>
      </c>
      <c r="CX57" s="993">
        <f t="shared" si="158"/>
        <v>0</v>
      </c>
      <c r="CY57" s="993">
        <f t="shared" si="159"/>
        <v>0</v>
      </c>
      <c r="CZ57" s="993">
        <f t="shared" si="160"/>
        <v>0</v>
      </c>
    </row>
    <row r="58" spans="1:104" x14ac:dyDescent="0.35">
      <c r="A58" s="301" t="str">
        <f>Machine!A21</f>
        <v>Chisel Plow</v>
      </c>
      <c r="B58" s="993">
        <f t="shared" si="110"/>
        <v>0</v>
      </c>
      <c r="C58" s="990"/>
      <c r="D58" s="989">
        <v>0</v>
      </c>
      <c r="E58" s="989">
        <v>0</v>
      </c>
      <c r="F58" s="989">
        <v>0</v>
      </c>
      <c r="G58" s="989">
        <v>0</v>
      </c>
      <c r="H58" s="989">
        <v>0</v>
      </c>
      <c r="I58" s="989">
        <v>0</v>
      </c>
      <c r="J58" s="989">
        <v>0</v>
      </c>
      <c r="K58" s="989">
        <v>0</v>
      </c>
      <c r="L58" s="989">
        <v>0</v>
      </c>
      <c r="M58" s="989">
        <v>0</v>
      </c>
      <c r="N58" s="989">
        <v>0</v>
      </c>
      <c r="O58" s="989">
        <v>0</v>
      </c>
      <c r="P58" s="989">
        <v>0</v>
      </c>
      <c r="Q58" s="989">
        <v>0</v>
      </c>
      <c r="R58" s="989">
        <v>0</v>
      </c>
      <c r="S58" s="989">
        <v>0</v>
      </c>
      <c r="T58" s="989">
        <v>0</v>
      </c>
      <c r="U58" s="989">
        <v>0</v>
      </c>
      <c r="V58" s="989">
        <v>0</v>
      </c>
      <c r="W58" s="989">
        <v>0</v>
      </c>
      <c r="X58" s="989">
        <v>0</v>
      </c>
      <c r="Y58" s="989">
        <v>0</v>
      </c>
      <c r="Z58" s="989">
        <v>0</v>
      </c>
      <c r="AA58" s="989">
        <v>0</v>
      </c>
      <c r="AB58" s="989">
        <v>0</v>
      </c>
      <c r="AC58" s="989">
        <v>0</v>
      </c>
      <c r="AD58" s="989">
        <v>0</v>
      </c>
      <c r="AE58" s="989">
        <v>0</v>
      </c>
      <c r="AF58" s="989">
        <v>0</v>
      </c>
      <c r="AG58" s="989">
        <v>0</v>
      </c>
      <c r="AH58" s="989">
        <v>0</v>
      </c>
      <c r="AI58" s="989">
        <v>0</v>
      </c>
      <c r="AJ58" s="989">
        <v>0</v>
      </c>
      <c r="AK58" s="989">
        <v>0</v>
      </c>
      <c r="AL58" s="989">
        <v>0</v>
      </c>
      <c r="AM58" s="989">
        <v>0</v>
      </c>
      <c r="AN58" s="989">
        <v>0</v>
      </c>
      <c r="AO58" s="989">
        <v>0</v>
      </c>
      <c r="AP58" s="989"/>
      <c r="AQ58" s="989">
        <v>0</v>
      </c>
      <c r="AR58" s="989">
        <v>0</v>
      </c>
      <c r="AS58" s="989">
        <v>0</v>
      </c>
      <c r="AT58" s="989">
        <v>0</v>
      </c>
      <c r="AU58" s="989">
        <v>0</v>
      </c>
      <c r="AV58" s="989">
        <v>0</v>
      </c>
      <c r="AW58" s="989"/>
      <c r="AX58" s="989"/>
      <c r="AY58" s="989"/>
      <c r="AZ58" s="989"/>
      <c r="BA58" s="989"/>
      <c r="BB58" s="20"/>
      <c r="BC58" s="993">
        <f t="shared" si="111"/>
        <v>0</v>
      </c>
      <c r="BD58" s="993">
        <f t="shared" si="112"/>
        <v>0</v>
      </c>
      <c r="BE58" s="993">
        <f t="shared" si="113"/>
        <v>0</v>
      </c>
      <c r="BF58" s="993">
        <f t="shared" si="114"/>
        <v>0</v>
      </c>
      <c r="BG58" s="993">
        <f t="shared" si="115"/>
        <v>0</v>
      </c>
      <c r="BH58" s="993">
        <f t="shared" si="116"/>
        <v>0</v>
      </c>
      <c r="BI58" s="993">
        <f t="shared" si="117"/>
        <v>0</v>
      </c>
      <c r="BJ58" s="993">
        <f t="shared" si="118"/>
        <v>0</v>
      </c>
      <c r="BK58" s="993">
        <f t="shared" si="119"/>
        <v>0</v>
      </c>
      <c r="BL58" s="993">
        <f t="shared" si="120"/>
        <v>0</v>
      </c>
      <c r="BM58" s="993">
        <f t="shared" si="121"/>
        <v>0</v>
      </c>
      <c r="BN58" s="993">
        <f t="shared" si="122"/>
        <v>0</v>
      </c>
      <c r="BO58" s="993">
        <f t="shared" si="123"/>
        <v>0</v>
      </c>
      <c r="BP58" s="993">
        <f t="shared" si="124"/>
        <v>0</v>
      </c>
      <c r="BQ58" s="993">
        <f t="shared" si="125"/>
        <v>0</v>
      </c>
      <c r="BR58" s="993">
        <f t="shared" si="126"/>
        <v>0</v>
      </c>
      <c r="BS58" s="993">
        <f t="shared" si="127"/>
        <v>0</v>
      </c>
      <c r="BT58" s="993">
        <f t="shared" si="128"/>
        <v>0</v>
      </c>
      <c r="BU58" s="993">
        <f t="shared" si="129"/>
        <v>0</v>
      </c>
      <c r="BV58" s="993">
        <f t="shared" si="130"/>
        <v>0</v>
      </c>
      <c r="BW58" s="993">
        <f t="shared" si="131"/>
        <v>0</v>
      </c>
      <c r="BX58" s="993">
        <f t="shared" si="132"/>
        <v>0</v>
      </c>
      <c r="BY58" s="993">
        <f t="shared" si="133"/>
        <v>0</v>
      </c>
      <c r="BZ58" s="993">
        <f t="shared" si="134"/>
        <v>0</v>
      </c>
      <c r="CA58" s="993">
        <f t="shared" si="135"/>
        <v>0</v>
      </c>
      <c r="CB58" s="993">
        <f t="shared" si="136"/>
        <v>0</v>
      </c>
      <c r="CC58" s="993">
        <f t="shared" si="137"/>
        <v>0</v>
      </c>
      <c r="CD58" s="993">
        <f t="shared" si="138"/>
        <v>0</v>
      </c>
      <c r="CE58" s="993">
        <f t="shared" si="139"/>
        <v>0</v>
      </c>
      <c r="CF58" s="993">
        <f t="shared" si="140"/>
        <v>0</v>
      </c>
      <c r="CG58" s="993">
        <f t="shared" si="141"/>
        <v>0</v>
      </c>
      <c r="CH58" s="993">
        <f t="shared" si="142"/>
        <v>0</v>
      </c>
      <c r="CI58" s="993">
        <f t="shared" si="143"/>
        <v>0</v>
      </c>
      <c r="CJ58" s="993">
        <f t="shared" si="144"/>
        <v>0</v>
      </c>
      <c r="CK58" s="993">
        <f t="shared" si="145"/>
        <v>0</v>
      </c>
      <c r="CL58" s="993">
        <f t="shared" si="146"/>
        <v>0</v>
      </c>
      <c r="CM58" s="993">
        <f t="shared" si="147"/>
        <v>0</v>
      </c>
      <c r="CN58" s="993">
        <f t="shared" si="148"/>
        <v>0</v>
      </c>
      <c r="CO58" s="993">
        <f t="shared" si="149"/>
        <v>0</v>
      </c>
      <c r="CP58" s="993">
        <f t="shared" si="150"/>
        <v>0</v>
      </c>
      <c r="CQ58" s="993">
        <f t="shared" si="151"/>
        <v>0</v>
      </c>
      <c r="CR58" s="993">
        <f t="shared" si="152"/>
        <v>0</v>
      </c>
      <c r="CS58" s="993">
        <f t="shared" si="153"/>
        <v>0</v>
      </c>
      <c r="CT58" s="993">
        <f t="shared" si="154"/>
        <v>0</v>
      </c>
      <c r="CU58" s="993">
        <f t="shared" si="155"/>
        <v>0</v>
      </c>
      <c r="CV58" s="993">
        <f t="shared" si="156"/>
        <v>0</v>
      </c>
      <c r="CW58" s="993">
        <f t="shared" si="157"/>
        <v>0</v>
      </c>
      <c r="CX58" s="993">
        <f t="shared" si="158"/>
        <v>0</v>
      </c>
      <c r="CY58" s="993">
        <f t="shared" si="159"/>
        <v>0</v>
      </c>
      <c r="CZ58" s="993">
        <f t="shared" si="160"/>
        <v>0</v>
      </c>
    </row>
    <row r="59" spans="1:104" x14ac:dyDescent="0.35">
      <c r="A59" s="301" t="str">
        <f>Machine!A22</f>
        <v>Harrow</v>
      </c>
      <c r="B59" s="993">
        <f t="shared" si="110"/>
        <v>0</v>
      </c>
      <c r="C59" s="990"/>
      <c r="D59" s="989">
        <v>0</v>
      </c>
      <c r="E59" s="989">
        <v>0</v>
      </c>
      <c r="F59" s="989">
        <v>0</v>
      </c>
      <c r="G59" s="989">
        <v>0</v>
      </c>
      <c r="H59" s="989">
        <v>0</v>
      </c>
      <c r="I59" s="989">
        <v>0</v>
      </c>
      <c r="J59" s="989">
        <v>0</v>
      </c>
      <c r="K59" s="989">
        <v>0</v>
      </c>
      <c r="L59" s="989">
        <v>0</v>
      </c>
      <c r="M59" s="989">
        <v>0</v>
      </c>
      <c r="N59" s="989">
        <v>0</v>
      </c>
      <c r="O59" s="989">
        <v>0</v>
      </c>
      <c r="P59" s="989">
        <v>0</v>
      </c>
      <c r="Q59" s="989">
        <v>0</v>
      </c>
      <c r="R59" s="989">
        <v>0</v>
      </c>
      <c r="S59" s="989">
        <v>0</v>
      </c>
      <c r="T59" s="989">
        <v>0</v>
      </c>
      <c r="U59" s="989">
        <v>0</v>
      </c>
      <c r="V59" s="989">
        <v>0</v>
      </c>
      <c r="W59" s="989">
        <v>0</v>
      </c>
      <c r="X59" s="989">
        <v>0</v>
      </c>
      <c r="Y59" s="989">
        <v>0</v>
      </c>
      <c r="Z59" s="989">
        <v>0</v>
      </c>
      <c r="AA59" s="989">
        <v>0</v>
      </c>
      <c r="AB59" s="989">
        <v>0</v>
      </c>
      <c r="AC59" s="989">
        <v>0</v>
      </c>
      <c r="AD59" s="989">
        <v>0</v>
      </c>
      <c r="AE59" s="989">
        <v>0</v>
      </c>
      <c r="AF59" s="989">
        <v>0</v>
      </c>
      <c r="AG59" s="989">
        <v>0</v>
      </c>
      <c r="AH59" s="989">
        <v>0</v>
      </c>
      <c r="AI59" s="989">
        <v>0</v>
      </c>
      <c r="AJ59" s="989">
        <v>0</v>
      </c>
      <c r="AK59" s="989">
        <v>0</v>
      </c>
      <c r="AL59" s="989">
        <v>0</v>
      </c>
      <c r="AM59" s="989">
        <v>0</v>
      </c>
      <c r="AN59" s="989">
        <v>0</v>
      </c>
      <c r="AO59" s="989">
        <v>0</v>
      </c>
      <c r="AP59" s="989"/>
      <c r="AQ59" s="989">
        <v>0</v>
      </c>
      <c r="AR59" s="989">
        <v>0</v>
      </c>
      <c r="AS59" s="989">
        <v>0</v>
      </c>
      <c r="AT59" s="989">
        <v>0</v>
      </c>
      <c r="AU59" s="989">
        <v>0</v>
      </c>
      <c r="AV59" s="989">
        <v>0</v>
      </c>
      <c r="AW59" s="989"/>
      <c r="AX59" s="989"/>
      <c r="AY59" s="989"/>
      <c r="AZ59" s="989"/>
      <c r="BA59" s="989"/>
      <c r="BB59" s="20"/>
      <c r="BC59" s="993">
        <f t="shared" si="111"/>
        <v>0</v>
      </c>
      <c r="BD59" s="993">
        <f t="shared" si="112"/>
        <v>0</v>
      </c>
      <c r="BE59" s="993">
        <f t="shared" si="113"/>
        <v>0</v>
      </c>
      <c r="BF59" s="993">
        <f t="shared" si="114"/>
        <v>0</v>
      </c>
      <c r="BG59" s="993">
        <f t="shared" si="115"/>
        <v>0</v>
      </c>
      <c r="BH59" s="993">
        <f t="shared" si="116"/>
        <v>0</v>
      </c>
      <c r="BI59" s="993">
        <f t="shared" si="117"/>
        <v>0</v>
      </c>
      <c r="BJ59" s="993">
        <f t="shared" si="118"/>
        <v>0</v>
      </c>
      <c r="BK59" s="993">
        <f t="shared" si="119"/>
        <v>0</v>
      </c>
      <c r="BL59" s="993">
        <f t="shared" si="120"/>
        <v>0</v>
      </c>
      <c r="BM59" s="993">
        <f t="shared" si="121"/>
        <v>0</v>
      </c>
      <c r="BN59" s="993">
        <f t="shared" si="122"/>
        <v>0</v>
      </c>
      <c r="BO59" s="993">
        <f t="shared" si="123"/>
        <v>0</v>
      </c>
      <c r="BP59" s="993">
        <f t="shared" si="124"/>
        <v>0</v>
      </c>
      <c r="BQ59" s="993">
        <f t="shared" si="125"/>
        <v>0</v>
      </c>
      <c r="BR59" s="993">
        <f t="shared" si="126"/>
        <v>0</v>
      </c>
      <c r="BS59" s="993">
        <f t="shared" si="127"/>
        <v>0</v>
      </c>
      <c r="BT59" s="993">
        <f t="shared" si="128"/>
        <v>0</v>
      </c>
      <c r="BU59" s="993">
        <f t="shared" si="129"/>
        <v>0</v>
      </c>
      <c r="BV59" s="993">
        <f t="shared" si="130"/>
        <v>0</v>
      </c>
      <c r="BW59" s="993">
        <f t="shared" si="131"/>
        <v>0</v>
      </c>
      <c r="BX59" s="993">
        <f t="shared" si="132"/>
        <v>0</v>
      </c>
      <c r="BY59" s="993">
        <f t="shared" si="133"/>
        <v>0</v>
      </c>
      <c r="BZ59" s="993">
        <f t="shared" si="134"/>
        <v>0</v>
      </c>
      <c r="CA59" s="993">
        <f t="shared" si="135"/>
        <v>0</v>
      </c>
      <c r="CB59" s="993">
        <f t="shared" si="136"/>
        <v>0</v>
      </c>
      <c r="CC59" s="993">
        <f t="shared" si="137"/>
        <v>0</v>
      </c>
      <c r="CD59" s="993">
        <f t="shared" si="138"/>
        <v>0</v>
      </c>
      <c r="CE59" s="993">
        <f t="shared" si="139"/>
        <v>0</v>
      </c>
      <c r="CF59" s="993">
        <f t="shared" si="140"/>
        <v>0</v>
      </c>
      <c r="CG59" s="993">
        <f t="shared" si="141"/>
        <v>0</v>
      </c>
      <c r="CH59" s="993">
        <f t="shared" si="142"/>
        <v>0</v>
      </c>
      <c r="CI59" s="993">
        <f t="shared" si="143"/>
        <v>0</v>
      </c>
      <c r="CJ59" s="993">
        <f t="shared" si="144"/>
        <v>0</v>
      </c>
      <c r="CK59" s="993">
        <f t="shared" si="145"/>
        <v>0</v>
      </c>
      <c r="CL59" s="993">
        <f t="shared" si="146"/>
        <v>0</v>
      </c>
      <c r="CM59" s="993">
        <f t="shared" si="147"/>
        <v>0</v>
      </c>
      <c r="CN59" s="993">
        <f t="shared" si="148"/>
        <v>0</v>
      </c>
      <c r="CO59" s="993">
        <f t="shared" si="149"/>
        <v>0</v>
      </c>
      <c r="CP59" s="993">
        <f t="shared" si="150"/>
        <v>0</v>
      </c>
      <c r="CQ59" s="993">
        <f t="shared" si="151"/>
        <v>0</v>
      </c>
      <c r="CR59" s="993">
        <f t="shared" si="152"/>
        <v>0</v>
      </c>
      <c r="CS59" s="993">
        <f t="shared" si="153"/>
        <v>0</v>
      </c>
      <c r="CT59" s="993">
        <f t="shared" si="154"/>
        <v>0</v>
      </c>
      <c r="CU59" s="993">
        <f t="shared" si="155"/>
        <v>0</v>
      </c>
      <c r="CV59" s="993">
        <f t="shared" si="156"/>
        <v>0</v>
      </c>
      <c r="CW59" s="993">
        <f t="shared" si="157"/>
        <v>0</v>
      </c>
      <c r="CX59" s="993">
        <f t="shared" si="158"/>
        <v>0</v>
      </c>
      <c r="CY59" s="993">
        <f t="shared" si="159"/>
        <v>0</v>
      </c>
      <c r="CZ59" s="993">
        <f t="shared" si="160"/>
        <v>0</v>
      </c>
    </row>
    <row r="60" spans="1:104" x14ac:dyDescent="0.35">
      <c r="A60" s="301" t="str">
        <f>Machine!A23</f>
        <v>Roller</v>
      </c>
      <c r="B60" s="993">
        <f t="shared" si="110"/>
        <v>0</v>
      </c>
      <c r="C60" s="990"/>
      <c r="D60" s="989">
        <v>0</v>
      </c>
      <c r="E60" s="989">
        <v>0</v>
      </c>
      <c r="F60" s="989">
        <v>0</v>
      </c>
      <c r="G60" s="989">
        <v>0</v>
      </c>
      <c r="H60" s="989">
        <v>0</v>
      </c>
      <c r="I60" s="989">
        <v>0</v>
      </c>
      <c r="J60" s="989">
        <v>0</v>
      </c>
      <c r="K60" s="989">
        <v>0</v>
      </c>
      <c r="L60" s="989">
        <v>0</v>
      </c>
      <c r="M60" s="989">
        <v>0</v>
      </c>
      <c r="N60" s="989">
        <v>0</v>
      </c>
      <c r="O60" s="989">
        <v>0</v>
      </c>
      <c r="P60" s="989">
        <v>0</v>
      </c>
      <c r="Q60" s="989">
        <v>0</v>
      </c>
      <c r="R60" s="989">
        <v>0</v>
      </c>
      <c r="S60" s="989">
        <v>0</v>
      </c>
      <c r="T60" s="989">
        <v>0</v>
      </c>
      <c r="U60" s="989">
        <v>0</v>
      </c>
      <c r="V60" s="989">
        <v>0</v>
      </c>
      <c r="W60" s="989">
        <v>0</v>
      </c>
      <c r="X60" s="989">
        <v>0</v>
      </c>
      <c r="Y60" s="989">
        <v>0</v>
      </c>
      <c r="Z60" s="989">
        <v>0</v>
      </c>
      <c r="AA60" s="989">
        <v>0</v>
      </c>
      <c r="AB60" s="989">
        <v>0</v>
      </c>
      <c r="AC60" s="989">
        <v>0</v>
      </c>
      <c r="AD60" s="989">
        <v>0</v>
      </c>
      <c r="AE60" s="989">
        <v>0</v>
      </c>
      <c r="AF60" s="989">
        <v>0</v>
      </c>
      <c r="AG60" s="989">
        <v>0</v>
      </c>
      <c r="AH60" s="989">
        <v>0</v>
      </c>
      <c r="AI60" s="989">
        <v>0</v>
      </c>
      <c r="AJ60" s="989">
        <v>0</v>
      </c>
      <c r="AK60" s="989">
        <v>0</v>
      </c>
      <c r="AL60" s="989">
        <v>0</v>
      </c>
      <c r="AM60" s="989">
        <v>0</v>
      </c>
      <c r="AN60" s="989">
        <v>0</v>
      </c>
      <c r="AO60" s="989">
        <v>0</v>
      </c>
      <c r="AP60" s="989"/>
      <c r="AQ60" s="989">
        <v>0</v>
      </c>
      <c r="AR60" s="989">
        <v>0</v>
      </c>
      <c r="AS60" s="989">
        <v>0</v>
      </c>
      <c r="AT60" s="989">
        <v>0</v>
      </c>
      <c r="AU60" s="989">
        <v>0</v>
      </c>
      <c r="AV60" s="989">
        <v>0</v>
      </c>
      <c r="AW60" s="989"/>
      <c r="AX60" s="989"/>
      <c r="AY60" s="989"/>
      <c r="AZ60" s="989"/>
      <c r="BA60" s="989"/>
      <c r="BB60" s="20"/>
      <c r="BC60" s="993">
        <f t="shared" si="111"/>
        <v>0</v>
      </c>
      <c r="BD60" s="993">
        <f t="shared" si="112"/>
        <v>0</v>
      </c>
      <c r="BE60" s="993">
        <f t="shared" si="113"/>
        <v>0</v>
      </c>
      <c r="BF60" s="993">
        <f t="shared" si="114"/>
        <v>0</v>
      </c>
      <c r="BG60" s="993">
        <f t="shared" si="115"/>
        <v>0</v>
      </c>
      <c r="BH60" s="993">
        <f t="shared" si="116"/>
        <v>0</v>
      </c>
      <c r="BI60" s="993">
        <f t="shared" si="117"/>
        <v>0</v>
      </c>
      <c r="BJ60" s="993">
        <f t="shared" si="118"/>
        <v>0</v>
      </c>
      <c r="BK60" s="993">
        <f t="shared" si="119"/>
        <v>0</v>
      </c>
      <c r="BL60" s="993">
        <f t="shared" si="120"/>
        <v>0</v>
      </c>
      <c r="BM60" s="993">
        <f t="shared" si="121"/>
        <v>0</v>
      </c>
      <c r="BN60" s="993">
        <f t="shared" si="122"/>
        <v>0</v>
      </c>
      <c r="BO60" s="993">
        <f t="shared" si="123"/>
        <v>0</v>
      </c>
      <c r="BP60" s="993">
        <f t="shared" si="124"/>
        <v>0</v>
      </c>
      <c r="BQ60" s="993">
        <f t="shared" si="125"/>
        <v>0</v>
      </c>
      <c r="BR60" s="993">
        <f t="shared" si="126"/>
        <v>0</v>
      </c>
      <c r="BS60" s="993">
        <f t="shared" si="127"/>
        <v>0</v>
      </c>
      <c r="BT60" s="993">
        <f t="shared" si="128"/>
        <v>0</v>
      </c>
      <c r="BU60" s="993">
        <f t="shared" si="129"/>
        <v>0</v>
      </c>
      <c r="BV60" s="993">
        <f t="shared" si="130"/>
        <v>0</v>
      </c>
      <c r="BW60" s="993">
        <f t="shared" si="131"/>
        <v>0</v>
      </c>
      <c r="BX60" s="993">
        <f t="shared" si="132"/>
        <v>0</v>
      </c>
      <c r="BY60" s="993">
        <f t="shared" si="133"/>
        <v>0</v>
      </c>
      <c r="BZ60" s="993">
        <f t="shared" si="134"/>
        <v>0</v>
      </c>
      <c r="CA60" s="993">
        <f t="shared" si="135"/>
        <v>0</v>
      </c>
      <c r="CB60" s="993">
        <f t="shared" si="136"/>
        <v>0</v>
      </c>
      <c r="CC60" s="993">
        <f t="shared" si="137"/>
        <v>0</v>
      </c>
      <c r="CD60" s="993">
        <f t="shared" si="138"/>
        <v>0</v>
      </c>
      <c r="CE60" s="993">
        <f t="shared" si="139"/>
        <v>0</v>
      </c>
      <c r="CF60" s="993">
        <f t="shared" si="140"/>
        <v>0</v>
      </c>
      <c r="CG60" s="993">
        <f t="shared" si="141"/>
        <v>0</v>
      </c>
      <c r="CH60" s="993">
        <f t="shared" si="142"/>
        <v>0</v>
      </c>
      <c r="CI60" s="993">
        <f t="shared" si="143"/>
        <v>0</v>
      </c>
      <c r="CJ60" s="993">
        <f t="shared" si="144"/>
        <v>0</v>
      </c>
      <c r="CK60" s="993">
        <f t="shared" si="145"/>
        <v>0</v>
      </c>
      <c r="CL60" s="993">
        <f t="shared" si="146"/>
        <v>0</v>
      </c>
      <c r="CM60" s="993">
        <f t="shared" si="147"/>
        <v>0</v>
      </c>
      <c r="CN60" s="993">
        <f t="shared" si="148"/>
        <v>0</v>
      </c>
      <c r="CO60" s="993">
        <f t="shared" si="149"/>
        <v>0</v>
      </c>
      <c r="CP60" s="993">
        <f t="shared" si="150"/>
        <v>0</v>
      </c>
      <c r="CQ60" s="993">
        <f t="shared" si="151"/>
        <v>0</v>
      </c>
      <c r="CR60" s="993">
        <f t="shared" si="152"/>
        <v>0</v>
      </c>
      <c r="CS60" s="993">
        <f t="shared" si="153"/>
        <v>0</v>
      </c>
      <c r="CT60" s="993">
        <f t="shared" si="154"/>
        <v>0</v>
      </c>
      <c r="CU60" s="993">
        <f t="shared" si="155"/>
        <v>0</v>
      </c>
      <c r="CV60" s="993">
        <f t="shared" si="156"/>
        <v>0</v>
      </c>
      <c r="CW60" s="993">
        <f t="shared" si="157"/>
        <v>0</v>
      </c>
      <c r="CX60" s="993">
        <f t="shared" si="158"/>
        <v>0</v>
      </c>
      <c r="CY60" s="993">
        <f t="shared" si="159"/>
        <v>0</v>
      </c>
      <c r="CZ60" s="993">
        <f t="shared" si="160"/>
        <v>0</v>
      </c>
    </row>
    <row r="61" spans="1:104" x14ac:dyDescent="0.35">
      <c r="A61" s="301" t="str">
        <f>Machine!A24</f>
        <v>Bedder-Roller</v>
      </c>
      <c r="B61" s="993">
        <f t="shared" si="110"/>
        <v>0</v>
      </c>
      <c r="C61" s="990"/>
      <c r="D61" s="989">
        <v>0</v>
      </c>
      <c r="E61" s="989">
        <v>0</v>
      </c>
      <c r="F61" s="989">
        <v>0</v>
      </c>
      <c r="G61" s="989">
        <v>0</v>
      </c>
      <c r="H61" s="989">
        <v>0</v>
      </c>
      <c r="I61" s="989">
        <v>0</v>
      </c>
      <c r="J61" s="989">
        <v>0</v>
      </c>
      <c r="K61" s="989">
        <v>0</v>
      </c>
      <c r="L61" s="989">
        <v>0</v>
      </c>
      <c r="M61" s="989">
        <v>0</v>
      </c>
      <c r="N61" s="989">
        <v>0</v>
      </c>
      <c r="O61" s="989">
        <v>0</v>
      </c>
      <c r="P61" s="989">
        <v>0</v>
      </c>
      <c r="Q61" s="989">
        <v>0</v>
      </c>
      <c r="R61" s="989">
        <v>0</v>
      </c>
      <c r="S61" s="989">
        <v>0</v>
      </c>
      <c r="T61" s="989">
        <v>0</v>
      </c>
      <c r="U61" s="989">
        <v>0</v>
      </c>
      <c r="V61" s="989">
        <v>0</v>
      </c>
      <c r="W61" s="989">
        <v>0</v>
      </c>
      <c r="X61" s="989">
        <v>0</v>
      </c>
      <c r="Y61" s="989">
        <v>0</v>
      </c>
      <c r="Z61" s="989">
        <v>0</v>
      </c>
      <c r="AA61" s="989">
        <v>0</v>
      </c>
      <c r="AB61" s="989">
        <v>0</v>
      </c>
      <c r="AC61" s="989">
        <v>0</v>
      </c>
      <c r="AD61" s="989">
        <v>0</v>
      </c>
      <c r="AE61" s="989">
        <v>0</v>
      </c>
      <c r="AF61" s="989">
        <v>0</v>
      </c>
      <c r="AG61" s="989">
        <v>0</v>
      </c>
      <c r="AH61" s="989">
        <v>0</v>
      </c>
      <c r="AI61" s="989">
        <v>0</v>
      </c>
      <c r="AJ61" s="989">
        <v>0</v>
      </c>
      <c r="AK61" s="989">
        <v>0</v>
      </c>
      <c r="AL61" s="989">
        <v>0</v>
      </c>
      <c r="AM61" s="989">
        <v>0</v>
      </c>
      <c r="AN61" s="989">
        <v>0</v>
      </c>
      <c r="AO61" s="989">
        <v>0</v>
      </c>
      <c r="AP61" s="989"/>
      <c r="AQ61" s="989">
        <v>0</v>
      </c>
      <c r="AR61" s="989">
        <v>0</v>
      </c>
      <c r="AS61" s="989">
        <v>0</v>
      </c>
      <c r="AT61" s="989">
        <v>0</v>
      </c>
      <c r="AU61" s="989">
        <v>0</v>
      </c>
      <c r="AV61" s="989">
        <v>0</v>
      </c>
      <c r="AW61" s="989"/>
      <c r="AX61" s="989"/>
      <c r="AY61" s="989"/>
      <c r="AZ61" s="989"/>
      <c r="BA61" s="989"/>
      <c r="BB61" s="20"/>
      <c r="BC61" s="993">
        <f t="shared" si="111"/>
        <v>0</v>
      </c>
      <c r="BD61" s="993">
        <f t="shared" si="112"/>
        <v>0</v>
      </c>
      <c r="BE61" s="993">
        <f t="shared" si="113"/>
        <v>0</v>
      </c>
      <c r="BF61" s="993">
        <f t="shared" si="114"/>
        <v>0</v>
      </c>
      <c r="BG61" s="993">
        <f t="shared" si="115"/>
        <v>0</v>
      </c>
      <c r="BH61" s="993">
        <f t="shared" si="116"/>
        <v>0</v>
      </c>
      <c r="BI61" s="993">
        <f t="shared" si="117"/>
        <v>0</v>
      </c>
      <c r="BJ61" s="993">
        <f t="shared" si="118"/>
        <v>0</v>
      </c>
      <c r="BK61" s="993">
        <f t="shared" si="119"/>
        <v>0</v>
      </c>
      <c r="BL61" s="993">
        <f t="shared" si="120"/>
        <v>0</v>
      </c>
      <c r="BM61" s="993">
        <f t="shared" si="121"/>
        <v>0</v>
      </c>
      <c r="BN61" s="993">
        <f t="shared" si="122"/>
        <v>0</v>
      </c>
      <c r="BO61" s="993">
        <f t="shared" si="123"/>
        <v>0</v>
      </c>
      <c r="BP61" s="993">
        <f t="shared" si="124"/>
        <v>0</v>
      </c>
      <c r="BQ61" s="993">
        <f t="shared" si="125"/>
        <v>0</v>
      </c>
      <c r="BR61" s="993">
        <f t="shared" si="126"/>
        <v>0</v>
      </c>
      <c r="BS61" s="993">
        <f t="shared" si="127"/>
        <v>0</v>
      </c>
      <c r="BT61" s="993">
        <f t="shared" si="128"/>
        <v>0</v>
      </c>
      <c r="BU61" s="993">
        <f t="shared" si="129"/>
        <v>0</v>
      </c>
      <c r="BV61" s="993">
        <f t="shared" si="130"/>
        <v>0</v>
      </c>
      <c r="BW61" s="993">
        <f t="shared" si="131"/>
        <v>0</v>
      </c>
      <c r="BX61" s="993">
        <f t="shared" si="132"/>
        <v>0</v>
      </c>
      <c r="BY61" s="993">
        <f t="shared" si="133"/>
        <v>0</v>
      </c>
      <c r="BZ61" s="993">
        <f t="shared" si="134"/>
        <v>0</v>
      </c>
      <c r="CA61" s="993">
        <f t="shared" si="135"/>
        <v>0</v>
      </c>
      <c r="CB61" s="993">
        <f t="shared" si="136"/>
        <v>0</v>
      </c>
      <c r="CC61" s="993">
        <f t="shared" si="137"/>
        <v>0</v>
      </c>
      <c r="CD61" s="993">
        <f t="shared" si="138"/>
        <v>0</v>
      </c>
      <c r="CE61" s="993">
        <f t="shared" si="139"/>
        <v>0</v>
      </c>
      <c r="CF61" s="993">
        <f t="shared" si="140"/>
        <v>0</v>
      </c>
      <c r="CG61" s="993">
        <f t="shared" si="141"/>
        <v>0</v>
      </c>
      <c r="CH61" s="993">
        <f t="shared" si="142"/>
        <v>0</v>
      </c>
      <c r="CI61" s="993">
        <f t="shared" si="143"/>
        <v>0</v>
      </c>
      <c r="CJ61" s="993">
        <f t="shared" si="144"/>
        <v>0</v>
      </c>
      <c r="CK61" s="993">
        <f t="shared" si="145"/>
        <v>0</v>
      </c>
      <c r="CL61" s="993">
        <f t="shared" si="146"/>
        <v>0</v>
      </c>
      <c r="CM61" s="993">
        <f t="shared" si="147"/>
        <v>0</v>
      </c>
      <c r="CN61" s="993">
        <f t="shared" si="148"/>
        <v>0</v>
      </c>
      <c r="CO61" s="993">
        <f t="shared" si="149"/>
        <v>0</v>
      </c>
      <c r="CP61" s="993">
        <f t="shared" si="150"/>
        <v>0</v>
      </c>
      <c r="CQ61" s="993">
        <f t="shared" si="151"/>
        <v>0</v>
      </c>
      <c r="CR61" s="993">
        <f t="shared" si="152"/>
        <v>0</v>
      </c>
      <c r="CS61" s="993">
        <f t="shared" si="153"/>
        <v>0</v>
      </c>
      <c r="CT61" s="993">
        <f t="shared" si="154"/>
        <v>0</v>
      </c>
      <c r="CU61" s="993">
        <f t="shared" si="155"/>
        <v>0</v>
      </c>
      <c r="CV61" s="993">
        <f t="shared" si="156"/>
        <v>0</v>
      </c>
      <c r="CW61" s="993">
        <f t="shared" si="157"/>
        <v>0</v>
      </c>
      <c r="CX61" s="993">
        <f t="shared" si="158"/>
        <v>0</v>
      </c>
      <c r="CY61" s="993">
        <f t="shared" si="159"/>
        <v>0</v>
      </c>
      <c r="CZ61" s="993">
        <f t="shared" si="160"/>
        <v>0</v>
      </c>
    </row>
    <row r="62" spans="1:104" x14ac:dyDescent="0.35">
      <c r="A62" s="301" t="str">
        <f>Machine!A25</f>
        <v>Ditcher</v>
      </c>
      <c r="B62" s="993">
        <f t="shared" si="110"/>
        <v>0</v>
      </c>
      <c r="C62" s="990"/>
      <c r="D62" s="989">
        <v>0</v>
      </c>
      <c r="E62" s="989">
        <v>0</v>
      </c>
      <c r="F62" s="989">
        <v>0</v>
      </c>
      <c r="G62" s="989">
        <v>0</v>
      </c>
      <c r="H62" s="989">
        <v>0</v>
      </c>
      <c r="I62" s="989">
        <v>0</v>
      </c>
      <c r="J62" s="989">
        <v>0</v>
      </c>
      <c r="K62" s="989">
        <v>0</v>
      </c>
      <c r="L62" s="989">
        <v>0</v>
      </c>
      <c r="M62" s="989">
        <v>0</v>
      </c>
      <c r="N62" s="989">
        <v>0</v>
      </c>
      <c r="O62" s="989">
        <v>0</v>
      </c>
      <c r="P62" s="989">
        <v>0</v>
      </c>
      <c r="Q62" s="989">
        <v>1</v>
      </c>
      <c r="R62" s="989">
        <v>1</v>
      </c>
      <c r="S62" s="989">
        <v>1</v>
      </c>
      <c r="T62" s="989">
        <v>1</v>
      </c>
      <c r="U62" s="989">
        <v>1</v>
      </c>
      <c r="V62" s="989">
        <v>0</v>
      </c>
      <c r="W62" s="989">
        <v>0</v>
      </c>
      <c r="X62" s="989">
        <v>0</v>
      </c>
      <c r="Y62" s="989">
        <v>1</v>
      </c>
      <c r="Z62" s="989">
        <v>0</v>
      </c>
      <c r="AA62" s="989">
        <v>0</v>
      </c>
      <c r="AB62" s="989">
        <v>0</v>
      </c>
      <c r="AC62" s="989">
        <v>1</v>
      </c>
      <c r="AD62" s="989">
        <v>0</v>
      </c>
      <c r="AE62" s="989">
        <v>1</v>
      </c>
      <c r="AF62" s="989">
        <v>0</v>
      </c>
      <c r="AG62" s="989">
        <v>0</v>
      </c>
      <c r="AH62" s="989">
        <v>0</v>
      </c>
      <c r="AI62" s="989">
        <v>0</v>
      </c>
      <c r="AJ62" s="989">
        <v>0</v>
      </c>
      <c r="AK62" s="989">
        <v>0</v>
      </c>
      <c r="AL62" s="989">
        <v>0</v>
      </c>
      <c r="AM62" s="989">
        <v>0</v>
      </c>
      <c r="AN62" s="989">
        <v>1</v>
      </c>
      <c r="AO62" s="989">
        <v>0</v>
      </c>
      <c r="AP62" s="989"/>
      <c r="AQ62" s="989">
        <v>0</v>
      </c>
      <c r="AR62" s="989">
        <v>0</v>
      </c>
      <c r="AS62" s="989">
        <v>0</v>
      </c>
      <c r="AT62" s="989">
        <v>0</v>
      </c>
      <c r="AU62" s="989">
        <v>1</v>
      </c>
      <c r="AV62" s="989">
        <v>1</v>
      </c>
      <c r="AW62" s="989"/>
      <c r="AX62" s="989"/>
      <c r="AY62" s="989"/>
      <c r="AZ62" s="989"/>
      <c r="BA62" s="989"/>
      <c r="BB62" s="20"/>
      <c r="BC62" s="993">
        <f t="shared" si="111"/>
        <v>0</v>
      </c>
      <c r="BD62" s="993">
        <f t="shared" si="112"/>
        <v>0</v>
      </c>
      <c r="BE62" s="993">
        <f t="shared" si="113"/>
        <v>0</v>
      </c>
      <c r="BF62" s="993">
        <f t="shared" si="114"/>
        <v>0</v>
      </c>
      <c r="BG62" s="993">
        <f t="shared" si="115"/>
        <v>0</v>
      </c>
      <c r="BH62" s="993">
        <f t="shared" si="116"/>
        <v>0</v>
      </c>
      <c r="BI62" s="993">
        <f t="shared" si="117"/>
        <v>0</v>
      </c>
      <c r="BJ62" s="993">
        <f t="shared" si="118"/>
        <v>0</v>
      </c>
      <c r="BK62" s="993">
        <f t="shared" si="119"/>
        <v>0</v>
      </c>
      <c r="BL62" s="993">
        <f t="shared" si="120"/>
        <v>0</v>
      </c>
      <c r="BM62" s="993">
        <f t="shared" si="121"/>
        <v>0</v>
      </c>
      <c r="BN62" s="993">
        <f t="shared" si="122"/>
        <v>0</v>
      </c>
      <c r="BO62" s="993">
        <f t="shared" si="123"/>
        <v>0</v>
      </c>
      <c r="BP62" s="993">
        <f t="shared" si="124"/>
        <v>0</v>
      </c>
      <c r="BQ62" s="993">
        <f t="shared" si="125"/>
        <v>0</v>
      </c>
      <c r="BR62" s="993">
        <f t="shared" si="126"/>
        <v>0</v>
      </c>
      <c r="BS62" s="993">
        <f t="shared" si="127"/>
        <v>0</v>
      </c>
      <c r="BT62" s="993">
        <f t="shared" si="128"/>
        <v>0</v>
      </c>
      <c r="BU62" s="993">
        <f t="shared" si="129"/>
        <v>0</v>
      </c>
      <c r="BV62" s="993">
        <f t="shared" si="130"/>
        <v>0</v>
      </c>
      <c r="BW62" s="993">
        <f t="shared" si="131"/>
        <v>0</v>
      </c>
      <c r="BX62" s="993">
        <f t="shared" si="132"/>
        <v>0</v>
      </c>
      <c r="BY62" s="993">
        <f t="shared" si="133"/>
        <v>0</v>
      </c>
      <c r="BZ62" s="993">
        <f t="shared" si="134"/>
        <v>0</v>
      </c>
      <c r="CA62" s="993">
        <f t="shared" si="135"/>
        <v>0</v>
      </c>
      <c r="CB62" s="993">
        <f t="shared" si="136"/>
        <v>0</v>
      </c>
      <c r="CC62" s="993">
        <f t="shared" si="137"/>
        <v>0</v>
      </c>
      <c r="CD62" s="993">
        <f t="shared" si="138"/>
        <v>0</v>
      </c>
      <c r="CE62" s="993">
        <f t="shared" si="139"/>
        <v>0</v>
      </c>
      <c r="CF62" s="993">
        <f t="shared" si="140"/>
        <v>0</v>
      </c>
      <c r="CG62" s="993">
        <f t="shared" si="141"/>
        <v>0</v>
      </c>
      <c r="CH62" s="993">
        <f t="shared" si="142"/>
        <v>0</v>
      </c>
      <c r="CI62" s="993">
        <f t="shared" si="143"/>
        <v>0</v>
      </c>
      <c r="CJ62" s="993">
        <f t="shared" si="144"/>
        <v>0</v>
      </c>
      <c r="CK62" s="993">
        <f t="shared" si="145"/>
        <v>0</v>
      </c>
      <c r="CL62" s="993">
        <f t="shared" si="146"/>
        <v>0</v>
      </c>
      <c r="CM62" s="993">
        <f t="shared" si="147"/>
        <v>0</v>
      </c>
      <c r="CN62" s="993">
        <f t="shared" si="148"/>
        <v>0</v>
      </c>
      <c r="CO62" s="993">
        <f t="shared" si="149"/>
        <v>0</v>
      </c>
      <c r="CP62" s="993">
        <f t="shared" si="150"/>
        <v>0</v>
      </c>
      <c r="CQ62" s="993">
        <f t="shared" si="151"/>
        <v>0</v>
      </c>
      <c r="CR62" s="993">
        <f t="shared" si="152"/>
        <v>0</v>
      </c>
      <c r="CS62" s="993">
        <f t="shared" si="153"/>
        <v>0</v>
      </c>
      <c r="CT62" s="993">
        <f t="shared" si="154"/>
        <v>0</v>
      </c>
      <c r="CU62" s="993">
        <f t="shared" si="155"/>
        <v>0</v>
      </c>
      <c r="CV62" s="993">
        <f t="shared" si="156"/>
        <v>0</v>
      </c>
      <c r="CW62" s="993">
        <f t="shared" si="157"/>
        <v>0</v>
      </c>
      <c r="CX62" s="993">
        <f t="shared" si="158"/>
        <v>0</v>
      </c>
      <c r="CY62" s="993">
        <f t="shared" si="159"/>
        <v>0</v>
      </c>
      <c r="CZ62" s="993">
        <f t="shared" si="160"/>
        <v>0</v>
      </c>
    </row>
    <row r="63" spans="1:104" x14ac:dyDescent="0.35">
      <c r="A63" s="301" t="str">
        <f>Machine!A26</f>
        <v>Turbo Tiller</v>
      </c>
      <c r="B63" s="993">
        <f t="shared" si="110"/>
        <v>0</v>
      </c>
      <c r="C63" s="990"/>
      <c r="D63" s="989">
        <v>0</v>
      </c>
      <c r="E63" s="989">
        <v>0</v>
      </c>
      <c r="F63" s="989">
        <v>0</v>
      </c>
      <c r="G63" s="989">
        <v>0</v>
      </c>
      <c r="H63" s="989">
        <v>0</v>
      </c>
      <c r="I63" s="989">
        <v>0</v>
      </c>
      <c r="J63" s="989">
        <v>0</v>
      </c>
      <c r="K63" s="989">
        <v>0</v>
      </c>
      <c r="L63" s="989">
        <v>0</v>
      </c>
      <c r="M63" s="989">
        <v>0</v>
      </c>
      <c r="N63" s="989">
        <v>0</v>
      </c>
      <c r="O63" s="989">
        <v>0</v>
      </c>
      <c r="P63" s="989">
        <v>0</v>
      </c>
      <c r="Q63" s="989">
        <v>0</v>
      </c>
      <c r="R63" s="989">
        <v>0</v>
      </c>
      <c r="S63" s="989">
        <v>0</v>
      </c>
      <c r="T63" s="989">
        <v>0</v>
      </c>
      <c r="U63" s="989">
        <v>0</v>
      </c>
      <c r="V63" s="989">
        <v>0</v>
      </c>
      <c r="W63" s="989">
        <v>0</v>
      </c>
      <c r="X63" s="989">
        <v>0</v>
      </c>
      <c r="Y63" s="989">
        <v>0</v>
      </c>
      <c r="Z63" s="989">
        <v>0</v>
      </c>
      <c r="AA63" s="989">
        <v>0</v>
      </c>
      <c r="AB63" s="989">
        <v>0</v>
      </c>
      <c r="AC63" s="989">
        <v>0</v>
      </c>
      <c r="AD63" s="989">
        <v>0</v>
      </c>
      <c r="AE63" s="989">
        <v>0</v>
      </c>
      <c r="AF63" s="989">
        <v>0</v>
      </c>
      <c r="AG63" s="989">
        <v>0</v>
      </c>
      <c r="AH63" s="989">
        <v>0</v>
      </c>
      <c r="AI63" s="989">
        <v>0</v>
      </c>
      <c r="AJ63" s="989">
        <v>0</v>
      </c>
      <c r="AK63" s="989">
        <v>0</v>
      </c>
      <c r="AL63" s="989">
        <v>0</v>
      </c>
      <c r="AM63" s="989">
        <v>0</v>
      </c>
      <c r="AN63" s="989">
        <v>0</v>
      </c>
      <c r="AO63" s="989">
        <v>0</v>
      </c>
      <c r="AP63" s="989"/>
      <c r="AQ63" s="989">
        <v>0</v>
      </c>
      <c r="AR63" s="989">
        <v>0</v>
      </c>
      <c r="AS63" s="989">
        <v>0</v>
      </c>
      <c r="AT63" s="989">
        <v>0</v>
      </c>
      <c r="AU63" s="989">
        <v>0</v>
      </c>
      <c r="AV63" s="989">
        <v>0</v>
      </c>
      <c r="AW63" s="989"/>
      <c r="AX63" s="989"/>
      <c r="AY63" s="989"/>
      <c r="AZ63" s="989"/>
      <c r="BA63" s="989"/>
      <c r="BB63" s="20"/>
      <c r="BC63" s="993">
        <f t="shared" si="111"/>
        <v>0</v>
      </c>
      <c r="BD63" s="993">
        <f t="shared" si="112"/>
        <v>0</v>
      </c>
      <c r="BE63" s="993">
        <f t="shared" si="113"/>
        <v>0</v>
      </c>
      <c r="BF63" s="993">
        <f t="shared" si="114"/>
        <v>0</v>
      </c>
      <c r="BG63" s="993">
        <f t="shared" si="115"/>
        <v>0</v>
      </c>
      <c r="BH63" s="993">
        <f t="shared" si="116"/>
        <v>0</v>
      </c>
      <c r="BI63" s="993">
        <f t="shared" si="117"/>
        <v>0</v>
      </c>
      <c r="BJ63" s="993">
        <f t="shared" si="118"/>
        <v>0</v>
      </c>
      <c r="BK63" s="993">
        <f t="shared" si="119"/>
        <v>0</v>
      </c>
      <c r="BL63" s="993">
        <f t="shared" si="120"/>
        <v>0</v>
      </c>
      <c r="BM63" s="993">
        <f t="shared" si="121"/>
        <v>0</v>
      </c>
      <c r="BN63" s="993">
        <f t="shared" si="122"/>
        <v>0</v>
      </c>
      <c r="BO63" s="993">
        <f t="shared" si="123"/>
        <v>0</v>
      </c>
      <c r="BP63" s="993">
        <f t="shared" si="124"/>
        <v>0</v>
      </c>
      <c r="BQ63" s="993">
        <f t="shared" si="125"/>
        <v>0</v>
      </c>
      <c r="BR63" s="993">
        <f t="shared" si="126"/>
        <v>0</v>
      </c>
      <c r="BS63" s="993">
        <f t="shared" si="127"/>
        <v>0</v>
      </c>
      <c r="BT63" s="993">
        <f t="shared" si="128"/>
        <v>0</v>
      </c>
      <c r="BU63" s="993">
        <f t="shared" si="129"/>
        <v>0</v>
      </c>
      <c r="BV63" s="993">
        <f t="shared" si="130"/>
        <v>0</v>
      </c>
      <c r="BW63" s="993">
        <f t="shared" si="131"/>
        <v>0</v>
      </c>
      <c r="BX63" s="993">
        <f t="shared" si="132"/>
        <v>0</v>
      </c>
      <c r="BY63" s="993">
        <f t="shared" si="133"/>
        <v>0</v>
      </c>
      <c r="BZ63" s="993">
        <f t="shared" si="134"/>
        <v>0</v>
      </c>
      <c r="CA63" s="993">
        <f t="shared" si="135"/>
        <v>0</v>
      </c>
      <c r="CB63" s="993">
        <f t="shared" si="136"/>
        <v>0</v>
      </c>
      <c r="CC63" s="993">
        <f t="shared" si="137"/>
        <v>0</v>
      </c>
      <c r="CD63" s="993">
        <f t="shared" si="138"/>
        <v>0</v>
      </c>
      <c r="CE63" s="993">
        <f t="shared" si="139"/>
        <v>0</v>
      </c>
      <c r="CF63" s="993">
        <f t="shared" si="140"/>
        <v>0</v>
      </c>
      <c r="CG63" s="993">
        <f t="shared" si="141"/>
        <v>0</v>
      </c>
      <c r="CH63" s="993">
        <f t="shared" si="142"/>
        <v>0</v>
      </c>
      <c r="CI63" s="993">
        <f t="shared" si="143"/>
        <v>0</v>
      </c>
      <c r="CJ63" s="993">
        <f t="shared" si="144"/>
        <v>0</v>
      </c>
      <c r="CK63" s="993">
        <f t="shared" si="145"/>
        <v>0</v>
      </c>
      <c r="CL63" s="993">
        <f t="shared" si="146"/>
        <v>0</v>
      </c>
      <c r="CM63" s="993">
        <f t="shared" si="147"/>
        <v>0</v>
      </c>
      <c r="CN63" s="993">
        <f t="shared" si="148"/>
        <v>0</v>
      </c>
      <c r="CO63" s="993">
        <f t="shared" si="149"/>
        <v>0</v>
      </c>
      <c r="CP63" s="993">
        <f t="shared" si="150"/>
        <v>0</v>
      </c>
      <c r="CQ63" s="993">
        <f t="shared" si="151"/>
        <v>0</v>
      </c>
      <c r="CR63" s="993">
        <f t="shared" si="152"/>
        <v>0</v>
      </c>
      <c r="CS63" s="993">
        <f t="shared" si="153"/>
        <v>0</v>
      </c>
      <c r="CT63" s="993">
        <f t="shared" si="154"/>
        <v>0</v>
      </c>
      <c r="CU63" s="993">
        <f t="shared" si="155"/>
        <v>0</v>
      </c>
      <c r="CV63" s="993">
        <f t="shared" si="156"/>
        <v>0</v>
      </c>
      <c r="CW63" s="993">
        <f t="shared" si="157"/>
        <v>0</v>
      </c>
      <c r="CX63" s="993">
        <f t="shared" si="158"/>
        <v>0</v>
      </c>
      <c r="CY63" s="993">
        <f t="shared" si="159"/>
        <v>0</v>
      </c>
      <c r="CZ63" s="993">
        <f t="shared" si="160"/>
        <v>0</v>
      </c>
    </row>
    <row r="64" spans="1:104" x14ac:dyDescent="0.35">
      <c r="A64" s="301" t="str">
        <f>Machine!A27</f>
        <v>Rotary Harrow (ex. Phillips)</v>
      </c>
      <c r="B64" s="993">
        <f t="shared" si="110"/>
        <v>0</v>
      </c>
      <c r="C64" s="990"/>
      <c r="D64" s="989">
        <v>0</v>
      </c>
      <c r="E64" s="989">
        <v>0</v>
      </c>
      <c r="F64" s="989">
        <v>0</v>
      </c>
      <c r="G64" s="989">
        <v>0</v>
      </c>
      <c r="H64" s="989">
        <v>0</v>
      </c>
      <c r="I64" s="989">
        <v>0</v>
      </c>
      <c r="J64" s="989">
        <v>0</v>
      </c>
      <c r="K64" s="989">
        <v>0</v>
      </c>
      <c r="L64" s="989">
        <v>0</v>
      </c>
      <c r="M64" s="989">
        <v>0</v>
      </c>
      <c r="N64" s="989">
        <v>0</v>
      </c>
      <c r="O64" s="989">
        <v>0</v>
      </c>
      <c r="P64" s="989">
        <v>0</v>
      </c>
      <c r="Q64" s="989">
        <v>1</v>
      </c>
      <c r="R64" s="989">
        <v>1</v>
      </c>
      <c r="S64" s="989">
        <v>1</v>
      </c>
      <c r="T64" s="989">
        <v>1</v>
      </c>
      <c r="U64" s="989">
        <v>0</v>
      </c>
      <c r="V64" s="989">
        <v>0</v>
      </c>
      <c r="W64" s="989">
        <v>0</v>
      </c>
      <c r="X64" s="989">
        <v>0</v>
      </c>
      <c r="Y64" s="989">
        <v>0</v>
      </c>
      <c r="Z64" s="989">
        <v>0</v>
      </c>
      <c r="AA64" s="989">
        <v>0</v>
      </c>
      <c r="AB64" s="989">
        <v>0</v>
      </c>
      <c r="AC64" s="989">
        <v>0</v>
      </c>
      <c r="AD64" s="989">
        <v>0</v>
      </c>
      <c r="AE64" s="989">
        <v>0</v>
      </c>
      <c r="AF64" s="989">
        <v>0</v>
      </c>
      <c r="AG64" s="989">
        <v>0</v>
      </c>
      <c r="AH64" s="989">
        <v>0</v>
      </c>
      <c r="AI64" s="989">
        <v>0</v>
      </c>
      <c r="AJ64" s="989">
        <v>0</v>
      </c>
      <c r="AK64" s="989">
        <v>0</v>
      </c>
      <c r="AL64" s="989">
        <v>0</v>
      </c>
      <c r="AM64" s="989">
        <v>0</v>
      </c>
      <c r="AN64" s="989">
        <v>0</v>
      </c>
      <c r="AO64" s="989">
        <v>0</v>
      </c>
      <c r="AP64" s="989"/>
      <c r="AQ64" s="989">
        <v>0</v>
      </c>
      <c r="AR64" s="989">
        <v>0</v>
      </c>
      <c r="AS64" s="989">
        <v>0</v>
      </c>
      <c r="AT64" s="989">
        <v>0</v>
      </c>
      <c r="AU64" s="989">
        <v>1</v>
      </c>
      <c r="AV64" s="989">
        <v>1</v>
      </c>
      <c r="AW64" s="989"/>
      <c r="AX64" s="989"/>
      <c r="AY64" s="989"/>
      <c r="AZ64" s="989"/>
      <c r="BA64" s="989"/>
      <c r="BB64" s="20"/>
      <c r="BC64" s="993">
        <f t="shared" si="111"/>
        <v>0</v>
      </c>
      <c r="BD64" s="993">
        <f t="shared" si="112"/>
        <v>0</v>
      </c>
      <c r="BE64" s="993">
        <f t="shared" si="113"/>
        <v>0</v>
      </c>
      <c r="BF64" s="993">
        <f t="shared" si="114"/>
        <v>0</v>
      </c>
      <c r="BG64" s="993">
        <f t="shared" si="115"/>
        <v>0</v>
      </c>
      <c r="BH64" s="993">
        <f t="shared" si="116"/>
        <v>0</v>
      </c>
      <c r="BI64" s="993">
        <f t="shared" si="117"/>
        <v>0</v>
      </c>
      <c r="BJ64" s="993">
        <f t="shared" si="118"/>
        <v>0</v>
      </c>
      <c r="BK64" s="993">
        <f t="shared" si="119"/>
        <v>0</v>
      </c>
      <c r="BL64" s="993">
        <f t="shared" si="120"/>
        <v>0</v>
      </c>
      <c r="BM64" s="993">
        <f t="shared" si="121"/>
        <v>0</v>
      </c>
      <c r="BN64" s="993">
        <f t="shared" si="122"/>
        <v>0</v>
      </c>
      <c r="BO64" s="993">
        <f t="shared" si="123"/>
        <v>0</v>
      </c>
      <c r="BP64" s="993">
        <f t="shared" si="124"/>
        <v>0</v>
      </c>
      <c r="BQ64" s="993">
        <f t="shared" si="125"/>
        <v>0</v>
      </c>
      <c r="BR64" s="993">
        <f t="shared" si="126"/>
        <v>0</v>
      </c>
      <c r="BS64" s="993">
        <f t="shared" si="127"/>
        <v>0</v>
      </c>
      <c r="BT64" s="993">
        <f t="shared" si="128"/>
        <v>0</v>
      </c>
      <c r="BU64" s="993">
        <f t="shared" si="129"/>
        <v>0</v>
      </c>
      <c r="BV64" s="993">
        <f t="shared" si="130"/>
        <v>0</v>
      </c>
      <c r="BW64" s="993">
        <f t="shared" si="131"/>
        <v>0</v>
      </c>
      <c r="BX64" s="993">
        <f t="shared" si="132"/>
        <v>0</v>
      </c>
      <c r="BY64" s="993">
        <f t="shared" si="133"/>
        <v>0</v>
      </c>
      <c r="BZ64" s="993">
        <f t="shared" si="134"/>
        <v>0</v>
      </c>
      <c r="CA64" s="993">
        <f t="shared" si="135"/>
        <v>0</v>
      </c>
      <c r="CB64" s="993">
        <f t="shared" si="136"/>
        <v>0</v>
      </c>
      <c r="CC64" s="993">
        <f t="shared" si="137"/>
        <v>0</v>
      </c>
      <c r="CD64" s="993">
        <f t="shared" si="138"/>
        <v>0</v>
      </c>
      <c r="CE64" s="993">
        <f t="shared" si="139"/>
        <v>0</v>
      </c>
      <c r="CF64" s="993">
        <f t="shared" si="140"/>
        <v>0</v>
      </c>
      <c r="CG64" s="993">
        <f t="shared" si="141"/>
        <v>0</v>
      </c>
      <c r="CH64" s="993">
        <f t="shared" si="142"/>
        <v>0</v>
      </c>
      <c r="CI64" s="993">
        <f t="shared" si="143"/>
        <v>0</v>
      </c>
      <c r="CJ64" s="993">
        <f t="shared" si="144"/>
        <v>0</v>
      </c>
      <c r="CK64" s="993">
        <f t="shared" si="145"/>
        <v>0</v>
      </c>
      <c r="CL64" s="993">
        <f t="shared" si="146"/>
        <v>0</v>
      </c>
      <c r="CM64" s="993">
        <f t="shared" si="147"/>
        <v>0</v>
      </c>
      <c r="CN64" s="993">
        <f t="shared" si="148"/>
        <v>0</v>
      </c>
      <c r="CO64" s="993">
        <f t="shared" si="149"/>
        <v>0</v>
      </c>
      <c r="CP64" s="993">
        <f t="shared" si="150"/>
        <v>0</v>
      </c>
      <c r="CQ64" s="993">
        <f t="shared" si="151"/>
        <v>0</v>
      </c>
      <c r="CR64" s="993">
        <f t="shared" si="152"/>
        <v>0</v>
      </c>
      <c r="CS64" s="993">
        <f t="shared" si="153"/>
        <v>0</v>
      </c>
      <c r="CT64" s="993">
        <f t="shared" si="154"/>
        <v>0</v>
      </c>
      <c r="CU64" s="993">
        <f t="shared" si="155"/>
        <v>0</v>
      </c>
      <c r="CV64" s="993">
        <f t="shared" si="156"/>
        <v>0</v>
      </c>
      <c r="CW64" s="993">
        <f t="shared" si="157"/>
        <v>0</v>
      </c>
      <c r="CX64" s="993">
        <f t="shared" si="158"/>
        <v>0</v>
      </c>
      <c r="CY64" s="993">
        <f t="shared" si="159"/>
        <v>0</v>
      </c>
      <c r="CZ64" s="993">
        <f t="shared" si="160"/>
        <v>0</v>
      </c>
    </row>
    <row r="65" spans="1:104" x14ac:dyDescent="0.35">
      <c r="A65" s="301" t="str">
        <f>Machine!A28</f>
        <v>Field Cultivator</v>
      </c>
      <c r="B65" s="993">
        <f t="shared" si="110"/>
        <v>0</v>
      </c>
      <c r="C65" s="990"/>
      <c r="D65" s="989">
        <v>1</v>
      </c>
      <c r="E65" s="989">
        <v>1</v>
      </c>
      <c r="F65" s="989">
        <v>1</v>
      </c>
      <c r="G65" s="989">
        <v>0</v>
      </c>
      <c r="H65" s="989">
        <v>0</v>
      </c>
      <c r="I65" s="989">
        <v>0</v>
      </c>
      <c r="J65" s="989">
        <v>0</v>
      </c>
      <c r="K65" s="989">
        <v>0</v>
      </c>
      <c r="L65" s="989">
        <v>0</v>
      </c>
      <c r="M65" s="989">
        <v>0</v>
      </c>
      <c r="N65" s="989">
        <v>0</v>
      </c>
      <c r="O65" s="989">
        <v>0</v>
      </c>
      <c r="P65" s="989">
        <v>0</v>
      </c>
      <c r="Q65" s="989">
        <v>1</v>
      </c>
      <c r="R65" s="989">
        <v>1</v>
      </c>
      <c r="S65" s="989">
        <v>1</v>
      </c>
      <c r="T65" s="989">
        <v>1</v>
      </c>
      <c r="U65" s="989">
        <v>0</v>
      </c>
      <c r="V65" s="989">
        <v>0</v>
      </c>
      <c r="W65" s="989">
        <v>0</v>
      </c>
      <c r="X65" s="989">
        <v>0</v>
      </c>
      <c r="Y65" s="989">
        <v>2</v>
      </c>
      <c r="Z65" s="989">
        <v>0</v>
      </c>
      <c r="AA65" s="989">
        <v>0</v>
      </c>
      <c r="AB65" s="989">
        <v>0</v>
      </c>
      <c r="AC65" s="989">
        <v>2</v>
      </c>
      <c r="AD65" s="989">
        <v>0</v>
      </c>
      <c r="AE65" s="989">
        <v>1</v>
      </c>
      <c r="AF65" s="989">
        <v>1</v>
      </c>
      <c r="AG65" s="989">
        <v>1</v>
      </c>
      <c r="AH65" s="989">
        <v>1</v>
      </c>
      <c r="AI65" s="989">
        <v>1</v>
      </c>
      <c r="AJ65" s="989">
        <v>1</v>
      </c>
      <c r="AK65" s="989">
        <v>0</v>
      </c>
      <c r="AL65" s="989">
        <v>0</v>
      </c>
      <c r="AM65" s="989">
        <v>0</v>
      </c>
      <c r="AN65" s="989">
        <v>2</v>
      </c>
      <c r="AO65" s="989">
        <v>0</v>
      </c>
      <c r="AP65" s="989"/>
      <c r="AQ65" s="989">
        <v>1</v>
      </c>
      <c r="AR65" s="989">
        <v>1</v>
      </c>
      <c r="AS65" s="989">
        <v>1</v>
      </c>
      <c r="AT65" s="989">
        <v>1</v>
      </c>
      <c r="AU65" s="989">
        <v>1</v>
      </c>
      <c r="AV65" s="989">
        <v>1</v>
      </c>
      <c r="AW65" s="989"/>
      <c r="AX65" s="989"/>
      <c r="AY65" s="989"/>
      <c r="AZ65" s="989"/>
      <c r="BA65" s="989"/>
      <c r="BB65" s="20"/>
      <c r="BC65" s="993">
        <f t="shared" si="111"/>
        <v>0</v>
      </c>
      <c r="BD65" s="993">
        <f t="shared" si="112"/>
        <v>0</v>
      </c>
      <c r="BE65" s="993">
        <f t="shared" si="113"/>
        <v>0</v>
      </c>
      <c r="BF65" s="993">
        <f t="shared" si="114"/>
        <v>0</v>
      </c>
      <c r="BG65" s="993">
        <f t="shared" si="115"/>
        <v>0</v>
      </c>
      <c r="BH65" s="993">
        <f t="shared" si="116"/>
        <v>0</v>
      </c>
      <c r="BI65" s="993">
        <f t="shared" si="117"/>
        <v>0</v>
      </c>
      <c r="BJ65" s="993">
        <f t="shared" si="118"/>
        <v>0</v>
      </c>
      <c r="BK65" s="993">
        <f t="shared" si="119"/>
        <v>0</v>
      </c>
      <c r="BL65" s="993">
        <f t="shared" si="120"/>
        <v>0</v>
      </c>
      <c r="BM65" s="993">
        <f t="shared" si="121"/>
        <v>0</v>
      </c>
      <c r="BN65" s="993">
        <f t="shared" si="122"/>
        <v>0</v>
      </c>
      <c r="BO65" s="993">
        <f t="shared" si="123"/>
        <v>0</v>
      </c>
      <c r="BP65" s="993">
        <f t="shared" si="124"/>
        <v>0</v>
      </c>
      <c r="BQ65" s="993">
        <f t="shared" si="125"/>
        <v>0</v>
      </c>
      <c r="BR65" s="993">
        <f t="shared" si="126"/>
        <v>0</v>
      </c>
      <c r="BS65" s="993">
        <f t="shared" si="127"/>
        <v>0</v>
      </c>
      <c r="BT65" s="993">
        <f t="shared" si="128"/>
        <v>0</v>
      </c>
      <c r="BU65" s="993">
        <f t="shared" si="129"/>
        <v>0</v>
      </c>
      <c r="BV65" s="993">
        <f t="shared" si="130"/>
        <v>0</v>
      </c>
      <c r="BW65" s="993">
        <f t="shared" si="131"/>
        <v>0</v>
      </c>
      <c r="BX65" s="993">
        <f t="shared" si="132"/>
        <v>0</v>
      </c>
      <c r="BY65" s="993">
        <f t="shared" si="133"/>
        <v>0</v>
      </c>
      <c r="BZ65" s="993">
        <f t="shared" si="134"/>
        <v>0</v>
      </c>
      <c r="CA65" s="993">
        <f t="shared" si="135"/>
        <v>0</v>
      </c>
      <c r="CB65" s="993">
        <f t="shared" si="136"/>
        <v>0</v>
      </c>
      <c r="CC65" s="993">
        <f t="shared" si="137"/>
        <v>0</v>
      </c>
      <c r="CD65" s="993">
        <f t="shared" si="138"/>
        <v>0</v>
      </c>
      <c r="CE65" s="993">
        <f t="shared" si="139"/>
        <v>0</v>
      </c>
      <c r="CF65" s="993">
        <f t="shared" si="140"/>
        <v>0</v>
      </c>
      <c r="CG65" s="993">
        <f t="shared" si="141"/>
        <v>0</v>
      </c>
      <c r="CH65" s="993">
        <f t="shared" si="142"/>
        <v>0</v>
      </c>
      <c r="CI65" s="993">
        <f t="shared" si="143"/>
        <v>0</v>
      </c>
      <c r="CJ65" s="993">
        <f t="shared" si="144"/>
        <v>0</v>
      </c>
      <c r="CK65" s="993">
        <f t="shared" si="145"/>
        <v>0</v>
      </c>
      <c r="CL65" s="993">
        <f t="shared" si="146"/>
        <v>0</v>
      </c>
      <c r="CM65" s="993">
        <f t="shared" si="147"/>
        <v>0</v>
      </c>
      <c r="CN65" s="993">
        <f t="shared" si="148"/>
        <v>0</v>
      </c>
      <c r="CO65" s="993">
        <f t="shared" si="149"/>
        <v>0</v>
      </c>
      <c r="CP65" s="993">
        <f t="shared" si="150"/>
        <v>0</v>
      </c>
      <c r="CQ65" s="993">
        <f t="shared" si="151"/>
        <v>0</v>
      </c>
      <c r="CR65" s="993">
        <f t="shared" si="152"/>
        <v>0</v>
      </c>
      <c r="CS65" s="993">
        <f t="shared" si="153"/>
        <v>0</v>
      </c>
      <c r="CT65" s="993">
        <f t="shared" si="154"/>
        <v>0</v>
      </c>
      <c r="CU65" s="993">
        <f t="shared" si="155"/>
        <v>0</v>
      </c>
      <c r="CV65" s="993">
        <f t="shared" si="156"/>
        <v>0</v>
      </c>
      <c r="CW65" s="993">
        <f t="shared" si="157"/>
        <v>0</v>
      </c>
      <c r="CX65" s="993">
        <f t="shared" si="158"/>
        <v>0</v>
      </c>
      <c r="CY65" s="993">
        <f t="shared" si="159"/>
        <v>0</v>
      </c>
      <c r="CZ65" s="993">
        <f t="shared" si="160"/>
        <v>0</v>
      </c>
    </row>
    <row r="66" spans="1:104" x14ac:dyDescent="0.35">
      <c r="A66" s="301" t="str">
        <f>Machine!A29</f>
        <v>Row Crop Cultivator, Row Middles</v>
      </c>
      <c r="B66" s="993">
        <f t="shared" si="110"/>
        <v>1</v>
      </c>
      <c r="C66" s="990"/>
      <c r="D66" s="989">
        <v>1</v>
      </c>
      <c r="E66" s="989">
        <v>0</v>
      </c>
      <c r="F66" s="989">
        <v>0</v>
      </c>
      <c r="G66" s="989">
        <v>1</v>
      </c>
      <c r="H66" s="989">
        <v>0</v>
      </c>
      <c r="I66" s="989">
        <v>0</v>
      </c>
      <c r="J66" s="989">
        <v>1</v>
      </c>
      <c r="K66" s="989">
        <v>0</v>
      </c>
      <c r="L66" s="989">
        <v>0</v>
      </c>
      <c r="M66" s="989">
        <v>1</v>
      </c>
      <c r="N66" s="989">
        <v>1</v>
      </c>
      <c r="O66" s="989">
        <v>0</v>
      </c>
      <c r="P66" s="989">
        <v>0</v>
      </c>
      <c r="Q66" s="989">
        <v>0</v>
      </c>
      <c r="R66" s="989">
        <v>0</v>
      </c>
      <c r="S66" s="989">
        <v>0</v>
      </c>
      <c r="T66" s="989">
        <v>0</v>
      </c>
      <c r="U66" s="989">
        <v>0</v>
      </c>
      <c r="V66" s="989">
        <v>1</v>
      </c>
      <c r="W66" s="989">
        <v>0</v>
      </c>
      <c r="X66" s="989">
        <v>0</v>
      </c>
      <c r="Y66" s="989">
        <v>0</v>
      </c>
      <c r="Z66" s="989">
        <v>1</v>
      </c>
      <c r="AA66" s="989">
        <v>0</v>
      </c>
      <c r="AB66" s="989">
        <v>0</v>
      </c>
      <c r="AC66" s="989">
        <v>0</v>
      </c>
      <c r="AD66" s="989">
        <v>1</v>
      </c>
      <c r="AE66" s="989">
        <v>0</v>
      </c>
      <c r="AF66" s="989">
        <v>1</v>
      </c>
      <c r="AG66" s="989">
        <v>0</v>
      </c>
      <c r="AH66" s="989">
        <v>0</v>
      </c>
      <c r="AI66" s="989">
        <v>1</v>
      </c>
      <c r="AJ66" s="989">
        <v>1</v>
      </c>
      <c r="AK66" s="989">
        <v>1</v>
      </c>
      <c r="AL66" s="989">
        <v>0</v>
      </c>
      <c r="AM66" s="989">
        <v>0</v>
      </c>
      <c r="AN66" s="989">
        <v>0</v>
      </c>
      <c r="AO66" s="989">
        <v>0</v>
      </c>
      <c r="AP66" s="989"/>
      <c r="AQ66" s="989">
        <v>1</v>
      </c>
      <c r="AR66" s="989">
        <v>1</v>
      </c>
      <c r="AS66" s="989">
        <v>1</v>
      </c>
      <c r="AT66" s="989">
        <v>1</v>
      </c>
      <c r="AU66" s="989">
        <v>0</v>
      </c>
      <c r="AV66" s="989">
        <v>0</v>
      </c>
      <c r="AW66" s="989"/>
      <c r="AX66" s="989"/>
      <c r="AY66" s="989"/>
      <c r="AZ66" s="989"/>
      <c r="BA66" s="989"/>
      <c r="BB66" s="20"/>
      <c r="BC66" s="993">
        <f t="shared" si="111"/>
        <v>0</v>
      </c>
      <c r="BD66" s="993">
        <f t="shared" si="112"/>
        <v>0</v>
      </c>
      <c r="BE66" s="993">
        <f t="shared" si="113"/>
        <v>0</v>
      </c>
      <c r="BF66" s="993">
        <f t="shared" si="114"/>
        <v>0</v>
      </c>
      <c r="BG66" s="993">
        <f t="shared" si="115"/>
        <v>0</v>
      </c>
      <c r="BH66" s="993">
        <f t="shared" si="116"/>
        <v>0</v>
      </c>
      <c r="BI66" s="993">
        <f t="shared" si="117"/>
        <v>0</v>
      </c>
      <c r="BJ66" s="993">
        <f t="shared" si="118"/>
        <v>0</v>
      </c>
      <c r="BK66" s="993">
        <f t="shared" si="119"/>
        <v>0</v>
      </c>
      <c r="BL66" s="993">
        <f t="shared" si="120"/>
        <v>0</v>
      </c>
      <c r="BM66" s="993">
        <f t="shared" si="121"/>
        <v>1</v>
      </c>
      <c r="BN66" s="993">
        <f t="shared" si="122"/>
        <v>0</v>
      </c>
      <c r="BO66" s="993">
        <f t="shared" si="123"/>
        <v>0</v>
      </c>
      <c r="BP66" s="993">
        <f t="shared" si="124"/>
        <v>0</v>
      </c>
      <c r="BQ66" s="993">
        <f t="shared" si="125"/>
        <v>0</v>
      </c>
      <c r="BR66" s="993">
        <f t="shared" si="126"/>
        <v>0</v>
      </c>
      <c r="BS66" s="993">
        <f t="shared" si="127"/>
        <v>0</v>
      </c>
      <c r="BT66" s="993">
        <f t="shared" si="128"/>
        <v>0</v>
      </c>
      <c r="BU66" s="993">
        <f t="shared" si="129"/>
        <v>0</v>
      </c>
      <c r="BV66" s="993">
        <f t="shared" si="130"/>
        <v>0</v>
      </c>
      <c r="BW66" s="993">
        <f t="shared" si="131"/>
        <v>0</v>
      </c>
      <c r="BX66" s="993">
        <f t="shared" si="132"/>
        <v>0</v>
      </c>
      <c r="BY66" s="993">
        <f t="shared" si="133"/>
        <v>0</v>
      </c>
      <c r="BZ66" s="993">
        <f t="shared" si="134"/>
        <v>0</v>
      </c>
      <c r="CA66" s="993">
        <f t="shared" si="135"/>
        <v>0</v>
      </c>
      <c r="CB66" s="993">
        <f t="shared" si="136"/>
        <v>0</v>
      </c>
      <c r="CC66" s="993">
        <f t="shared" si="137"/>
        <v>0</v>
      </c>
      <c r="CD66" s="993">
        <f t="shared" si="138"/>
        <v>0</v>
      </c>
      <c r="CE66" s="993">
        <f t="shared" si="139"/>
        <v>0</v>
      </c>
      <c r="CF66" s="993">
        <f t="shared" si="140"/>
        <v>0</v>
      </c>
      <c r="CG66" s="993">
        <f t="shared" si="141"/>
        <v>0</v>
      </c>
      <c r="CH66" s="993">
        <f t="shared" si="142"/>
        <v>0</v>
      </c>
      <c r="CI66" s="993">
        <f t="shared" si="143"/>
        <v>0</v>
      </c>
      <c r="CJ66" s="993">
        <f t="shared" si="144"/>
        <v>0</v>
      </c>
      <c r="CK66" s="993">
        <f t="shared" si="145"/>
        <v>0</v>
      </c>
      <c r="CL66" s="993">
        <f t="shared" si="146"/>
        <v>0</v>
      </c>
      <c r="CM66" s="993">
        <f t="shared" si="147"/>
        <v>0</v>
      </c>
      <c r="CN66" s="993">
        <f t="shared" si="148"/>
        <v>0</v>
      </c>
      <c r="CO66" s="993">
        <f t="shared" si="149"/>
        <v>0</v>
      </c>
      <c r="CP66" s="993">
        <f t="shared" si="150"/>
        <v>0</v>
      </c>
      <c r="CQ66" s="993">
        <f t="shared" si="151"/>
        <v>0</v>
      </c>
      <c r="CR66" s="993">
        <f t="shared" si="152"/>
        <v>0</v>
      </c>
      <c r="CS66" s="993">
        <f t="shared" si="153"/>
        <v>0</v>
      </c>
      <c r="CT66" s="993">
        <f t="shared" si="154"/>
        <v>0</v>
      </c>
      <c r="CU66" s="993">
        <f t="shared" si="155"/>
        <v>0</v>
      </c>
      <c r="CV66" s="993">
        <f t="shared" si="156"/>
        <v>0</v>
      </c>
      <c r="CW66" s="993">
        <f t="shared" si="157"/>
        <v>0</v>
      </c>
      <c r="CX66" s="993">
        <f t="shared" si="158"/>
        <v>0</v>
      </c>
      <c r="CY66" s="993">
        <f t="shared" si="159"/>
        <v>0</v>
      </c>
      <c r="CZ66" s="993">
        <f t="shared" si="160"/>
        <v>0</v>
      </c>
    </row>
    <row r="67" spans="1:104" x14ac:dyDescent="0.35">
      <c r="A67" s="301" t="str">
        <f>Machine!A30</f>
        <v>Sprayer, Tractor Mounted (ft)</v>
      </c>
      <c r="B67" s="993">
        <f t="shared" si="110"/>
        <v>0</v>
      </c>
      <c r="C67" s="990"/>
      <c r="D67" s="989">
        <v>0</v>
      </c>
      <c r="E67" s="989">
        <v>0</v>
      </c>
      <c r="F67" s="989">
        <v>0</v>
      </c>
      <c r="G67" s="989">
        <v>0</v>
      </c>
      <c r="H67" s="989">
        <v>0</v>
      </c>
      <c r="I67" s="989">
        <v>0</v>
      </c>
      <c r="J67" s="989">
        <v>0</v>
      </c>
      <c r="K67" s="989">
        <v>0</v>
      </c>
      <c r="L67" s="989">
        <v>0</v>
      </c>
      <c r="M67" s="989">
        <v>0</v>
      </c>
      <c r="N67" s="989">
        <v>0</v>
      </c>
      <c r="O67" s="989">
        <v>0</v>
      </c>
      <c r="P67" s="989">
        <v>0</v>
      </c>
      <c r="Q67" s="989">
        <v>0</v>
      </c>
      <c r="R67" s="989">
        <v>0</v>
      </c>
      <c r="S67" s="989">
        <v>0</v>
      </c>
      <c r="T67" s="989">
        <v>0</v>
      </c>
      <c r="U67" s="989">
        <v>0</v>
      </c>
      <c r="V67" s="989">
        <v>0</v>
      </c>
      <c r="W67" s="989">
        <v>0</v>
      </c>
      <c r="X67" s="989">
        <v>0</v>
      </c>
      <c r="Y67" s="989">
        <v>0</v>
      </c>
      <c r="Z67" s="989">
        <v>0</v>
      </c>
      <c r="AA67" s="989">
        <v>0</v>
      </c>
      <c r="AB67" s="989">
        <v>0</v>
      </c>
      <c r="AC67" s="989">
        <v>0</v>
      </c>
      <c r="AD67" s="989">
        <v>0</v>
      </c>
      <c r="AE67" s="989">
        <v>0</v>
      </c>
      <c r="AF67" s="989">
        <v>0</v>
      </c>
      <c r="AG67" s="989">
        <v>0</v>
      </c>
      <c r="AH67" s="989">
        <v>0</v>
      </c>
      <c r="AI67" s="989">
        <v>0</v>
      </c>
      <c r="AJ67" s="989">
        <v>0</v>
      </c>
      <c r="AK67" s="989">
        <v>0</v>
      </c>
      <c r="AL67" s="989">
        <v>0</v>
      </c>
      <c r="AM67" s="989">
        <v>0</v>
      </c>
      <c r="AN67" s="989">
        <v>0</v>
      </c>
      <c r="AO67" s="989">
        <v>0</v>
      </c>
      <c r="AP67" s="989"/>
      <c r="AQ67" s="989">
        <v>0</v>
      </c>
      <c r="AR67" s="989">
        <v>0</v>
      </c>
      <c r="AS67" s="989">
        <v>0</v>
      </c>
      <c r="AT67" s="989">
        <v>0</v>
      </c>
      <c r="AU67" s="989">
        <v>0</v>
      </c>
      <c r="AV67" s="989">
        <v>0</v>
      </c>
      <c r="AW67" s="989"/>
      <c r="AX67" s="989"/>
      <c r="AY67" s="989"/>
      <c r="AZ67" s="989"/>
      <c r="BA67" s="989"/>
      <c r="BB67" s="20"/>
      <c r="BC67" s="993">
        <f t="shared" ref="BC67:BC83" si="161">IF(D$2=1,D67,0)</f>
        <v>0</v>
      </c>
      <c r="BD67" s="993">
        <f t="shared" ref="BD67:BD83" si="162">IF(E$2=1,E67,0)</f>
        <v>0</v>
      </c>
      <c r="BE67" s="993">
        <f t="shared" ref="BE67:BE91" si="163">IF(F$2=1,F67,0)</f>
        <v>0</v>
      </c>
      <c r="BF67" s="993">
        <f t="shared" ref="BF67:BF91" si="164">IF(G$2=1,G67,0)</f>
        <v>0</v>
      </c>
      <c r="BG67" s="993">
        <f t="shared" si="115"/>
        <v>0</v>
      </c>
      <c r="BH67" s="993">
        <f t="shared" si="116"/>
        <v>0</v>
      </c>
      <c r="BI67" s="993">
        <f t="shared" si="117"/>
        <v>0</v>
      </c>
      <c r="BJ67" s="993">
        <f t="shared" si="118"/>
        <v>0</v>
      </c>
      <c r="BK67" s="993">
        <f t="shared" si="119"/>
        <v>0</v>
      </c>
      <c r="BL67" s="993">
        <f t="shared" si="120"/>
        <v>0</v>
      </c>
      <c r="BM67" s="993">
        <f t="shared" si="121"/>
        <v>0</v>
      </c>
      <c r="BN67" s="993">
        <f t="shared" si="122"/>
        <v>0</v>
      </c>
      <c r="BO67" s="993">
        <f t="shared" si="123"/>
        <v>0</v>
      </c>
      <c r="BP67" s="993">
        <f t="shared" si="124"/>
        <v>0</v>
      </c>
      <c r="BQ67" s="993">
        <f t="shared" si="125"/>
        <v>0</v>
      </c>
      <c r="BR67" s="993">
        <f t="shared" si="126"/>
        <v>0</v>
      </c>
      <c r="BS67" s="993">
        <f t="shared" si="127"/>
        <v>0</v>
      </c>
      <c r="BT67" s="993">
        <f t="shared" si="128"/>
        <v>0</v>
      </c>
      <c r="BU67" s="993">
        <f t="shared" si="129"/>
        <v>0</v>
      </c>
      <c r="BV67" s="993">
        <f t="shared" si="130"/>
        <v>0</v>
      </c>
      <c r="BW67" s="993">
        <f t="shared" si="131"/>
        <v>0</v>
      </c>
      <c r="BX67" s="993">
        <f t="shared" si="132"/>
        <v>0</v>
      </c>
      <c r="BY67" s="993">
        <f t="shared" si="133"/>
        <v>0</v>
      </c>
      <c r="BZ67" s="993">
        <f t="shared" si="134"/>
        <v>0</v>
      </c>
      <c r="CA67" s="993">
        <f t="shared" si="135"/>
        <v>0</v>
      </c>
      <c r="CB67" s="993">
        <f t="shared" si="136"/>
        <v>0</v>
      </c>
      <c r="CC67" s="993">
        <f t="shared" si="137"/>
        <v>0</v>
      </c>
      <c r="CD67" s="993">
        <f t="shared" si="138"/>
        <v>0</v>
      </c>
      <c r="CE67" s="993">
        <f t="shared" si="139"/>
        <v>0</v>
      </c>
      <c r="CF67" s="993">
        <f t="shared" si="140"/>
        <v>0</v>
      </c>
      <c r="CG67" s="993">
        <f t="shared" si="141"/>
        <v>0</v>
      </c>
      <c r="CH67" s="993">
        <f t="shared" si="142"/>
        <v>0</v>
      </c>
      <c r="CI67" s="993">
        <f t="shared" si="143"/>
        <v>0</v>
      </c>
      <c r="CJ67" s="993">
        <f t="shared" si="144"/>
        <v>0</v>
      </c>
      <c r="CK67" s="993">
        <f t="shared" si="145"/>
        <v>0</v>
      </c>
      <c r="CL67" s="993">
        <f t="shared" si="146"/>
        <v>0</v>
      </c>
      <c r="CM67" s="993">
        <f t="shared" si="147"/>
        <v>0</v>
      </c>
      <c r="CN67" s="993">
        <f t="shared" si="148"/>
        <v>0</v>
      </c>
      <c r="CO67" s="993">
        <f t="shared" si="149"/>
        <v>0</v>
      </c>
      <c r="CP67" s="993">
        <f t="shared" si="150"/>
        <v>0</v>
      </c>
      <c r="CQ67" s="993">
        <f t="shared" si="151"/>
        <v>0</v>
      </c>
      <c r="CR67" s="993">
        <f t="shared" si="152"/>
        <v>0</v>
      </c>
      <c r="CS67" s="993">
        <f t="shared" si="153"/>
        <v>0</v>
      </c>
      <c r="CT67" s="993">
        <f t="shared" si="154"/>
        <v>0</v>
      </c>
      <c r="CU67" s="993">
        <f t="shared" si="155"/>
        <v>0</v>
      </c>
      <c r="CV67" s="993">
        <f t="shared" si="156"/>
        <v>0</v>
      </c>
      <c r="CW67" s="993">
        <f t="shared" si="157"/>
        <v>0</v>
      </c>
      <c r="CX67" s="993">
        <f t="shared" si="158"/>
        <v>0</v>
      </c>
      <c r="CY67" s="993">
        <f t="shared" si="159"/>
        <v>0</v>
      </c>
      <c r="CZ67" s="993">
        <f t="shared" si="160"/>
        <v>0</v>
      </c>
    </row>
    <row r="68" spans="1:104" x14ac:dyDescent="0.35">
      <c r="A68" s="301" t="str">
        <f>Machine!A31</f>
        <v>Sprayer, Tractor Mounted (row)</v>
      </c>
      <c r="B68" s="993">
        <f t="shared" si="110"/>
        <v>0</v>
      </c>
      <c r="C68" s="990"/>
      <c r="D68" s="989">
        <v>0</v>
      </c>
      <c r="E68" s="989">
        <v>0</v>
      </c>
      <c r="F68" s="989">
        <v>0</v>
      </c>
      <c r="G68" s="989">
        <v>0</v>
      </c>
      <c r="H68" s="989">
        <v>0</v>
      </c>
      <c r="I68" s="989">
        <v>0</v>
      </c>
      <c r="J68" s="989">
        <v>0</v>
      </c>
      <c r="K68" s="989">
        <v>0</v>
      </c>
      <c r="L68" s="989">
        <v>0</v>
      </c>
      <c r="M68" s="989">
        <v>0</v>
      </c>
      <c r="N68" s="989">
        <v>0</v>
      </c>
      <c r="O68" s="989">
        <v>0</v>
      </c>
      <c r="P68" s="989">
        <v>0</v>
      </c>
      <c r="Q68" s="989">
        <v>0</v>
      </c>
      <c r="R68" s="989">
        <v>0</v>
      </c>
      <c r="S68" s="989">
        <v>0</v>
      </c>
      <c r="T68" s="989">
        <v>0</v>
      </c>
      <c r="U68" s="989">
        <v>0</v>
      </c>
      <c r="V68" s="989">
        <v>0</v>
      </c>
      <c r="W68" s="989">
        <v>0</v>
      </c>
      <c r="X68" s="989">
        <v>0</v>
      </c>
      <c r="Y68" s="989">
        <v>0</v>
      </c>
      <c r="Z68" s="989">
        <v>0</v>
      </c>
      <c r="AA68" s="989">
        <v>0</v>
      </c>
      <c r="AB68" s="989">
        <v>0</v>
      </c>
      <c r="AC68" s="989">
        <v>0</v>
      </c>
      <c r="AD68" s="989">
        <v>0</v>
      </c>
      <c r="AE68" s="989">
        <v>0</v>
      </c>
      <c r="AF68" s="989">
        <v>0</v>
      </c>
      <c r="AG68" s="989">
        <v>0</v>
      </c>
      <c r="AH68" s="989">
        <v>0</v>
      </c>
      <c r="AI68" s="989">
        <v>0</v>
      </c>
      <c r="AJ68" s="989">
        <v>0</v>
      </c>
      <c r="AK68" s="989">
        <v>0</v>
      </c>
      <c r="AL68" s="989">
        <v>0</v>
      </c>
      <c r="AM68" s="989">
        <v>0</v>
      </c>
      <c r="AN68" s="989">
        <v>0</v>
      </c>
      <c r="AO68" s="989">
        <v>0</v>
      </c>
      <c r="AP68" s="989"/>
      <c r="AQ68" s="989">
        <v>0</v>
      </c>
      <c r="AR68" s="989">
        <v>0</v>
      </c>
      <c r="AS68" s="989">
        <v>0</v>
      </c>
      <c r="AT68" s="989">
        <v>0</v>
      </c>
      <c r="AU68" s="989">
        <v>0</v>
      </c>
      <c r="AV68" s="989">
        <v>0</v>
      </c>
      <c r="AW68" s="989"/>
      <c r="AX68" s="989"/>
      <c r="AY68" s="989"/>
      <c r="AZ68" s="989"/>
      <c r="BA68" s="989"/>
      <c r="BB68" s="20"/>
      <c r="BC68" s="993">
        <f t="shared" si="161"/>
        <v>0</v>
      </c>
      <c r="BD68" s="993">
        <f t="shared" si="162"/>
        <v>0</v>
      </c>
      <c r="BE68" s="993">
        <f t="shared" si="163"/>
        <v>0</v>
      </c>
      <c r="BF68" s="993">
        <f t="shared" si="164"/>
        <v>0</v>
      </c>
      <c r="BG68" s="993">
        <f t="shared" si="115"/>
        <v>0</v>
      </c>
      <c r="BH68" s="993">
        <f t="shared" si="116"/>
        <v>0</v>
      </c>
      <c r="BI68" s="993">
        <f t="shared" si="117"/>
        <v>0</v>
      </c>
      <c r="BJ68" s="993">
        <f t="shared" si="118"/>
        <v>0</v>
      </c>
      <c r="BK68" s="993">
        <f t="shared" si="119"/>
        <v>0</v>
      </c>
      <c r="BL68" s="993">
        <f t="shared" si="120"/>
        <v>0</v>
      </c>
      <c r="BM68" s="993">
        <f t="shared" si="121"/>
        <v>0</v>
      </c>
      <c r="BN68" s="993">
        <f t="shared" si="122"/>
        <v>0</v>
      </c>
      <c r="BO68" s="993">
        <f t="shared" si="123"/>
        <v>0</v>
      </c>
      <c r="BP68" s="993">
        <f t="shared" si="124"/>
        <v>0</v>
      </c>
      <c r="BQ68" s="993">
        <f t="shared" si="125"/>
        <v>0</v>
      </c>
      <c r="BR68" s="993">
        <f t="shared" si="126"/>
        <v>0</v>
      </c>
      <c r="BS68" s="993">
        <f t="shared" si="127"/>
        <v>0</v>
      </c>
      <c r="BT68" s="993">
        <f t="shared" si="128"/>
        <v>0</v>
      </c>
      <c r="BU68" s="993">
        <f t="shared" si="129"/>
        <v>0</v>
      </c>
      <c r="BV68" s="993">
        <f t="shared" si="130"/>
        <v>0</v>
      </c>
      <c r="BW68" s="993">
        <f t="shared" si="131"/>
        <v>0</v>
      </c>
      <c r="BX68" s="993">
        <f t="shared" si="132"/>
        <v>0</v>
      </c>
      <c r="BY68" s="993">
        <f t="shared" si="133"/>
        <v>0</v>
      </c>
      <c r="BZ68" s="993">
        <f t="shared" si="134"/>
        <v>0</v>
      </c>
      <c r="CA68" s="993">
        <f t="shared" si="135"/>
        <v>0</v>
      </c>
      <c r="CB68" s="993">
        <f t="shared" si="136"/>
        <v>0</v>
      </c>
      <c r="CC68" s="993">
        <f t="shared" si="137"/>
        <v>0</v>
      </c>
      <c r="CD68" s="993">
        <f t="shared" si="138"/>
        <v>0</v>
      </c>
      <c r="CE68" s="993">
        <f t="shared" si="139"/>
        <v>0</v>
      </c>
      <c r="CF68" s="993">
        <f t="shared" si="140"/>
        <v>0</v>
      </c>
      <c r="CG68" s="993">
        <f t="shared" si="141"/>
        <v>0</v>
      </c>
      <c r="CH68" s="993">
        <f t="shared" si="142"/>
        <v>0</v>
      </c>
      <c r="CI68" s="993">
        <f t="shared" si="143"/>
        <v>0</v>
      </c>
      <c r="CJ68" s="993">
        <f t="shared" si="144"/>
        <v>0</v>
      </c>
      <c r="CK68" s="993">
        <f t="shared" si="145"/>
        <v>0</v>
      </c>
      <c r="CL68" s="993">
        <f t="shared" si="146"/>
        <v>0</v>
      </c>
      <c r="CM68" s="993">
        <f t="shared" si="147"/>
        <v>0</v>
      </c>
      <c r="CN68" s="993">
        <f t="shared" si="148"/>
        <v>0</v>
      </c>
      <c r="CO68" s="993">
        <f t="shared" si="149"/>
        <v>0</v>
      </c>
      <c r="CP68" s="993">
        <f t="shared" si="150"/>
        <v>0</v>
      </c>
      <c r="CQ68" s="993">
        <f t="shared" si="151"/>
        <v>0</v>
      </c>
      <c r="CR68" s="993">
        <f t="shared" si="152"/>
        <v>0</v>
      </c>
      <c r="CS68" s="993">
        <f t="shared" si="153"/>
        <v>0</v>
      </c>
      <c r="CT68" s="993">
        <f t="shared" si="154"/>
        <v>0</v>
      </c>
      <c r="CU68" s="993">
        <f t="shared" si="155"/>
        <v>0</v>
      </c>
      <c r="CV68" s="993">
        <f t="shared" si="156"/>
        <v>0</v>
      </c>
      <c r="CW68" s="993">
        <f t="shared" si="157"/>
        <v>0</v>
      </c>
      <c r="CX68" s="993">
        <f t="shared" si="158"/>
        <v>0</v>
      </c>
      <c r="CY68" s="993">
        <f t="shared" si="159"/>
        <v>0</v>
      </c>
      <c r="CZ68" s="993">
        <f t="shared" si="160"/>
        <v>0</v>
      </c>
    </row>
    <row r="69" spans="1:104" x14ac:dyDescent="0.35">
      <c r="A69" s="301" t="str">
        <f>Machine!A32</f>
        <v>Land Plane</v>
      </c>
      <c r="B69" s="993">
        <f t="shared" si="110"/>
        <v>0</v>
      </c>
      <c r="C69" s="990"/>
      <c r="D69" s="989">
        <v>0</v>
      </c>
      <c r="E69" s="989">
        <v>0</v>
      </c>
      <c r="F69" s="989">
        <v>0</v>
      </c>
      <c r="G69" s="989">
        <v>0</v>
      </c>
      <c r="H69" s="989">
        <v>0</v>
      </c>
      <c r="I69" s="989">
        <v>0</v>
      </c>
      <c r="J69" s="989">
        <v>0</v>
      </c>
      <c r="K69" s="989">
        <v>0</v>
      </c>
      <c r="L69" s="989">
        <v>0</v>
      </c>
      <c r="M69" s="989">
        <v>0</v>
      </c>
      <c r="N69" s="989">
        <v>0</v>
      </c>
      <c r="O69" s="989">
        <v>0</v>
      </c>
      <c r="P69" s="989">
        <v>0</v>
      </c>
      <c r="Q69" s="989">
        <v>1</v>
      </c>
      <c r="R69" s="989">
        <v>1</v>
      </c>
      <c r="S69" s="989">
        <v>1</v>
      </c>
      <c r="T69" s="989">
        <v>1</v>
      </c>
      <c r="U69" s="989">
        <v>0</v>
      </c>
      <c r="V69" s="989">
        <v>0</v>
      </c>
      <c r="W69" s="989">
        <v>0</v>
      </c>
      <c r="X69" s="989">
        <v>0</v>
      </c>
      <c r="Y69" s="989">
        <v>1</v>
      </c>
      <c r="Z69" s="989">
        <v>0</v>
      </c>
      <c r="AA69" s="989">
        <v>0</v>
      </c>
      <c r="AB69" s="989">
        <v>0</v>
      </c>
      <c r="AC69" s="989">
        <v>1</v>
      </c>
      <c r="AD69" s="989">
        <v>0</v>
      </c>
      <c r="AE69" s="989">
        <v>1</v>
      </c>
      <c r="AF69" s="989">
        <v>0</v>
      </c>
      <c r="AG69" s="989">
        <v>0</v>
      </c>
      <c r="AH69" s="989">
        <v>0</v>
      </c>
      <c r="AI69" s="989">
        <v>0</v>
      </c>
      <c r="AJ69" s="989">
        <v>0</v>
      </c>
      <c r="AK69" s="989">
        <v>0</v>
      </c>
      <c r="AL69" s="989">
        <v>0</v>
      </c>
      <c r="AM69" s="989">
        <v>0</v>
      </c>
      <c r="AN69" s="989">
        <v>1</v>
      </c>
      <c r="AO69" s="989">
        <v>0</v>
      </c>
      <c r="AP69" s="989"/>
      <c r="AQ69" s="989">
        <v>0</v>
      </c>
      <c r="AR69" s="989">
        <v>0</v>
      </c>
      <c r="AS69" s="989">
        <v>0</v>
      </c>
      <c r="AT69" s="989">
        <v>0</v>
      </c>
      <c r="AU69" s="989">
        <v>1</v>
      </c>
      <c r="AV69" s="989">
        <v>1</v>
      </c>
      <c r="AW69" s="989"/>
      <c r="AX69" s="989"/>
      <c r="AY69" s="989"/>
      <c r="AZ69" s="989"/>
      <c r="BA69" s="989"/>
      <c r="BB69" s="20"/>
      <c r="BC69" s="993">
        <f t="shared" si="161"/>
        <v>0</v>
      </c>
      <c r="BD69" s="993">
        <f t="shared" si="162"/>
        <v>0</v>
      </c>
      <c r="BE69" s="993">
        <f t="shared" si="163"/>
        <v>0</v>
      </c>
      <c r="BF69" s="993">
        <f t="shared" si="164"/>
        <v>0</v>
      </c>
      <c r="BG69" s="993">
        <f t="shared" si="115"/>
        <v>0</v>
      </c>
      <c r="BH69" s="993">
        <f t="shared" si="116"/>
        <v>0</v>
      </c>
      <c r="BI69" s="993">
        <f t="shared" si="117"/>
        <v>0</v>
      </c>
      <c r="BJ69" s="993">
        <f t="shared" si="118"/>
        <v>0</v>
      </c>
      <c r="BK69" s="993">
        <f t="shared" si="119"/>
        <v>0</v>
      </c>
      <c r="BL69" s="993">
        <f t="shared" si="120"/>
        <v>0</v>
      </c>
      <c r="BM69" s="993">
        <f t="shared" si="121"/>
        <v>0</v>
      </c>
      <c r="BN69" s="993">
        <f t="shared" si="122"/>
        <v>0</v>
      </c>
      <c r="BO69" s="993">
        <f t="shared" si="123"/>
        <v>0</v>
      </c>
      <c r="BP69" s="993">
        <f t="shared" si="124"/>
        <v>0</v>
      </c>
      <c r="BQ69" s="993">
        <f t="shared" si="125"/>
        <v>0</v>
      </c>
      <c r="BR69" s="993">
        <f t="shared" si="126"/>
        <v>0</v>
      </c>
      <c r="BS69" s="993">
        <f t="shared" si="127"/>
        <v>0</v>
      </c>
      <c r="BT69" s="993">
        <f t="shared" si="128"/>
        <v>0</v>
      </c>
      <c r="BU69" s="993">
        <f t="shared" si="129"/>
        <v>0</v>
      </c>
      <c r="BV69" s="993">
        <f t="shared" si="130"/>
        <v>0</v>
      </c>
      <c r="BW69" s="993">
        <f t="shared" si="131"/>
        <v>0</v>
      </c>
      <c r="BX69" s="993">
        <f t="shared" si="132"/>
        <v>0</v>
      </c>
      <c r="BY69" s="993">
        <f t="shared" si="133"/>
        <v>0</v>
      </c>
      <c r="BZ69" s="993">
        <f t="shared" si="134"/>
        <v>0</v>
      </c>
      <c r="CA69" s="993">
        <f t="shared" si="135"/>
        <v>0</v>
      </c>
      <c r="CB69" s="993">
        <f t="shared" si="136"/>
        <v>0</v>
      </c>
      <c r="CC69" s="993">
        <f t="shared" si="137"/>
        <v>0</v>
      </c>
      <c r="CD69" s="993">
        <f t="shared" si="138"/>
        <v>0</v>
      </c>
      <c r="CE69" s="993">
        <f t="shared" si="139"/>
        <v>0</v>
      </c>
      <c r="CF69" s="993">
        <f t="shared" si="140"/>
        <v>0</v>
      </c>
      <c r="CG69" s="993">
        <f t="shared" si="141"/>
        <v>0</v>
      </c>
      <c r="CH69" s="993">
        <f t="shared" si="142"/>
        <v>0</v>
      </c>
      <c r="CI69" s="993">
        <f t="shared" si="143"/>
        <v>0</v>
      </c>
      <c r="CJ69" s="993">
        <f t="shared" si="144"/>
        <v>0</v>
      </c>
      <c r="CK69" s="993">
        <f t="shared" si="145"/>
        <v>0</v>
      </c>
      <c r="CL69" s="993">
        <f t="shared" si="146"/>
        <v>0</v>
      </c>
      <c r="CM69" s="993">
        <f t="shared" si="147"/>
        <v>0</v>
      </c>
      <c r="CN69" s="993">
        <f t="shared" si="148"/>
        <v>0</v>
      </c>
      <c r="CO69" s="993">
        <f t="shared" si="149"/>
        <v>0</v>
      </c>
      <c r="CP69" s="993">
        <f t="shared" si="150"/>
        <v>0</v>
      </c>
      <c r="CQ69" s="993">
        <f t="shared" si="151"/>
        <v>0</v>
      </c>
      <c r="CR69" s="993">
        <f t="shared" si="152"/>
        <v>0</v>
      </c>
      <c r="CS69" s="993">
        <f t="shared" si="153"/>
        <v>0</v>
      </c>
      <c r="CT69" s="993">
        <f t="shared" si="154"/>
        <v>0</v>
      </c>
      <c r="CU69" s="993">
        <f t="shared" si="155"/>
        <v>0</v>
      </c>
      <c r="CV69" s="993">
        <f t="shared" si="156"/>
        <v>0</v>
      </c>
      <c r="CW69" s="993">
        <f t="shared" si="157"/>
        <v>0</v>
      </c>
      <c r="CX69" s="993">
        <f t="shared" si="158"/>
        <v>0</v>
      </c>
      <c r="CY69" s="993">
        <f t="shared" si="159"/>
        <v>0</v>
      </c>
      <c r="CZ69" s="993">
        <f t="shared" si="160"/>
        <v>0</v>
      </c>
    </row>
    <row r="70" spans="1:104" x14ac:dyDescent="0.35">
      <c r="A70" s="301" t="str">
        <f>Machine!A33</f>
        <v>Fertilizer, Broadcast Spreader</v>
      </c>
      <c r="B70" s="993">
        <f t="shared" si="110"/>
        <v>0</v>
      </c>
      <c r="C70" s="990"/>
      <c r="D70" s="989">
        <v>0</v>
      </c>
      <c r="E70" s="989">
        <v>0</v>
      </c>
      <c r="F70" s="989">
        <v>0</v>
      </c>
      <c r="G70" s="989">
        <v>0</v>
      </c>
      <c r="H70" s="989">
        <v>0</v>
      </c>
      <c r="I70" s="989">
        <v>0</v>
      </c>
      <c r="J70" s="989">
        <v>0</v>
      </c>
      <c r="K70" s="989">
        <v>0</v>
      </c>
      <c r="L70" s="989">
        <v>0</v>
      </c>
      <c r="M70" s="989">
        <v>0</v>
      </c>
      <c r="N70" s="989">
        <v>0</v>
      </c>
      <c r="O70" s="989">
        <v>0</v>
      </c>
      <c r="P70" s="989">
        <v>0</v>
      </c>
      <c r="Q70" s="989">
        <v>0</v>
      </c>
      <c r="R70" s="989">
        <v>0</v>
      </c>
      <c r="S70" s="989">
        <v>0</v>
      </c>
      <c r="T70" s="989">
        <v>0</v>
      </c>
      <c r="U70" s="989">
        <v>0</v>
      </c>
      <c r="V70" s="989">
        <v>0</v>
      </c>
      <c r="W70" s="989">
        <v>0</v>
      </c>
      <c r="X70" s="989">
        <v>0</v>
      </c>
      <c r="Y70" s="989">
        <v>0</v>
      </c>
      <c r="Z70" s="989">
        <v>0</v>
      </c>
      <c r="AA70" s="989">
        <v>0</v>
      </c>
      <c r="AB70" s="989">
        <v>0</v>
      </c>
      <c r="AC70" s="989">
        <v>0</v>
      </c>
      <c r="AD70" s="989">
        <v>0</v>
      </c>
      <c r="AE70" s="989">
        <v>0</v>
      </c>
      <c r="AF70" s="989">
        <v>0</v>
      </c>
      <c r="AG70" s="989">
        <v>0</v>
      </c>
      <c r="AH70" s="989">
        <v>0</v>
      </c>
      <c r="AI70" s="989">
        <v>0</v>
      </c>
      <c r="AJ70" s="989">
        <v>0</v>
      </c>
      <c r="AK70" s="989">
        <v>0</v>
      </c>
      <c r="AL70" s="989">
        <v>0</v>
      </c>
      <c r="AM70" s="989">
        <v>0</v>
      </c>
      <c r="AN70" s="989">
        <v>0</v>
      </c>
      <c r="AO70" s="989">
        <v>0</v>
      </c>
      <c r="AP70" s="989"/>
      <c r="AQ70" s="989">
        <v>0</v>
      </c>
      <c r="AR70" s="989">
        <v>0</v>
      </c>
      <c r="AS70" s="989">
        <v>0</v>
      </c>
      <c r="AT70" s="989">
        <v>0</v>
      </c>
      <c r="AU70" s="989">
        <v>0</v>
      </c>
      <c r="AV70" s="989">
        <v>0</v>
      </c>
      <c r="AW70" s="989"/>
      <c r="AX70" s="989"/>
      <c r="AY70" s="989"/>
      <c r="AZ70" s="989"/>
      <c r="BA70" s="989"/>
      <c r="BB70" s="20"/>
      <c r="BC70" s="993">
        <f t="shared" si="161"/>
        <v>0</v>
      </c>
      <c r="BD70" s="993">
        <f t="shared" si="162"/>
        <v>0</v>
      </c>
      <c r="BE70" s="993">
        <f t="shared" si="163"/>
        <v>0</v>
      </c>
      <c r="BF70" s="993">
        <f t="shared" si="164"/>
        <v>0</v>
      </c>
      <c r="BG70" s="993">
        <f t="shared" si="115"/>
        <v>0</v>
      </c>
      <c r="BH70" s="993">
        <f t="shared" si="116"/>
        <v>0</v>
      </c>
      <c r="BI70" s="993">
        <f t="shared" si="117"/>
        <v>0</v>
      </c>
      <c r="BJ70" s="993">
        <f t="shared" si="118"/>
        <v>0</v>
      </c>
      <c r="BK70" s="993">
        <f t="shared" si="119"/>
        <v>0</v>
      </c>
      <c r="BL70" s="993">
        <f t="shared" si="120"/>
        <v>0</v>
      </c>
      <c r="BM70" s="993">
        <f t="shared" si="121"/>
        <v>0</v>
      </c>
      <c r="BN70" s="993">
        <f t="shared" si="122"/>
        <v>0</v>
      </c>
      <c r="BO70" s="993">
        <f t="shared" si="123"/>
        <v>0</v>
      </c>
      <c r="BP70" s="993">
        <f t="shared" si="124"/>
        <v>0</v>
      </c>
      <c r="BQ70" s="993">
        <f t="shared" si="125"/>
        <v>0</v>
      </c>
      <c r="BR70" s="993">
        <f t="shared" si="126"/>
        <v>0</v>
      </c>
      <c r="BS70" s="993">
        <f t="shared" si="127"/>
        <v>0</v>
      </c>
      <c r="BT70" s="993">
        <f t="shared" si="128"/>
        <v>0</v>
      </c>
      <c r="BU70" s="993">
        <f t="shared" si="129"/>
        <v>0</v>
      </c>
      <c r="BV70" s="993">
        <f t="shared" si="130"/>
        <v>0</v>
      </c>
      <c r="BW70" s="993">
        <f t="shared" si="131"/>
        <v>0</v>
      </c>
      <c r="BX70" s="993">
        <f t="shared" si="132"/>
        <v>0</v>
      </c>
      <c r="BY70" s="993">
        <f t="shared" si="133"/>
        <v>0</v>
      </c>
      <c r="BZ70" s="993">
        <f t="shared" si="134"/>
        <v>0</v>
      </c>
      <c r="CA70" s="993">
        <f t="shared" si="135"/>
        <v>0</v>
      </c>
      <c r="CB70" s="993">
        <f t="shared" si="136"/>
        <v>0</v>
      </c>
      <c r="CC70" s="993">
        <f t="shared" si="137"/>
        <v>0</v>
      </c>
      <c r="CD70" s="993">
        <f t="shared" si="138"/>
        <v>0</v>
      </c>
      <c r="CE70" s="993">
        <f t="shared" si="139"/>
        <v>0</v>
      </c>
      <c r="CF70" s="993">
        <f t="shared" si="140"/>
        <v>0</v>
      </c>
      <c r="CG70" s="993">
        <f t="shared" si="141"/>
        <v>0</v>
      </c>
      <c r="CH70" s="993">
        <f t="shared" si="142"/>
        <v>0</v>
      </c>
      <c r="CI70" s="993">
        <f t="shared" si="143"/>
        <v>0</v>
      </c>
      <c r="CJ70" s="993">
        <f t="shared" si="144"/>
        <v>0</v>
      </c>
      <c r="CK70" s="993">
        <f t="shared" si="145"/>
        <v>0</v>
      </c>
      <c r="CL70" s="993">
        <f t="shared" si="146"/>
        <v>0</v>
      </c>
      <c r="CM70" s="993">
        <f t="shared" si="147"/>
        <v>0</v>
      </c>
      <c r="CN70" s="993">
        <f t="shared" si="148"/>
        <v>0</v>
      </c>
      <c r="CO70" s="993">
        <f t="shared" si="149"/>
        <v>0</v>
      </c>
      <c r="CP70" s="993">
        <f t="shared" si="150"/>
        <v>0</v>
      </c>
      <c r="CQ70" s="993">
        <f t="shared" si="151"/>
        <v>0</v>
      </c>
      <c r="CR70" s="993">
        <f t="shared" si="152"/>
        <v>0</v>
      </c>
      <c r="CS70" s="993">
        <f t="shared" si="153"/>
        <v>0</v>
      </c>
      <c r="CT70" s="993">
        <f t="shared" si="154"/>
        <v>0</v>
      </c>
      <c r="CU70" s="993">
        <f t="shared" si="155"/>
        <v>0</v>
      </c>
      <c r="CV70" s="993">
        <f t="shared" si="156"/>
        <v>0</v>
      </c>
      <c r="CW70" s="993">
        <f t="shared" si="157"/>
        <v>0</v>
      </c>
      <c r="CX70" s="993">
        <f t="shared" si="158"/>
        <v>0</v>
      </c>
      <c r="CY70" s="993">
        <f t="shared" si="159"/>
        <v>0</v>
      </c>
      <c r="CZ70" s="993">
        <f t="shared" si="160"/>
        <v>0</v>
      </c>
    </row>
    <row r="71" spans="1:104" x14ac:dyDescent="0.35">
      <c r="A71" s="301" t="str">
        <f>Machine!A34</f>
        <v>Do All, Seedbed Finisher</v>
      </c>
      <c r="B71" s="993">
        <f t="shared" si="110"/>
        <v>1</v>
      </c>
      <c r="C71" s="990"/>
      <c r="D71" s="989">
        <v>1</v>
      </c>
      <c r="E71" s="989">
        <v>1</v>
      </c>
      <c r="F71" s="989">
        <v>1</v>
      </c>
      <c r="G71" s="989">
        <v>1</v>
      </c>
      <c r="H71" s="989">
        <v>1</v>
      </c>
      <c r="I71" s="989">
        <v>1</v>
      </c>
      <c r="J71" s="989">
        <v>1</v>
      </c>
      <c r="K71" s="989">
        <v>1</v>
      </c>
      <c r="L71" s="989">
        <v>1</v>
      </c>
      <c r="M71" s="989">
        <v>1</v>
      </c>
      <c r="N71" s="989">
        <v>1</v>
      </c>
      <c r="O71" s="989">
        <v>1</v>
      </c>
      <c r="P71" s="989">
        <v>1</v>
      </c>
      <c r="Q71" s="989">
        <v>0</v>
      </c>
      <c r="R71" s="989">
        <v>0</v>
      </c>
      <c r="S71" s="989">
        <v>0</v>
      </c>
      <c r="T71" s="989">
        <v>0</v>
      </c>
      <c r="U71" s="989">
        <v>0</v>
      </c>
      <c r="V71" s="989">
        <v>0</v>
      </c>
      <c r="W71" s="989">
        <v>0</v>
      </c>
      <c r="X71" s="989">
        <v>0</v>
      </c>
      <c r="Y71" s="989">
        <v>0</v>
      </c>
      <c r="Z71" s="989">
        <v>0</v>
      </c>
      <c r="AA71" s="989">
        <v>0</v>
      </c>
      <c r="AB71" s="989">
        <v>0</v>
      </c>
      <c r="AC71" s="989">
        <v>0</v>
      </c>
      <c r="AD71" s="989">
        <v>0</v>
      </c>
      <c r="AE71" s="989">
        <v>0</v>
      </c>
      <c r="AF71" s="989">
        <v>0</v>
      </c>
      <c r="AG71" s="989">
        <v>0</v>
      </c>
      <c r="AH71" s="989">
        <v>0</v>
      </c>
      <c r="AI71" s="989">
        <v>0</v>
      </c>
      <c r="AJ71" s="989">
        <v>0</v>
      </c>
      <c r="AK71" s="989">
        <v>0</v>
      </c>
      <c r="AL71" s="989">
        <v>0</v>
      </c>
      <c r="AM71" s="989">
        <v>0</v>
      </c>
      <c r="AN71" s="989">
        <v>0</v>
      </c>
      <c r="AO71" s="989">
        <v>0</v>
      </c>
      <c r="AP71" s="989"/>
      <c r="AQ71" s="989">
        <v>0</v>
      </c>
      <c r="AR71" s="989">
        <v>0</v>
      </c>
      <c r="AS71" s="989">
        <v>0</v>
      </c>
      <c r="AT71" s="989">
        <v>0</v>
      </c>
      <c r="AU71" s="989">
        <v>0</v>
      </c>
      <c r="AV71" s="989">
        <v>0</v>
      </c>
      <c r="AW71" s="989"/>
      <c r="AX71" s="989"/>
      <c r="AY71" s="989"/>
      <c r="AZ71" s="989"/>
      <c r="BA71" s="989"/>
      <c r="BB71" s="20"/>
      <c r="BC71" s="993">
        <f t="shared" si="161"/>
        <v>0</v>
      </c>
      <c r="BD71" s="993">
        <f t="shared" si="162"/>
        <v>0</v>
      </c>
      <c r="BE71" s="993">
        <f t="shared" si="163"/>
        <v>0</v>
      </c>
      <c r="BF71" s="993">
        <f t="shared" si="164"/>
        <v>0</v>
      </c>
      <c r="BG71" s="993">
        <f t="shared" si="115"/>
        <v>0</v>
      </c>
      <c r="BH71" s="993">
        <f t="shared" si="116"/>
        <v>0</v>
      </c>
      <c r="BI71" s="993">
        <f t="shared" si="117"/>
        <v>0</v>
      </c>
      <c r="BJ71" s="993">
        <f t="shared" si="118"/>
        <v>0</v>
      </c>
      <c r="BK71" s="993">
        <f t="shared" si="119"/>
        <v>0</v>
      </c>
      <c r="BL71" s="993">
        <f t="shared" si="120"/>
        <v>0</v>
      </c>
      <c r="BM71" s="993">
        <f t="shared" si="121"/>
        <v>1</v>
      </c>
      <c r="BN71" s="993">
        <f t="shared" si="122"/>
        <v>0</v>
      </c>
      <c r="BO71" s="993">
        <f t="shared" si="123"/>
        <v>0</v>
      </c>
      <c r="BP71" s="993">
        <f t="shared" si="124"/>
        <v>0</v>
      </c>
      <c r="BQ71" s="993">
        <f t="shared" si="125"/>
        <v>0</v>
      </c>
      <c r="BR71" s="993">
        <f t="shared" si="126"/>
        <v>0</v>
      </c>
      <c r="BS71" s="993">
        <f t="shared" si="127"/>
        <v>0</v>
      </c>
      <c r="BT71" s="993">
        <f t="shared" si="128"/>
        <v>0</v>
      </c>
      <c r="BU71" s="993">
        <f t="shared" si="129"/>
        <v>0</v>
      </c>
      <c r="BV71" s="993">
        <f t="shared" si="130"/>
        <v>0</v>
      </c>
      <c r="BW71" s="993">
        <f t="shared" si="131"/>
        <v>0</v>
      </c>
      <c r="BX71" s="993">
        <f t="shared" si="132"/>
        <v>0</v>
      </c>
      <c r="BY71" s="993">
        <f t="shared" si="133"/>
        <v>0</v>
      </c>
      <c r="BZ71" s="993">
        <f t="shared" si="134"/>
        <v>0</v>
      </c>
      <c r="CA71" s="993">
        <f t="shared" si="135"/>
        <v>0</v>
      </c>
      <c r="CB71" s="993">
        <f t="shared" si="136"/>
        <v>0</v>
      </c>
      <c r="CC71" s="993">
        <f t="shared" si="137"/>
        <v>0</v>
      </c>
      <c r="CD71" s="993">
        <f t="shared" si="138"/>
        <v>0</v>
      </c>
      <c r="CE71" s="993">
        <f t="shared" si="139"/>
        <v>0</v>
      </c>
      <c r="CF71" s="993">
        <f t="shared" si="140"/>
        <v>0</v>
      </c>
      <c r="CG71" s="993">
        <f t="shared" si="141"/>
        <v>0</v>
      </c>
      <c r="CH71" s="993">
        <f t="shared" si="142"/>
        <v>0</v>
      </c>
      <c r="CI71" s="993">
        <f t="shared" si="143"/>
        <v>0</v>
      </c>
      <c r="CJ71" s="993">
        <f t="shared" si="144"/>
        <v>0</v>
      </c>
      <c r="CK71" s="993">
        <f t="shared" si="145"/>
        <v>0</v>
      </c>
      <c r="CL71" s="993">
        <f t="shared" si="146"/>
        <v>0</v>
      </c>
      <c r="CM71" s="993">
        <f t="shared" si="147"/>
        <v>0</v>
      </c>
      <c r="CN71" s="993">
        <f t="shared" si="148"/>
        <v>0</v>
      </c>
      <c r="CO71" s="993">
        <f t="shared" si="149"/>
        <v>0</v>
      </c>
      <c r="CP71" s="993">
        <f t="shared" si="150"/>
        <v>0</v>
      </c>
      <c r="CQ71" s="993">
        <f t="shared" si="151"/>
        <v>0</v>
      </c>
      <c r="CR71" s="993">
        <f t="shared" si="152"/>
        <v>0</v>
      </c>
      <c r="CS71" s="993">
        <f t="shared" si="153"/>
        <v>0</v>
      </c>
      <c r="CT71" s="993">
        <f t="shared" si="154"/>
        <v>0</v>
      </c>
      <c r="CU71" s="993">
        <f t="shared" si="155"/>
        <v>0</v>
      </c>
      <c r="CV71" s="993">
        <f t="shared" si="156"/>
        <v>0</v>
      </c>
      <c r="CW71" s="993">
        <f t="shared" si="157"/>
        <v>0</v>
      </c>
      <c r="CX71" s="993">
        <f t="shared" si="158"/>
        <v>0</v>
      </c>
      <c r="CY71" s="993">
        <f t="shared" si="159"/>
        <v>0</v>
      </c>
      <c r="CZ71" s="993">
        <f t="shared" si="160"/>
        <v>0</v>
      </c>
    </row>
    <row r="72" spans="1:104" x14ac:dyDescent="0.35">
      <c r="A72" s="301" t="str">
        <f>Machine!A35</f>
        <v>Planter</v>
      </c>
      <c r="B72" s="993">
        <f t="shared" si="110"/>
        <v>1</v>
      </c>
      <c r="C72" s="990"/>
      <c r="D72" s="989">
        <v>1</v>
      </c>
      <c r="E72" s="989">
        <v>1</v>
      </c>
      <c r="F72" s="989">
        <v>1</v>
      </c>
      <c r="G72" s="989">
        <v>1</v>
      </c>
      <c r="H72" s="989">
        <v>1</v>
      </c>
      <c r="I72" s="989">
        <v>1</v>
      </c>
      <c r="J72" s="989">
        <v>1</v>
      </c>
      <c r="K72" s="989">
        <v>1</v>
      </c>
      <c r="L72" s="989">
        <v>1</v>
      </c>
      <c r="M72" s="989">
        <v>1</v>
      </c>
      <c r="N72" s="989">
        <v>1</v>
      </c>
      <c r="O72" s="989">
        <v>1</v>
      </c>
      <c r="P72" s="989">
        <v>1</v>
      </c>
      <c r="Q72" s="989">
        <v>0</v>
      </c>
      <c r="R72" s="989">
        <v>0</v>
      </c>
      <c r="S72" s="989">
        <v>0</v>
      </c>
      <c r="T72" s="989">
        <v>0</v>
      </c>
      <c r="U72" s="989">
        <v>0</v>
      </c>
      <c r="V72" s="989">
        <v>0</v>
      </c>
      <c r="W72" s="989">
        <v>0</v>
      </c>
      <c r="X72" s="989">
        <v>0</v>
      </c>
      <c r="Y72" s="989">
        <v>0</v>
      </c>
      <c r="Z72" s="989">
        <v>0</v>
      </c>
      <c r="AA72" s="989">
        <v>0</v>
      </c>
      <c r="AB72" s="989">
        <v>0</v>
      </c>
      <c r="AC72" s="989">
        <v>0</v>
      </c>
      <c r="AD72" s="989">
        <v>0</v>
      </c>
      <c r="AE72" s="989">
        <v>0</v>
      </c>
      <c r="AF72" s="989">
        <v>1</v>
      </c>
      <c r="AG72" s="989">
        <v>1</v>
      </c>
      <c r="AH72" s="989">
        <v>1</v>
      </c>
      <c r="AI72" s="989">
        <v>1</v>
      </c>
      <c r="AJ72" s="989">
        <v>1</v>
      </c>
      <c r="AK72" s="989">
        <v>1</v>
      </c>
      <c r="AL72" s="989">
        <v>0</v>
      </c>
      <c r="AM72" s="989">
        <v>0</v>
      </c>
      <c r="AN72" s="989">
        <v>0</v>
      </c>
      <c r="AO72" s="989">
        <v>1</v>
      </c>
      <c r="AP72" s="989"/>
      <c r="AQ72" s="989">
        <v>0</v>
      </c>
      <c r="AR72" s="989">
        <v>0</v>
      </c>
      <c r="AS72" s="989">
        <v>0</v>
      </c>
      <c r="AT72" s="989">
        <v>0</v>
      </c>
      <c r="AU72" s="989">
        <v>0</v>
      </c>
      <c r="AV72" s="989">
        <v>0</v>
      </c>
      <c r="AW72" s="989"/>
      <c r="AX72" s="989"/>
      <c r="AY72" s="989"/>
      <c r="AZ72" s="989"/>
      <c r="BA72" s="989"/>
      <c r="BB72" s="20"/>
      <c r="BC72" s="993">
        <f t="shared" si="161"/>
        <v>0</v>
      </c>
      <c r="BD72" s="993">
        <f t="shared" si="162"/>
        <v>0</v>
      </c>
      <c r="BE72" s="993">
        <f t="shared" si="163"/>
        <v>0</v>
      </c>
      <c r="BF72" s="993">
        <f t="shared" si="164"/>
        <v>0</v>
      </c>
      <c r="BG72" s="993">
        <f t="shared" si="115"/>
        <v>0</v>
      </c>
      <c r="BH72" s="993">
        <f t="shared" si="116"/>
        <v>0</v>
      </c>
      <c r="BI72" s="993">
        <f t="shared" si="117"/>
        <v>0</v>
      </c>
      <c r="BJ72" s="993">
        <f t="shared" si="118"/>
        <v>0</v>
      </c>
      <c r="BK72" s="993">
        <f t="shared" si="119"/>
        <v>0</v>
      </c>
      <c r="BL72" s="993">
        <f t="shared" si="120"/>
        <v>0</v>
      </c>
      <c r="BM72" s="993">
        <f t="shared" si="121"/>
        <v>1</v>
      </c>
      <c r="BN72" s="993">
        <f t="shared" si="122"/>
        <v>0</v>
      </c>
      <c r="BO72" s="993">
        <f t="shared" si="123"/>
        <v>0</v>
      </c>
      <c r="BP72" s="993">
        <f t="shared" si="124"/>
        <v>0</v>
      </c>
      <c r="BQ72" s="993">
        <f t="shared" si="125"/>
        <v>0</v>
      </c>
      <c r="BR72" s="993">
        <f t="shared" si="126"/>
        <v>0</v>
      </c>
      <c r="BS72" s="993">
        <f t="shared" si="127"/>
        <v>0</v>
      </c>
      <c r="BT72" s="993">
        <f t="shared" si="128"/>
        <v>0</v>
      </c>
      <c r="BU72" s="993">
        <f t="shared" si="129"/>
        <v>0</v>
      </c>
      <c r="BV72" s="993">
        <f t="shared" si="130"/>
        <v>0</v>
      </c>
      <c r="BW72" s="993">
        <f t="shared" si="131"/>
        <v>0</v>
      </c>
      <c r="BX72" s="993">
        <f t="shared" si="132"/>
        <v>0</v>
      </c>
      <c r="BY72" s="993">
        <f t="shared" si="133"/>
        <v>0</v>
      </c>
      <c r="BZ72" s="993">
        <f t="shared" si="134"/>
        <v>0</v>
      </c>
      <c r="CA72" s="993">
        <f t="shared" si="135"/>
        <v>0</v>
      </c>
      <c r="CB72" s="993">
        <f t="shared" si="136"/>
        <v>0</v>
      </c>
      <c r="CC72" s="993">
        <f t="shared" si="137"/>
        <v>0</v>
      </c>
      <c r="CD72" s="993">
        <f t="shared" si="138"/>
        <v>0</v>
      </c>
      <c r="CE72" s="993">
        <f t="shared" si="139"/>
        <v>0</v>
      </c>
      <c r="CF72" s="993">
        <f t="shared" si="140"/>
        <v>0</v>
      </c>
      <c r="CG72" s="993">
        <f t="shared" si="141"/>
        <v>0</v>
      </c>
      <c r="CH72" s="993">
        <f t="shared" si="142"/>
        <v>0</v>
      </c>
      <c r="CI72" s="993">
        <f t="shared" si="143"/>
        <v>0</v>
      </c>
      <c r="CJ72" s="993">
        <f t="shared" si="144"/>
        <v>0</v>
      </c>
      <c r="CK72" s="993">
        <f t="shared" si="145"/>
        <v>0</v>
      </c>
      <c r="CL72" s="993">
        <f t="shared" si="146"/>
        <v>0</v>
      </c>
      <c r="CM72" s="993">
        <f t="shared" si="147"/>
        <v>0</v>
      </c>
      <c r="CN72" s="993">
        <f t="shared" si="148"/>
        <v>0</v>
      </c>
      <c r="CO72" s="993">
        <f t="shared" si="149"/>
        <v>0</v>
      </c>
      <c r="CP72" s="993">
        <f t="shared" si="150"/>
        <v>0</v>
      </c>
      <c r="CQ72" s="993">
        <f t="shared" si="151"/>
        <v>0</v>
      </c>
      <c r="CR72" s="993">
        <f t="shared" si="152"/>
        <v>0</v>
      </c>
      <c r="CS72" s="993">
        <f t="shared" si="153"/>
        <v>0</v>
      </c>
      <c r="CT72" s="993">
        <f t="shared" si="154"/>
        <v>0</v>
      </c>
      <c r="CU72" s="993">
        <f t="shared" si="155"/>
        <v>0</v>
      </c>
      <c r="CV72" s="993">
        <f t="shared" si="156"/>
        <v>0</v>
      </c>
      <c r="CW72" s="993">
        <f t="shared" si="157"/>
        <v>0</v>
      </c>
      <c r="CX72" s="993">
        <f t="shared" si="158"/>
        <v>0</v>
      </c>
      <c r="CY72" s="993">
        <f t="shared" si="159"/>
        <v>0</v>
      </c>
      <c r="CZ72" s="993">
        <f t="shared" si="160"/>
        <v>0</v>
      </c>
    </row>
    <row r="73" spans="1:104" x14ac:dyDescent="0.35">
      <c r="A73" s="301" t="str">
        <f>Machine!A36</f>
        <v>Planter Twin Row</v>
      </c>
      <c r="B73" s="993">
        <f t="shared" si="110"/>
        <v>0</v>
      </c>
      <c r="C73" s="990"/>
      <c r="D73" s="989">
        <v>0</v>
      </c>
      <c r="E73" s="989">
        <v>0</v>
      </c>
      <c r="F73" s="989">
        <v>0</v>
      </c>
      <c r="G73" s="989">
        <v>0</v>
      </c>
      <c r="H73" s="989">
        <v>0</v>
      </c>
      <c r="I73" s="989">
        <v>0</v>
      </c>
      <c r="J73" s="989">
        <v>0</v>
      </c>
      <c r="K73" s="989">
        <v>0</v>
      </c>
      <c r="L73" s="989">
        <v>0</v>
      </c>
      <c r="M73" s="989">
        <v>0</v>
      </c>
      <c r="N73" s="989">
        <v>0</v>
      </c>
      <c r="O73" s="989">
        <v>0</v>
      </c>
      <c r="P73" s="989">
        <v>0</v>
      </c>
      <c r="Q73" s="989">
        <v>0</v>
      </c>
      <c r="R73" s="989">
        <v>0</v>
      </c>
      <c r="S73" s="989">
        <v>0</v>
      </c>
      <c r="T73" s="989">
        <v>0</v>
      </c>
      <c r="U73" s="989">
        <v>0</v>
      </c>
      <c r="V73" s="989">
        <v>1</v>
      </c>
      <c r="W73" s="989">
        <v>1</v>
      </c>
      <c r="X73" s="989">
        <v>1</v>
      </c>
      <c r="Y73" s="989">
        <v>0</v>
      </c>
      <c r="Z73" s="989">
        <v>1</v>
      </c>
      <c r="AA73" s="989">
        <v>1</v>
      </c>
      <c r="AB73" s="989">
        <v>1</v>
      </c>
      <c r="AC73" s="989">
        <v>0</v>
      </c>
      <c r="AD73" s="989">
        <v>1</v>
      </c>
      <c r="AE73" s="989">
        <v>0</v>
      </c>
      <c r="AF73" s="989">
        <v>0</v>
      </c>
      <c r="AG73" s="989">
        <v>0</v>
      </c>
      <c r="AH73" s="989">
        <v>0</v>
      </c>
      <c r="AI73" s="989">
        <v>0</v>
      </c>
      <c r="AJ73" s="989">
        <v>0</v>
      </c>
      <c r="AK73" s="989">
        <v>0</v>
      </c>
      <c r="AL73" s="989">
        <v>1</v>
      </c>
      <c r="AM73" s="989">
        <v>1</v>
      </c>
      <c r="AN73" s="989">
        <v>0</v>
      </c>
      <c r="AO73" s="989">
        <v>0</v>
      </c>
      <c r="AP73" s="989"/>
      <c r="AQ73" s="989">
        <v>0</v>
      </c>
      <c r="AR73" s="989">
        <v>0</v>
      </c>
      <c r="AS73" s="989">
        <v>0</v>
      </c>
      <c r="AT73" s="989">
        <v>0</v>
      </c>
      <c r="AU73" s="989">
        <v>0</v>
      </c>
      <c r="AV73" s="989">
        <v>0</v>
      </c>
      <c r="AW73" s="989"/>
      <c r="AX73" s="989"/>
      <c r="AY73" s="989"/>
      <c r="AZ73" s="989"/>
      <c r="BA73" s="989"/>
      <c r="BB73" s="20"/>
      <c r="BC73" s="993">
        <f t="shared" si="161"/>
        <v>0</v>
      </c>
      <c r="BD73" s="993">
        <f t="shared" si="162"/>
        <v>0</v>
      </c>
      <c r="BE73" s="993">
        <f t="shared" si="163"/>
        <v>0</v>
      </c>
      <c r="BF73" s="993">
        <f t="shared" si="164"/>
        <v>0</v>
      </c>
      <c r="BG73" s="993">
        <f t="shared" si="115"/>
        <v>0</v>
      </c>
      <c r="BH73" s="993">
        <f t="shared" si="116"/>
        <v>0</v>
      </c>
      <c r="BI73" s="993">
        <f t="shared" si="117"/>
        <v>0</v>
      </c>
      <c r="BJ73" s="993">
        <f t="shared" si="118"/>
        <v>0</v>
      </c>
      <c r="BK73" s="993">
        <f t="shared" si="119"/>
        <v>0</v>
      </c>
      <c r="BL73" s="993">
        <f t="shared" si="120"/>
        <v>0</v>
      </c>
      <c r="BM73" s="993">
        <f t="shared" si="121"/>
        <v>0</v>
      </c>
      <c r="BN73" s="993">
        <f t="shared" si="122"/>
        <v>0</v>
      </c>
      <c r="BO73" s="993">
        <f t="shared" si="123"/>
        <v>0</v>
      </c>
      <c r="BP73" s="993">
        <f t="shared" si="124"/>
        <v>0</v>
      </c>
      <c r="BQ73" s="993">
        <f t="shared" si="125"/>
        <v>0</v>
      </c>
      <c r="BR73" s="993">
        <f t="shared" si="126"/>
        <v>0</v>
      </c>
      <c r="BS73" s="993">
        <f t="shared" si="127"/>
        <v>0</v>
      </c>
      <c r="BT73" s="993">
        <f t="shared" si="128"/>
        <v>0</v>
      </c>
      <c r="BU73" s="993">
        <f t="shared" si="129"/>
        <v>0</v>
      </c>
      <c r="BV73" s="993">
        <f t="shared" si="130"/>
        <v>0</v>
      </c>
      <c r="BW73" s="993">
        <f t="shared" si="131"/>
        <v>0</v>
      </c>
      <c r="BX73" s="993">
        <f t="shared" si="132"/>
        <v>0</v>
      </c>
      <c r="BY73" s="993">
        <f t="shared" si="133"/>
        <v>0</v>
      </c>
      <c r="BZ73" s="993">
        <f t="shared" si="134"/>
        <v>0</v>
      </c>
      <c r="CA73" s="993">
        <f t="shared" si="135"/>
        <v>0</v>
      </c>
      <c r="CB73" s="993">
        <f t="shared" si="136"/>
        <v>0</v>
      </c>
      <c r="CC73" s="993">
        <f t="shared" si="137"/>
        <v>0</v>
      </c>
      <c r="CD73" s="993">
        <f t="shared" si="138"/>
        <v>0</v>
      </c>
      <c r="CE73" s="993">
        <f t="shared" si="139"/>
        <v>0</v>
      </c>
      <c r="CF73" s="993">
        <f t="shared" si="140"/>
        <v>0</v>
      </c>
      <c r="CG73" s="993">
        <f t="shared" si="141"/>
        <v>0</v>
      </c>
      <c r="CH73" s="993">
        <f t="shared" si="142"/>
        <v>0</v>
      </c>
      <c r="CI73" s="993">
        <f t="shared" si="143"/>
        <v>0</v>
      </c>
      <c r="CJ73" s="993">
        <f t="shared" si="144"/>
        <v>0</v>
      </c>
      <c r="CK73" s="993">
        <f t="shared" si="145"/>
        <v>0</v>
      </c>
      <c r="CL73" s="993">
        <f t="shared" si="146"/>
        <v>0</v>
      </c>
      <c r="CM73" s="993">
        <f t="shared" si="147"/>
        <v>0</v>
      </c>
      <c r="CN73" s="993">
        <f t="shared" si="148"/>
        <v>0</v>
      </c>
      <c r="CO73" s="993">
        <f t="shared" si="149"/>
        <v>0</v>
      </c>
      <c r="CP73" s="993">
        <f t="shared" si="150"/>
        <v>0</v>
      </c>
      <c r="CQ73" s="993">
        <f t="shared" si="151"/>
        <v>0</v>
      </c>
      <c r="CR73" s="993">
        <f t="shared" si="152"/>
        <v>0</v>
      </c>
      <c r="CS73" s="993">
        <f t="shared" si="153"/>
        <v>0</v>
      </c>
      <c r="CT73" s="993">
        <f t="shared" si="154"/>
        <v>0</v>
      </c>
      <c r="CU73" s="993">
        <f t="shared" si="155"/>
        <v>0</v>
      </c>
      <c r="CV73" s="993">
        <f t="shared" si="156"/>
        <v>0</v>
      </c>
      <c r="CW73" s="993">
        <f t="shared" si="157"/>
        <v>0</v>
      </c>
      <c r="CX73" s="993">
        <f t="shared" si="158"/>
        <v>0</v>
      </c>
      <c r="CY73" s="993">
        <f t="shared" si="159"/>
        <v>0</v>
      </c>
      <c r="CZ73" s="993">
        <f t="shared" si="160"/>
        <v>0</v>
      </c>
    </row>
    <row r="74" spans="1:104" x14ac:dyDescent="0.35">
      <c r="A74" s="301" t="str">
        <f>Machine!A37</f>
        <v>Plant Grain Drill</v>
      </c>
      <c r="B74" s="993">
        <f t="shared" si="110"/>
        <v>0</v>
      </c>
      <c r="C74" s="990"/>
      <c r="D74" s="989">
        <v>0</v>
      </c>
      <c r="E74" s="989">
        <v>0</v>
      </c>
      <c r="F74" s="989">
        <v>0</v>
      </c>
      <c r="G74" s="989">
        <v>0</v>
      </c>
      <c r="H74" s="989">
        <v>0</v>
      </c>
      <c r="I74" s="989">
        <v>0</v>
      </c>
      <c r="J74" s="989">
        <v>0</v>
      </c>
      <c r="K74" s="989">
        <v>0</v>
      </c>
      <c r="L74" s="989">
        <v>0</v>
      </c>
      <c r="M74" s="989">
        <v>0</v>
      </c>
      <c r="N74" s="989">
        <v>0</v>
      </c>
      <c r="O74" s="989">
        <v>0</v>
      </c>
      <c r="P74" s="989">
        <v>0</v>
      </c>
      <c r="Q74" s="989">
        <v>1</v>
      </c>
      <c r="R74" s="989">
        <v>1</v>
      </c>
      <c r="S74" s="989">
        <v>1</v>
      </c>
      <c r="T74" s="989">
        <v>1</v>
      </c>
      <c r="U74" s="989">
        <v>0</v>
      </c>
      <c r="V74" s="989">
        <v>0</v>
      </c>
      <c r="W74" s="989">
        <v>0</v>
      </c>
      <c r="X74" s="989">
        <v>0</v>
      </c>
      <c r="Y74" s="989">
        <v>1</v>
      </c>
      <c r="Z74" s="989">
        <v>0</v>
      </c>
      <c r="AA74" s="989">
        <v>0</v>
      </c>
      <c r="AB74" s="989">
        <v>0</v>
      </c>
      <c r="AC74" s="989">
        <v>1</v>
      </c>
      <c r="AD74" s="989">
        <v>0</v>
      </c>
      <c r="AE74" s="989">
        <v>1</v>
      </c>
      <c r="AF74" s="989">
        <v>0</v>
      </c>
      <c r="AG74" s="989">
        <v>0</v>
      </c>
      <c r="AH74" s="989">
        <v>0</v>
      </c>
      <c r="AI74" s="989">
        <v>0</v>
      </c>
      <c r="AJ74" s="989">
        <v>0</v>
      </c>
      <c r="AK74" s="989">
        <v>0</v>
      </c>
      <c r="AL74" s="989">
        <v>0</v>
      </c>
      <c r="AM74" s="989">
        <v>0</v>
      </c>
      <c r="AN74" s="989">
        <v>1</v>
      </c>
      <c r="AO74" s="989">
        <v>0</v>
      </c>
      <c r="AP74" s="989"/>
      <c r="AQ74" s="989">
        <v>1</v>
      </c>
      <c r="AR74" s="989">
        <v>1</v>
      </c>
      <c r="AS74" s="989">
        <v>1</v>
      </c>
      <c r="AT74" s="989">
        <v>1</v>
      </c>
      <c r="AU74" s="989">
        <v>1</v>
      </c>
      <c r="AV74" s="989">
        <v>1</v>
      </c>
      <c r="AW74" s="989"/>
      <c r="AX74" s="989"/>
      <c r="AY74" s="989"/>
      <c r="AZ74" s="989"/>
      <c r="BA74" s="989"/>
      <c r="BB74" s="20"/>
      <c r="BC74" s="993">
        <f t="shared" si="161"/>
        <v>0</v>
      </c>
      <c r="BD74" s="993">
        <f t="shared" si="162"/>
        <v>0</v>
      </c>
      <c r="BE74" s="993">
        <f t="shared" si="163"/>
        <v>0</v>
      </c>
      <c r="BF74" s="993">
        <f t="shared" si="164"/>
        <v>0</v>
      </c>
      <c r="BG74" s="993">
        <f t="shared" si="115"/>
        <v>0</v>
      </c>
      <c r="BH74" s="993">
        <f t="shared" si="116"/>
        <v>0</v>
      </c>
      <c r="BI74" s="993">
        <f t="shared" si="117"/>
        <v>0</v>
      </c>
      <c r="BJ74" s="993">
        <f t="shared" si="118"/>
        <v>0</v>
      </c>
      <c r="BK74" s="993">
        <f t="shared" si="119"/>
        <v>0</v>
      </c>
      <c r="BL74" s="993">
        <f t="shared" si="120"/>
        <v>0</v>
      </c>
      <c r="BM74" s="993">
        <f t="shared" si="121"/>
        <v>0</v>
      </c>
      <c r="BN74" s="993">
        <f t="shared" si="122"/>
        <v>0</v>
      </c>
      <c r="BO74" s="993">
        <f t="shared" si="123"/>
        <v>0</v>
      </c>
      <c r="BP74" s="993">
        <f t="shared" si="124"/>
        <v>0</v>
      </c>
      <c r="BQ74" s="993">
        <f t="shared" si="125"/>
        <v>0</v>
      </c>
      <c r="BR74" s="993">
        <f t="shared" si="126"/>
        <v>0</v>
      </c>
      <c r="BS74" s="993">
        <f t="shared" si="127"/>
        <v>0</v>
      </c>
      <c r="BT74" s="993">
        <f t="shared" si="128"/>
        <v>0</v>
      </c>
      <c r="BU74" s="993">
        <f t="shared" si="129"/>
        <v>0</v>
      </c>
      <c r="BV74" s="993">
        <f t="shared" si="130"/>
        <v>0</v>
      </c>
      <c r="BW74" s="993">
        <f t="shared" si="131"/>
        <v>0</v>
      </c>
      <c r="BX74" s="993">
        <f t="shared" si="132"/>
        <v>0</v>
      </c>
      <c r="BY74" s="993">
        <f t="shared" si="133"/>
        <v>0</v>
      </c>
      <c r="BZ74" s="993">
        <f t="shared" si="134"/>
        <v>0</v>
      </c>
      <c r="CA74" s="993">
        <f t="shared" si="135"/>
        <v>0</v>
      </c>
      <c r="CB74" s="993">
        <f t="shared" si="136"/>
        <v>0</v>
      </c>
      <c r="CC74" s="993">
        <f t="shared" si="137"/>
        <v>0</v>
      </c>
      <c r="CD74" s="993">
        <f t="shared" si="138"/>
        <v>0</v>
      </c>
      <c r="CE74" s="993">
        <f t="shared" si="139"/>
        <v>0</v>
      </c>
      <c r="CF74" s="993">
        <f t="shared" si="140"/>
        <v>0</v>
      </c>
      <c r="CG74" s="993">
        <f t="shared" si="141"/>
        <v>0</v>
      </c>
      <c r="CH74" s="993">
        <f t="shared" si="142"/>
        <v>0</v>
      </c>
      <c r="CI74" s="993">
        <f t="shared" si="143"/>
        <v>0</v>
      </c>
      <c r="CJ74" s="993">
        <f t="shared" si="144"/>
        <v>0</v>
      </c>
      <c r="CK74" s="993">
        <f t="shared" si="145"/>
        <v>0</v>
      </c>
      <c r="CL74" s="993">
        <f t="shared" si="146"/>
        <v>0</v>
      </c>
      <c r="CM74" s="993">
        <f t="shared" si="147"/>
        <v>0</v>
      </c>
      <c r="CN74" s="993">
        <f t="shared" si="148"/>
        <v>0</v>
      </c>
      <c r="CO74" s="993">
        <f t="shared" si="149"/>
        <v>0</v>
      </c>
      <c r="CP74" s="993">
        <f t="shared" si="150"/>
        <v>0</v>
      </c>
      <c r="CQ74" s="993">
        <f t="shared" si="151"/>
        <v>0</v>
      </c>
      <c r="CR74" s="993">
        <f t="shared" si="152"/>
        <v>0</v>
      </c>
      <c r="CS74" s="993">
        <f t="shared" si="153"/>
        <v>0</v>
      </c>
      <c r="CT74" s="993">
        <f t="shared" si="154"/>
        <v>0</v>
      </c>
      <c r="CU74" s="993">
        <f t="shared" si="155"/>
        <v>0</v>
      </c>
      <c r="CV74" s="993">
        <f t="shared" si="156"/>
        <v>0</v>
      </c>
      <c r="CW74" s="993">
        <f t="shared" si="157"/>
        <v>0</v>
      </c>
      <c r="CX74" s="993">
        <f t="shared" si="158"/>
        <v>0</v>
      </c>
      <c r="CY74" s="993">
        <f t="shared" si="159"/>
        <v>0</v>
      </c>
      <c r="CZ74" s="993">
        <f t="shared" si="160"/>
        <v>0</v>
      </c>
    </row>
    <row r="75" spans="1:104" x14ac:dyDescent="0.35">
      <c r="A75" s="301" t="str">
        <f>Machine!A38</f>
        <v>Plant No-Till Air Drill</v>
      </c>
      <c r="B75" s="993">
        <f t="shared" si="110"/>
        <v>0</v>
      </c>
      <c r="C75" s="990"/>
      <c r="D75" s="989">
        <v>0</v>
      </c>
      <c r="E75" s="989">
        <v>0</v>
      </c>
      <c r="F75" s="989">
        <v>0</v>
      </c>
      <c r="G75" s="989">
        <v>0</v>
      </c>
      <c r="H75" s="989">
        <v>0</v>
      </c>
      <c r="I75" s="989">
        <v>0</v>
      </c>
      <c r="J75" s="989">
        <v>0</v>
      </c>
      <c r="K75" s="989">
        <v>0</v>
      </c>
      <c r="L75" s="989">
        <v>0</v>
      </c>
      <c r="M75" s="989">
        <v>0</v>
      </c>
      <c r="N75" s="989">
        <v>0</v>
      </c>
      <c r="O75" s="989">
        <v>0</v>
      </c>
      <c r="P75" s="989">
        <v>0</v>
      </c>
      <c r="Q75" s="989">
        <v>0</v>
      </c>
      <c r="R75" s="989">
        <v>0</v>
      </c>
      <c r="S75" s="989">
        <v>0</v>
      </c>
      <c r="T75" s="989">
        <v>0</v>
      </c>
      <c r="U75" s="989">
        <v>0</v>
      </c>
      <c r="V75" s="989">
        <v>0</v>
      </c>
      <c r="W75" s="989">
        <v>0</v>
      </c>
      <c r="X75" s="989">
        <v>0</v>
      </c>
      <c r="Y75" s="989">
        <v>0</v>
      </c>
      <c r="Z75" s="989">
        <v>0</v>
      </c>
      <c r="AA75" s="989">
        <v>0</v>
      </c>
      <c r="AB75" s="989">
        <v>0</v>
      </c>
      <c r="AC75" s="989">
        <v>0</v>
      </c>
      <c r="AD75" s="989">
        <v>0</v>
      </c>
      <c r="AE75" s="989">
        <v>0</v>
      </c>
      <c r="AF75" s="989">
        <v>0</v>
      </c>
      <c r="AG75" s="989">
        <v>0</v>
      </c>
      <c r="AH75" s="989">
        <v>0</v>
      </c>
      <c r="AI75" s="989">
        <v>0</v>
      </c>
      <c r="AJ75" s="989">
        <v>0</v>
      </c>
      <c r="AK75" s="989">
        <v>0</v>
      </c>
      <c r="AL75" s="989">
        <v>0</v>
      </c>
      <c r="AM75" s="989">
        <v>0</v>
      </c>
      <c r="AN75" s="989">
        <v>0</v>
      </c>
      <c r="AO75" s="989">
        <v>0</v>
      </c>
      <c r="AP75" s="989"/>
      <c r="AQ75" s="989">
        <v>0</v>
      </c>
      <c r="AR75" s="989">
        <v>0</v>
      </c>
      <c r="AS75" s="989">
        <v>0</v>
      </c>
      <c r="AT75" s="989">
        <v>0</v>
      </c>
      <c r="AU75" s="989">
        <v>0</v>
      </c>
      <c r="AV75" s="989">
        <v>0</v>
      </c>
      <c r="AW75" s="989"/>
      <c r="AX75" s="989"/>
      <c r="AY75" s="989"/>
      <c r="AZ75" s="989"/>
      <c r="BA75" s="989"/>
      <c r="BB75" s="20"/>
      <c r="BC75" s="993">
        <f t="shared" si="161"/>
        <v>0</v>
      </c>
      <c r="BD75" s="993">
        <f t="shared" si="162"/>
        <v>0</v>
      </c>
      <c r="BE75" s="993">
        <f t="shared" si="163"/>
        <v>0</v>
      </c>
      <c r="BF75" s="993">
        <f t="shared" si="164"/>
        <v>0</v>
      </c>
      <c r="BG75" s="993">
        <f t="shared" si="115"/>
        <v>0</v>
      </c>
      <c r="BH75" s="993">
        <f t="shared" si="116"/>
        <v>0</v>
      </c>
      <c r="BI75" s="993">
        <f t="shared" si="117"/>
        <v>0</v>
      </c>
      <c r="BJ75" s="993">
        <f t="shared" si="118"/>
        <v>0</v>
      </c>
      <c r="BK75" s="993">
        <f t="shared" si="119"/>
        <v>0</v>
      </c>
      <c r="BL75" s="993">
        <f t="shared" si="120"/>
        <v>0</v>
      </c>
      <c r="BM75" s="993">
        <f t="shared" si="121"/>
        <v>0</v>
      </c>
      <c r="BN75" s="993">
        <f t="shared" si="122"/>
        <v>0</v>
      </c>
      <c r="BO75" s="993">
        <f t="shared" si="123"/>
        <v>0</v>
      </c>
      <c r="BP75" s="993">
        <f t="shared" si="124"/>
        <v>0</v>
      </c>
      <c r="BQ75" s="993">
        <f t="shared" si="125"/>
        <v>0</v>
      </c>
      <c r="BR75" s="993">
        <f t="shared" si="126"/>
        <v>0</v>
      </c>
      <c r="BS75" s="993">
        <f t="shared" si="127"/>
        <v>0</v>
      </c>
      <c r="BT75" s="993">
        <f t="shared" si="128"/>
        <v>0</v>
      </c>
      <c r="BU75" s="993">
        <f t="shared" si="129"/>
        <v>0</v>
      </c>
      <c r="BV75" s="993">
        <f t="shared" si="130"/>
        <v>0</v>
      </c>
      <c r="BW75" s="993">
        <f t="shared" si="131"/>
        <v>0</v>
      </c>
      <c r="BX75" s="993">
        <f t="shared" si="132"/>
        <v>0</v>
      </c>
      <c r="BY75" s="993">
        <f t="shared" si="133"/>
        <v>0</v>
      </c>
      <c r="BZ75" s="993">
        <f t="shared" si="134"/>
        <v>0</v>
      </c>
      <c r="CA75" s="993">
        <f t="shared" si="135"/>
        <v>0</v>
      </c>
      <c r="CB75" s="993">
        <f t="shared" si="136"/>
        <v>0</v>
      </c>
      <c r="CC75" s="993">
        <f t="shared" si="137"/>
        <v>0</v>
      </c>
      <c r="CD75" s="993">
        <f t="shared" si="138"/>
        <v>0</v>
      </c>
      <c r="CE75" s="993">
        <f t="shared" si="139"/>
        <v>0</v>
      </c>
      <c r="CF75" s="993">
        <f t="shared" si="140"/>
        <v>0</v>
      </c>
      <c r="CG75" s="993">
        <f t="shared" si="141"/>
        <v>0</v>
      </c>
      <c r="CH75" s="993">
        <f t="shared" si="142"/>
        <v>0</v>
      </c>
      <c r="CI75" s="993">
        <f t="shared" si="143"/>
        <v>0</v>
      </c>
      <c r="CJ75" s="993">
        <f t="shared" si="144"/>
        <v>0</v>
      </c>
      <c r="CK75" s="993">
        <f t="shared" si="145"/>
        <v>0</v>
      </c>
      <c r="CL75" s="993">
        <f t="shared" si="146"/>
        <v>0</v>
      </c>
      <c r="CM75" s="993">
        <f t="shared" si="147"/>
        <v>0</v>
      </c>
      <c r="CN75" s="993">
        <f t="shared" si="148"/>
        <v>0</v>
      </c>
      <c r="CO75" s="993">
        <f t="shared" si="149"/>
        <v>0</v>
      </c>
      <c r="CP75" s="993">
        <f t="shared" si="150"/>
        <v>0</v>
      </c>
      <c r="CQ75" s="993">
        <f t="shared" si="151"/>
        <v>0</v>
      </c>
      <c r="CR75" s="993">
        <f t="shared" si="152"/>
        <v>0</v>
      </c>
      <c r="CS75" s="993">
        <f t="shared" si="153"/>
        <v>0</v>
      </c>
      <c r="CT75" s="993">
        <f t="shared" si="154"/>
        <v>0</v>
      </c>
      <c r="CU75" s="993">
        <f t="shared" si="155"/>
        <v>0</v>
      </c>
      <c r="CV75" s="993">
        <f t="shared" si="156"/>
        <v>0</v>
      </c>
      <c r="CW75" s="993">
        <f t="shared" si="157"/>
        <v>0</v>
      </c>
      <c r="CX75" s="993">
        <f t="shared" si="158"/>
        <v>0</v>
      </c>
      <c r="CY75" s="993">
        <f t="shared" si="159"/>
        <v>0</v>
      </c>
      <c r="CZ75" s="993">
        <f t="shared" si="160"/>
        <v>0</v>
      </c>
    </row>
    <row r="76" spans="1:104" x14ac:dyDescent="0.35">
      <c r="A76" s="301" t="str">
        <f>Machine!A39</f>
        <v>Liquid Fertilizer Applicator</v>
      </c>
      <c r="B76" s="993">
        <f t="shared" si="110"/>
        <v>0</v>
      </c>
      <c r="C76" s="990"/>
      <c r="D76" s="989">
        <v>0</v>
      </c>
      <c r="E76" s="989">
        <v>0</v>
      </c>
      <c r="F76" s="989">
        <v>0</v>
      </c>
      <c r="G76" s="989">
        <v>0</v>
      </c>
      <c r="H76" s="989">
        <v>0</v>
      </c>
      <c r="I76" s="989">
        <v>0</v>
      </c>
      <c r="J76" s="989">
        <v>0</v>
      </c>
      <c r="K76" s="989">
        <v>0</v>
      </c>
      <c r="L76" s="989">
        <v>0</v>
      </c>
      <c r="M76" s="989">
        <v>0</v>
      </c>
      <c r="N76" s="989">
        <v>0</v>
      </c>
      <c r="O76" s="989">
        <v>0</v>
      </c>
      <c r="P76" s="989">
        <v>0</v>
      </c>
      <c r="Q76" s="989">
        <v>0</v>
      </c>
      <c r="R76" s="989">
        <v>0</v>
      </c>
      <c r="S76" s="989">
        <v>0</v>
      </c>
      <c r="T76" s="989">
        <v>0</v>
      </c>
      <c r="U76" s="989">
        <v>0</v>
      </c>
      <c r="V76" s="989">
        <v>0</v>
      </c>
      <c r="W76" s="989">
        <v>0</v>
      </c>
      <c r="X76" s="989">
        <v>0</v>
      </c>
      <c r="Y76" s="989">
        <v>0</v>
      </c>
      <c r="Z76" s="989">
        <v>0</v>
      </c>
      <c r="AA76" s="989">
        <v>0</v>
      </c>
      <c r="AB76" s="989">
        <v>0</v>
      </c>
      <c r="AC76" s="989">
        <v>0</v>
      </c>
      <c r="AD76" s="989">
        <v>0</v>
      </c>
      <c r="AE76" s="989">
        <v>0</v>
      </c>
      <c r="AF76" s="989">
        <v>0</v>
      </c>
      <c r="AG76" s="989">
        <v>0</v>
      </c>
      <c r="AH76" s="989">
        <v>0</v>
      </c>
      <c r="AI76" s="989">
        <v>0</v>
      </c>
      <c r="AJ76" s="989">
        <v>0</v>
      </c>
      <c r="AK76" s="989">
        <v>0</v>
      </c>
      <c r="AL76" s="989">
        <v>0</v>
      </c>
      <c r="AM76" s="989">
        <v>0</v>
      </c>
      <c r="AN76" s="989">
        <v>0</v>
      </c>
      <c r="AO76" s="989">
        <v>0</v>
      </c>
      <c r="AP76" s="989"/>
      <c r="AQ76" s="989">
        <v>0</v>
      </c>
      <c r="AR76" s="989">
        <v>0</v>
      </c>
      <c r="AS76" s="989">
        <v>0</v>
      </c>
      <c r="AT76" s="989">
        <v>0</v>
      </c>
      <c r="AU76" s="989">
        <v>0</v>
      </c>
      <c r="AV76" s="989">
        <v>0</v>
      </c>
      <c r="AW76" s="989"/>
      <c r="AX76" s="989"/>
      <c r="AY76" s="989"/>
      <c r="AZ76" s="989"/>
      <c r="BA76" s="989"/>
      <c r="BB76" s="20"/>
      <c r="BC76" s="993">
        <f t="shared" si="161"/>
        <v>0</v>
      </c>
      <c r="BD76" s="993">
        <f t="shared" si="162"/>
        <v>0</v>
      </c>
      <c r="BE76" s="993">
        <f t="shared" si="163"/>
        <v>0</v>
      </c>
      <c r="BF76" s="993">
        <f t="shared" si="164"/>
        <v>0</v>
      </c>
      <c r="BG76" s="993">
        <f t="shared" si="115"/>
        <v>0</v>
      </c>
      <c r="BH76" s="993">
        <f t="shared" si="116"/>
        <v>0</v>
      </c>
      <c r="BI76" s="993">
        <f t="shared" si="117"/>
        <v>0</v>
      </c>
      <c r="BJ76" s="993">
        <f t="shared" si="118"/>
        <v>0</v>
      </c>
      <c r="BK76" s="993">
        <f t="shared" si="119"/>
        <v>0</v>
      </c>
      <c r="BL76" s="993">
        <f t="shared" si="120"/>
        <v>0</v>
      </c>
      <c r="BM76" s="993">
        <f t="shared" si="121"/>
        <v>0</v>
      </c>
      <c r="BN76" s="993">
        <f t="shared" si="122"/>
        <v>0</v>
      </c>
      <c r="BO76" s="993">
        <f t="shared" si="123"/>
        <v>0</v>
      </c>
      <c r="BP76" s="993">
        <f t="shared" si="124"/>
        <v>0</v>
      </c>
      <c r="BQ76" s="993">
        <f t="shared" si="125"/>
        <v>0</v>
      </c>
      <c r="BR76" s="993">
        <f t="shared" si="126"/>
        <v>0</v>
      </c>
      <c r="BS76" s="993">
        <f t="shared" si="127"/>
        <v>0</v>
      </c>
      <c r="BT76" s="993">
        <f t="shared" si="128"/>
        <v>0</v>
      </c>
      <c r="BU76" s="993">
        <f t="shared" si="129"/>
        <v>0</v>
      </c>
      <c r="BV76" s="993">
        <f t="shared" si="130"/>
        <v>0</v>
      </c>
      <c r="BW76" s="993">
        <f t="shared" si="131"/>
        <v>0</v>
      </c>
      <c r="BX76" s="993">
        <f t="shared" si="132"/>
        <v>0</v>
      </c>
      <c r="BY76" s="993">
        <f t="shared" si="133"/>
        <v>0</v>
      </c>
      <c r="BZ76" s="993">
        <f t="shared" si="134"/>
        <v>0</v>
      </c>
      <c r="CA76" s="993">
        <f t="shared" si="135"/>
        <v>0</v>
      </c>
      <c r="CB76" s="993">
        <f t="shared" si="136"/>
        <v>0</v>
      </c>
      <c r="CC76" s="993">
        <f t="shared" si="137"/>
        <v>0</v>
      </c>
      <c r="CD76" s="993">
        <f t="shared" si="138"/>
        <v>0</v>
      </c>
      <c r="CE76" s="993">
        <f t="shared" si="139"/>
        <v>0</v>
      </c>
      <c r="CF76" s="993">
        <f t="shared" si="140"/>
        <v>0</v>
      </c>
      <c r="CG76" s="993">
        <f t="shared" si="141"/>
        <v>0</v>
      </c>
      <c r="CH76" s="993">
        <f t="shared" si="142"/>
        <v>0</v>
      </c>
      <c r="CI76" s="993">
        <f t="shared" si="143"/>
        <v>0</v>
      </c>
      <c r="CJ76" s="993">
        <f t="shared" si="144"/>
        <v>0</v>
      </c>
      <c r="CK76" s="993">
        <f t="shared" si="145"/>
        <v>0</v>
      </c>
      <c r="CL76" s="993">
        <f t="shared" si="146"/>
        <v>0</v>
      </c>
      <c r="CM76" s="993">
        <f t="shared" si="147"/>
        <v>0</v>
      </c>
      <c r="CN76" s="993">
        <f t="shared" si="148"/>
        <v>0</v>
      </c>
      <c r="CO76" s="993">
        <f t="shared" si="149"/>
        <v>0</v>
      </c>
      <c r="CP76" s="993">
        <f t="shared" si="150"/>
        <v>0</v>
      </c>
      <c r="CQ76" s="993">
        <f t="shared" si="151"/>
        <v>0</v>
      </c>
      <c r="CR76" s="993">
        <f t="shared" si="152"/>
        <v>0</v>
      </c>
      <c r="CS76" s="993">
        <f t="shared" si="153"/>
        <v>0</v>
      </c>
      <c r="CT76" s="993">
        <f t="shared" si="154"/>
        <v>0</v>
      </c>
      <c r="CU76" s="993">
        <f t="shared" si="155"/>
        <v>0</v>
      </c>
      <c r="CV76" s="993">
        <f t="shared" si="156"/>
        <v>0</v>
      </c>
      <c r="CW76" s="993">
        <f t="shared" si="157"/>
        <v>0</v>
      </c>
      <c r="CX76" s="993">
        <f t="shared" si="158"/>
        <v>0</v>
      </c>
      <c r="CY76" s="993">
        <f t="shared" si="159"/>
        <v>0</v>
      </c>
      <c r="CZ76" s="993">
        <f t="shared" si="160"/>
        <v>0</v>
      </c>
    </row>
    <row r="77" spans="1:104" x14ac:dyDescent="0.35">
      <c r="A77" s="301" t="str">
        <f>Machine!A40</f>
        <v>Fertilizer, Knife Rig 12 Row</v>
      </c>
      <c r="B77" s="993">
        <f t="shared" si="110"/>
        <v>0</v>
      </c>
      <c r="C77" s="990"/>
      <c r="D77" s="989">
        <v>0</v>
      </c>
      <c r="E77" s="989">
        <v>0</v>
      </c>
      <c r="F77" s="989">
        <v>0</v>
      </c>
      <c r="G77" s="989">
        <v>0</v>
      </c>
      <c r="H77" s="989">
        <v>0</v>
      </c>
      <c r="I77" s="989">
        <v>0</v>
      </c>
      <c r="J77" s="989">
        <v>0</v>
      </c>
      <c r="K77" s="989">
        <v>0</v>
      </c>
      <c r="L77" s="989">
        <v>0</v>
      </c>
      <c r="M77" s="989">
        <v>0</v>
      </c>
      <c r="N77" s="989">
        <v>0</v>
      </c>
      <c r="O77" s="989">
        <v>0</v>
      </c>
      <c r="P77" s="989">
        <v>0</v>
      </c>
      <c r="Q77" s="989">
        <v>0</v>
      </c>
      <c r="R77" s="989">
        <v>0</v>
      </c>
      <c r="S77" s="989">
        <v>0</v>
      </c>
      <c r="T77" s="989">
        <v>0</v>
      </c>
      <c r="U77" s="989">
        <v>0</v>
      </c>
      <c r="V77" s="989">
        <v>0</v>
      </c>
      <c r="W77" s="989">
        <v>0</v>
      </c>
      <c r="X77" s="989">
        <v>0</v>
      </c>
      <c r="Y77" s="989">
        <v>0</v>
      </c>
      <c r="Z77" s="989">
        <v>0</v>
      </c>
      <c r="AA77" s="989">
        <v>0</v>
      </c>
      <c r="AB77" s="989">
        <v>0</v>
      </c>
      <c r="AC77" s="989">
        <v>0</v>
      </c>
      <c r="AD77" s="989">
        <v>0</v>
      </c>
      <c r="AE77" s="989">
        <v>0</v>
      </c>
      <c r="AF77" s="989">
        <v>0</v>
      </c>
      <c r="AG77" s="989">
        <v>0</v>
      </c>
      <c r="AH77" s="989">
        <v>0</v>
      </c>
      <c r="AI77" s="989">
        <v>0</v>
      </c>
      <c r="AJ77" s="989">
        <v>0</v>
      </c>
      <c r="AK77" s="989">
        <v>0</v>
      </c>
      <c r="AL77" s="989">
        <v>0</v>
      </c>
      <c r="AM77" s="989">
        <v>0</v>
      </c>
      <c r="AN77" s="989">
        <v>0</v>
      </c>
      <c r="AO77" s="989">
        <v>0</v>
      </c>
      <c r="AP77" s="989"/>
      <c r="AQ77" s="989">
        <v>0</v>
      </c>
      <c r="AR77" s="989">
        <v>0</v>
      </c>
      <c r="AS77" s="989">
        <v>0</v>
      </c>
      <c r="AT77" s="989">
        <v>0</v>
      </c>
      <c r="AU77" s="989">
        <v>0</v>
      </c>
      <c r="AV77" s="989">
        <v>0</v>
      </c>
      <c r="AW77" s="989"/>
      <c r="AX77" s="989"/>
      <c r="AY77" s="989"/>
      <c r="AZ77" s="989"/>
      <c r="BA77" s="989"/>
      <c r="BB77" s="20"/>
      <c r="BC77" s="993">
        <f t="shared" si="161"/>
        <v>0</v>
      </c>
      <c r="BD77" s="993">
        <f t="shared" si="162"/>
        <v>0</v>
      </c>
      <c r="BE77" s="993">
        <f t="shared" si="163"/>
        <v>0</v>
      </c>
      <c r="BF77" s="993">
        <f t="shared" si="164"/>
        <v>0</v>
      </c>
      <c r="BG77" s="993">
        <f t="shared" si="115"/>
        <v>0</v>
      </c>
      <c r="BH77" s="993">
        <f t="shared" si="116"/>
        <v>0</v>
      </c>
      <c r="BI77" s="993">
        <f t="shared" si="117"/>
        <v>0</v>
      </c>
      <c r="BJ77" s="993">
        <f t="shared" si="118"/>
        <v>0</v>
      </c>
      <c r="BK77" s="993">
        <f t="shared" si="119"/>
        <v>0</v>
      </c>
      <c r="BL77" s="993">
        <f t="shared" si="120"/>
        <v>0</v>
      </c>
      <c r="BM77" s="993">
        <f t="shared" si="121"/>
        <v>0</v>
      </c>
      <c r="BN77" s="993">
        <f t="shared" si="122"/>
        <v>0</v>
      </c>
      <c r="BO77" s="993">
        <f t="shared" si="123"/>
        <v>0</v>
      </c>
      <c r="BP77" s="993">
        <f t="shared" si="124"/>
        <v>0</v>
      </c>
      <c r="BQ77" s="993">
        <f t="shared" si="125"/>
        <v>0</v>
      </c>
      <c r="BR77" s="993">
        <f t="shared" si="126"/>
        <v>0</v>
      </c>
      <c r="BS77" s="993">
        <f t="shared" si="127"/>
        <v>0</v>
      </c>
      <c r="BT77" s="993">
        <f t="shared" si="128"/>
        <v>0</v>
      </c>
      <c r="BU77" s="993">
        <f t="shared" si="129"/>
        <v>0</v>
      </c>
      <c r="BV77" s="993">
        <f t="shared" si="130"/>
        <v>0</v>
      </c>
      <c r="BW77" s="993">
        <f t="shared" si="131"/>
        <v>0</v>
      </c>
      <c r="BX77" s="993">
        <f t="shared" si="132"/>
        <v>0</v>
      </c>
      <c r="BY77" s="993">
        <f t="shared" si="133"/>
        <v>0</v>
      </c>
      <c r="BZ77" s="993">
        <f t="shared" si="134"/>
        <v>0</v>
      </c>
      <c r="CA77" s="993">
        <f t="shared" si="135"/>
        <v>0</v>
      </c>
      <c r="CB77" s="993">
        <f t="shared" si="136"/>
        <v>0</v>
      </c>
      <c r="CC77" s="993">
        <f t="shared" si="137"/>
        <v>0</v>
      </c>
      <c r="CD77" s="993">
        <f t="shared" si="138"/>
        <v>0</v>
      </c>
      <c r="CE77" s="993">
        <f t="shared" si="139"/>
        <v>0</v>
      </c>
      <c r="CF77" s="993">
        <f t="shared" si="140"/>
        <v>0</v>
      </c>
      <c r="CG77" s="993">
        <f t="shared" si="141"/>
        <v>0</v>
      </c>
      <c r="CH77" s="993">
        <f t="shared" si="142"/>
        <v>0</v>
      </c>
      <c r="CI77" s="993">
        <f t="shared" si="143"/>
        <v>0</v>
      </c>
      <c r="CJ77" s="993">
        <f t="shared" si="144"/>
        <v>0</v>
      </c>
      <c r="CK77" s="993">
        <f t="shared" si="145"/>
        <v>0</v>
      </c>
      <c r="CL77" s="993">
        <f t="shared" si="146"/>
        <v>0</v>
      </c>
      <c r="CM77" s="993">
        <f t="shared" si="147"/>
        <v>0</v>
      </c>
      <c r="CN77" s="993">
        <f t="shared" si="148"/>
        <v>0</v>
      </c>
      <c r="CO77" s="993">
        <f t="shared" si="149"/>
        <v>0</v>
      </c>
      <c r="CP77" s="993">
        <f t="shared" si="150"/>
        <v>0</v>
      </c>
      <c r="CQ77" s="993">
        <f t="shared" si="151"/>
        <v>0</v>
      </c>
      <c r="CR77" s="993">
        <f t="shared" si="152"/>
        <v>0</v>
      </c>
      <c r="CS77" s="993">
        <f t="shared" si="153"/>
        <v>0</v>
      </c>
      <c r="CT77" s="993">
        <f t="shared" si="154"/>
        <v>0</v>
      </c>
      <c r="CU77" s="993">
        <f t="shared" si="155"/>
        <v>0</v>
      </c>
      <c r="CV77" s="993">
        <f t="shared" si="156"/>
        <v>0</v>
      </c>
      <c r="CW77" s="993">
        <f t="shared" si="157"/>
        <v>0</v>
      </c>
      <c r="CX77" s="993">
        <f t="shared" si="158"/>
        <v>0</v>
      </c>
      <c r="CY77" s="993">
        <f t="shared" si="159"/>
        <v>0</v>
      </c>
      <c r="CZ77" s="993">
        <f t="shared" si="160"/>
        <v>0</v>
      </c>
    </row>
    <row r="78" spans="1:104" x14ac:dyDescent="0.35">
      <c r="A78" s="301" t="str">
        <f>Machine!A41</f>
        <v>Polypipe; Roll Out, Punch, Take Up</v>
      </c>
      <c r="B78" s="993">
        <f t="shared" si="110"/>
        <v>1</v>
      </c>
      <c r="C78" s="990"/>
      <c r="D78" s="989">
        <v>1</v>
      </c>
      <c r="E78" s="989">
        <v>0</v>
      </c>
      <c r="F78" s="989">
        <v>0</v>
      </c>
      <c r="G78" s="989">
        <v>1</v>
      </c>
      <c r="H78" s="989">
        <v>0</v>
      </c>
      <c r="I78" s="989">
        <v>0</v>
      </c>
      <c r="J78" s="989">
        <v>1</v>
      </c>
      <c r="K78" s="989">
        <v>0</v>
      </c>
      <c r="L78" s="989">
        <v>0</v>
      </c>
      <c r="M78" s="989">
        <v>1</v>
      </c>
      <c r="N78" s="989">
        <v>1</v>
      </c>
      <c r="O78" s="989">
        <v>0</v>
      </c>
      <c r="P78" s="989">
        <v>0</v>
      </c>
      <c r="Q78" s="989">
        <v>0</v>
      </c>
      <c r="R78" s="989">
        <v>0</v>
      </c>
      <c r="S78" s="989">
        <v>0</v>
      </c>
      <c r="T78" s="989">
        <v>0</v>
      </c>
      <c r="U78" s="989">
        <v>0</v>
      </c>
      <c r="V78" s="989">
        <v>1</v>
      </c>
      <c r="W78" s="989">
        <v>0</v>
      </c>
      <c r="X78" s="989">
        <v>0</v>
      </c>
      <c r="Y78" s="989">
        <v>0</v>
      </c>
      <c r="Z78" s="989">
        <v>1</v>
      </c>
      <c r="AA78" s="989">
        <v>0</v>
      </c>
      <c r="AB78" s="989">
        <v>0</v>
      </c>
      <c r="AC78" s="989">
        <v>0</v>
      </c>
      <c r="AD78" s="989">
        <v>1</v>
      </c>
      <c r="AE78" s="989">
        <v>0</v>
      </c>
      <c r="AF78" s="989">
        <v>1</v>
      </c>
      <c r="AG78" s="989">
        <v>0</v>
      </c>
      <c r="AH78" s="989">
        <v>0</v>
      </c>
      <c r="AI78" s="989">
        <v>0</v>
      </c>
      <c r="AJ78" s="989">
        <v>0</v>
      </c>
      <c r="AK78" s="989">
        <v>0</v>
      </c>
      <c r="AL78" s="989">
        <v>0</v>
      </c>
      <c r="AM78" s="989">
        <v>0</v>
      </c>
      <c r="AN78" s="989">
        <v>0</v>
      </c>
      <c r="AO78" s="989">
        <v>1</v>
      </c>
      <c r="AP78" s="989"/>
      <c r="AQ78" s="989">
        <v>1</v>
      </c>
      <c r="AR78" s="989">
        <v>1</v>
      </c>
      <c r="AS78" s="989">
        <v>1</v>
      </c>
      <c r="AT78" s="989">
        <v>1</v>
      </c>
      <c r="AU78" s="989">
        <v>0</v>
      </c>
      <c r="AV78" s="989">
        <v>0</v>
      </c>
      <c r="AW78" s="989"/>
      <c r="AX78" s="989"/>
      <c r="AY78" s="989"/>
      <c r="AZ78" s="989"/>
      <c r="BA78" s="989"/>
      <c r="BB78" s="20"/>
      <c r="BC78" s="993">
        <f t="shared" si="161"/>
        <v>0</v>
      </c>
      <c r="BD78" s="993">
        <f t="shared" si="162"/>
        <v>0</v>
      </c>
      <c r="BE78" s="993">
        <f t="shared" si="163"/>
        <v>0</v>
      </c>
      <c r="BF78" s="993">
        <f t="shared" si="164"/>
        <v>0</v>
      </c>
      <c r="BG78" s="993">
        <f t="shared" si="115"/>
        <v>0</v>
      </c>
      <c r="BH78" s="993">
        <f t="shared" si="116"/>
        <v>0</v>
      </c>
      <c r="BI78" s="993">
        <f t="shared" si="117"/>
        <v>0</v>
      </c>
      <c r="BJ78" s="993">
        <f t="shared" si="118"/>
        <v>0</v>
      </c>
      <c r="BK78" s="993">
        <f t="shared" si="119"/>
        <v>0</v>
      </c>
      <c r="BL78" s="993">
        <f t="shared" si="120"/>
        <v>0</v>
      </c>
      <c r="BM78" s="993">
        <f t="shared" si="121"/>
        <v>1</v>
      </c>
      <c r="BN78" s="993">
        <f t="shared" si="122"/>
        <v>0</v>
      </c>
      <c r="BO78" s="993">
        <f t="shared" si="123"/>
        <v>0</v>
      </c>
      <c r="BP78" s="993">
        <f t="shared" si="124"/>
        <v>0</v>
      </c>
      <c r="BQ78" s="993">
        <f t="shared" si="125"/>
        <v>0</v>
      </c>
      <c r="BR78" s="993">
        <f t="shared" si="126"/>
        <v>0</v>
      </c>
      <c r="BS78" s="993">
        <f t="shared" si="127"/>
        <v>0</v>
      </c>
      <c r="BT78" s="993">
        <f t="shared" si="128"/>
        <v>0</v>
      </c>
      <c r="BU78" s="993">
        <f t="shared" si="129"/>
        <v>0</v>
      </c>
      <c r="BV78" s="993">
        <f t="shared" si="130"/>
        <v>0</v>
      </c>
      <c r="BW78" s="993">
        <f t="shared" si="131"/>
        <v>0</v>
      </c>
      <c r="BX78" s="993">
        <f t="shared" si="132"/>
        <v>0</v>
      </c>
      <c r="BY78" s="993">
        <f t="shared" si="133"/>
        <v>0</v>
      </c>
      <c r="BZ78" s="993">
        <f t="shared" si="134"/>
        <v>0</v>
      </c>
      <c r="CA78" s="993">
        <f t="shared" si="135"/>
        <v>0</v>
      </c>
      <c r="CB78" s="993">
        <f t="shared" si="136"/>
        <v>0</v>
      </c>
      <c r="CC78" s="993">
        <f t="shared" si="137"/>
        <v>0</v>
      </c>
      <c r="CD78" s="993">
        <f t="shared" si="138"/>
        <v>0</v>
      </c>
      <c r="CE78" s="993">
        <f t="shared" si="139"/>
        <v>0</v>
      </c>
      <c r="CF78" s="993">
        <f t="shared" si="140"/>
        <v>0</v>
      </c>
      <c r="CG78" s="993">
        <f t="shared" si="141"/>
        <v>0</v>
      </c>
      <c r="CH78" s="993">
        <f t="shared" si="142"/>
        <v>0</v>
      </c>
      <c r="CI78" s="993">
        <f t="shared" si="143"/>
        <v>0</v>
      </c>
      <c r="CJ78" s="993">
        <f t="shared" si="144"/>
        <v>0</v>
      </c>
      <c r="CK78" s="993">
        <f t="shared" si="145"/>
        <v>0</v>
      </c>
      <c r="CL78" s="993">
        <f t="shared" si="146"/>
        <v>0</v>
      </c>
      <c r="CM78" s="993">
        <f t="shared" si="147"/>
        <v>0</v>
      </c>
      <c r="CN78" s="993">
        <f t="shared" si="148"/>
        <v>0</v>
      </c>
      <c r="CO78" s="993">
        <f t="shared" si="149"/>
        <v>0</v>
      </c>
      <c r="CP78" s="993">
        <f t="shared" si="150"/>
        <v>0</v>
      </c>
      <c r="CQ78" s="993">
        <f t="shared" si="151"/>
        <v>0</v>
      </c>
      <c r="CR78" s="993">
        <f t="shared" si="152"/>
        <v>0</v>
      </c>
      <c r="CS78" s="993">
        <f t="shared" si="153"/>
        <v>0</v>
      </c>
      <c r="CT78" s="993">
        <f t="shared" si="154"/>
        <v>0</v>
      </c>
      <c r="CU78" s="993">
        <f t="shared" si="155"/>
        <v>0</v>
      </c>
      <c r="CV78" s="993">
        <f t="shared" si="156"/>
        <v>0</v>
      </c>
      <c r="CW78" s="993">
        <f t="shared" si="157"/>
        <v>0</v>
      </c>
      <c r="CX78" s="993">
        <f t="shared" si="158"/>
        <v>0</v>
      </c>
      <c r="CY78" s="993">
        <f t="shared" si="159"/>
        <v>0</v>
      </c>
      <c r="CZ78" s="993">
        <f t="shared" si="160"/>
        <v>0</v>
      </c>
    </row>
    <row r="79" spans="1:104" x14ac:dyDescent="0.35">
      <c r="A79" s="301" t="str">
        <f>Machine!A42</f>
        <v>Hooded Sprayer</v>
      </c>
      <c r="B79" s="993">
        <f t="shared" si="110"/>
        <v>0</v>
      </c>
      <c r="C79" s="990"/>
      <c r="D79" s="989">
        <v>0</v>
      </c>
      <c r="E79" s="989">
        <v>0</v>
      </c>
      <c r="F79" s="989">
        <v>0</v>
      </c>
      <c r="G79" s="989">
        <v>0</v>
      </c>
      <c r="H79" s="989">
        <v>0</v>
      </c>
      <c r="I79" s="989">
        <v>0</v>
      </c>
      <c r="J79" s="989">
        <v>0</v>
      </c>
      <c r="K79" s="989">
        <v>0</v>
      </c>
      <c r="L79" s="989">
        <v>1</v>
      </c>
      <c r="M79" s="989">
        <v>2</v>
      </c>
      <c r="N79" s="989">
        <v>0</v>
      </c>
      <c r="O79" s="989">
        <v>0</v>
      </c>
      <c r="P79" s="989">
        <v>0</v>
      </c>
      <c r="Q79" s="989">
        <v>0</v>
      </c>
      <c r="R79" s="989">
        <v>0</v>
      </c>
      <c r="S79" s="989">
        <v>0</v>
      </c>
      <c r="T79" s="989">
        <v>0</v>
      </c>
      <c r="U79" s="989">
        <v>0</v>
      </c>
      <c r="V79" s="989">
        <v>0</v>
      </c>
      <c r="W79" s="989">
        <v>0</v>
      </c>
      <c r="X79" s="989">
        <v>0</v>
      </c>
      <c r="Y79" s="989">
        <v>0</v>
      </c>
      <c r="Z79" s="989">
        <v>0</v>
      </c>
      <c r="AA79" s="989">
        <v>0</v>
      </c>
      <c r="AB79" s="989">
        <v>0</v>
      </c>
      <c r="AC79" s="989">
        <v>0</v>
      </c>
      <c r="AD79" s="989">
        <v>0</v>
      </c>
      <c r="AE79" s="989">
        <v>0</v>
      </c>
      <c r="AF79" s="989">
        <v>0</v>
      </c>
      <c r="AG79" s="989">
        <v>0</v>
      </c>
      <c r="AH79" s="989">
        <v>0</v>
      </c>
      <c r="AI79" s="989">
        <v>0</v>
      </c>
      <c r="AJ79" s="989">
        <v>0</v>
      </c>
      <c r="AK79" s="989">
        <v>0</v>
      </c>
      <c r="AL79" s="989">
        <v>0</v>
      </c>
      <c r="AM79" s="989">
        <v>0</v>
      </c>
      <c r="AN79" s="989">
        <v>0</v>
      </c>
      <c r="AO79" s="989">
        <v>2</v>
      </c>
      <c r="AP79" s="989"/>
      <c r="AQ79" s="989">
        <v>0</v>
      </c>
      <c r="AR79" s="989">
        <v>0</v>
      </c>
      <c r="AS79" s="989">
        <v>0</v>
      </c>
      <c r="AT79" s="989">
        <v>0</v>
      </c>
      <c r="AU79" s="989">
        <v>0</v>
      </c>
      <c r="AV79" s="989">
        <v>0</v>
      </c>
      <c r="AW79" s="989"/>
      <c r="AX79" s="989"/>
      <c r="AY79" s="989"/>
      <c r="AZ79" s="989"/>
      <c r="BA79" s="989"/>
      <c r="BB79" s="20"/>
      <c r="BC79" s="993">
        <f t="shared" si="161"/>
        <v>0</v>
      </c>
      <c r="BD79" s="993">
        <f t="shared" si="162"/>
        <v>0</v>
      </c>
      <c r="BE79" s="993">
        <f t="shared" si="163"/>
        <v>0</v>
      </c>
      <c r="BF79" s="993">
        <f t="shared" si="164"/>
        <v>0</v>
      </c>
      <c r="BG79" s="993">
        <f t="shared" si="115"/>
        <v>0</v>
      </c>
      <c r="BH79" s="993">
        <f t="shared" si="116"/>
        <v>0</v>
      </c>
      <c r="BI79" s="993">
        <f t="shared" si="117"/>
        <v>0</v>
      </c>
      <c r="BJ79" s="993">
        <f t="shared" si="118"/>
        <v>0</v>
      </c>
      <c r="BK79" s="993">
        <f t="shared" si="119"/>
        <v>0</v>
      </c>
      <c r="BL79" s="993">
        <f t="shared" si="120"/>
        <v>0</v>
      </c>
      <c r="BM79" s="993">
        <f t="shared" si="121"/>
        <v>0</v>
      </c>
      <c r="BN79" s="993">
        <f t="shared" si="122"/>
        <v>0</v>
      </c>
      <c r="BO79" s="993">
        <f t="shared" si="123"/>
        <v>0</v>
      </c>
      <c r="BP79" s="993">
        <f t="shared" si="124"/>
        <v>0</v>
      </c>
      <c r="BQ79" s="993">
        <f t="shared" si="125"/>
        <v>0</v>
      </c>
      <c r="BR79" s="993">
        <f t="shared" si="126"/>
        <v>0</v>
      </c>
      <c r="BS79" s="993">
        <f t="shared" si="127"/>
        <v>0</v>
      </c>
      <c r="BT79" s="993">
        <f t="shared" si="128"/>
        <v>0</v>
      </c>
      <c r="BU79" s="993">
        <f t="shared" si="129"/>
        <v>0</v>
      </c>
      <c r="BV79" s="993">
        <f t="shared" si="130"/>
        <v>0</v>
      </c>
      <c r="BW79" s="993">
        <f t="shared" si="131"/>
        <v>0</v>
      </c>
      <c r="BX79" s="993">
        <f t="shared" si="132"/>
        <v>0</v>
      </c>
      <c r="BY79" s="993">
        <f t="shared" si="133"/>
        <v>0</v>
      </c>
      <c r="BZ79" s="993">
        <f t="shared" si="134"/>
        <v>0</v>
      </c>
      <c r="CA79" s="993">
        <f t="shared" si="135"/>
        <v>0</v>
      </c>
      <c r="CB79" s="993">
        <f t="shared" si="136"/>
        <v>0</v>
      </c>
      <c r="CC79" s="993">
        <f t="shared" si="137"/>
        <v>0</v>
      </c>
      <c r="CD79" s="993">
        <f t="shared" si="138"/>
        <v>0</v>
      </c>
      <c r="CE79" s="993">
        <f t="shared" si="139"/>
        <v>0</v>
      </c>
      <c r="CF79" s="993">
        <f t="shared" si="140"/>
        <v>0</v>
      </c>
      <c r="CG79" s="993">
        <f t="shared" si="141"/>
        <v>0</v>
      </c>
      <c r="CH79" s="993">
        <f t="shared" si="142"/>
        <v>0</v>
      </c>
      <c r="CI79" s="993">
        <f t="shared" si="143"/>
        <v>0</v>
      </c>
      <c r="CJ79" s="993">
        <f t="shared" si="144"/>
        <v>0</v>
      </c>
      <c r="CK79" s="993">
        <f t="shared" si="145"/>
        <v>0</v>
      </c>
      <c r="CL79" s="993">
        <f t="shared" si="146"/>
        <v>0</v>
      </c>
      <c r="CM79" s="993">
        <f t="shared" si="147"/>
        <v>0</v>
      </c>
      <c r="CN79" s="993">
        <f t="shared" si="148"/>
        <v>0</v>
      </c>
      <c r="CO79" s="993">
        <f t="shared" si="149"/>
        <v>0</v>
      </c>
      <c r="CP79" s="993">
        <f t="shared" si="150"/>
        <v>0</v>
      </c>
      <c r="CQ79" s="993">
        <f t="shared" si="151"/>
        <v>0</v>
      </c>
      <c r="CR79" s="993">
        <f t="shared" si="152"/>
        <v>0</v>
      </c>
      <c r="CS79" s="993">
        <f t="shared" si="153"/>
        <v>0</v>
      </c>
      <c r="CT79" s="993">
        <f t="shared" si="154"/>
        <v>0</v>
      </c>
      <c r="CU79" s="993">
        <f t="shared" si="155"/>
        <v>0</v>
      </c>
      <c r="CV79" s="993">
        <f t="shared" si="156"/>
        <v>0</v>
      </c>
      <c r="CW79" s="993">
        <f t="shared" si="157"/>
        <v>0</v>
      </c>
      <c r="CX79" s="993">
        <f t="shared" si="158"/>
        <v>0</v>
      </c>
      <c r="CY79" s="993">
        <f t="shared" si="159"/>
        <v>0</v>
      </c>
      <c r="CZ79" s="993">
        <f t="shared" si="160"/>
        <v>0</v>
      </c>
    </row>
    <row r="80" spans="1:104" x14ac:dyDescent="0.35">
      <c r="A80" s="301" t="str">
        <f>Machine!A43</f>
        <v>Levee Pull</v>
      </c>
      <c r="B80" s="993">
        <f t="shared" si="110"/>
        <v>0</v>
      </c>
      <c r="C80" s="990"/>
      <c r="D80" s="989">
        <v>0</v>
      </c>
      <c r="E80" s="989">
        <v>0</v>
      </c>
      <c r="F80" s="989">
        <v>0</v>
      </c>
      <c r="G80" s="989">
        <v>0</v>
      </c>
      <c r="H80" s="989">
        <v>0</v>
      </c>
      <c r="I80" s="989">
        <v>0</v>
      </c>
      <c r="J80" s="989">
        <v>0</v>
      </c>
      <c r="K80" s="989">
        <v>0</v>
      </c>
      <c r="L80" s="989">
        <v>0</v>
      </c>
      <c r="M80" s="989">
        <v>0</v>
      </c>
      <c r="N80" s="989">
        <v>0</v>
      </c>
      <c r="O80" s="989">
        <v>0</v>
      </c>
      <c r="P80" s="989">
        <v>0</v>
      </c>
      <c r="Q80" s="989">
        <v>3</v>
      </c>
      <c r="R80" s="989">
        <v>3</v>
      </c>
      <c r="S80" s="989">
        <v>3</v>
      </c>
      <c r="T80" s="989">
        <v>3</v>
      </c>
      <c r="U80" s="989">
        <v>0</v>
      </c>
      <c r="V80" s="989">
        <v>0</v>
      </c>
      <c r="W80" s="989">
        <v>0</v>
      </c>
      <c r="X80" s="989">
        <v>0</v>
      </c>
      <c r="Y80" s="989">
        <v>2</v>
      </c>
      <c r="Z80" s="989">
        <v>0</v>
      </c>
      <c r="AA80" s="989">
        <v>0</v>
      </c>
      <c r="AB80" s="989">
        <v>0</v>
      </c>
      <c r="AC80" s="989">
        <v>2</v>
      </c>
      <c r="AD80" s="989">
        <v>0</v>
      </c>
      <c r="AE80" s="989">
        <v>0</v>
      </c>
      <c r="AF80" s="989">
        <v>0</v>
      </c>
      <c r="AG80" s="989">
        <v>0</v>
      </c>
      <c r="AH80" s="989">
        <v>0</v>
      </c>
      <c r="AI80" s="989">
        <v>0</v>
      </c>
      <c r="AJ80" s="989">
        <v>0</v>
      </c>
      <c r="AK80" s="989">
        <v>0</v>
      </c>
      <c r="AL80" s="989">
        <v>0</v>
      </c>
      <c r="AM80" s="989">
        <v>0</v>
      </c>
      <c r="AN80" s="989">
        <v>2</v>
      </c>
      <c r="AO80" s="989">
        <v>0</v>
      </c>
      <c r="AP80" s="989"/>
      <c r="AQ80" s="989">
        <v>3</v>
      </c>
      <c r="AR80" s="989">
        <v>3</v>
      </c>
      <c r="AS80" s="989">
        <v>3</v>
      </c>
      <c r="AT80" s="989">
        <v>3</v>
      </c>
      <c r="AU80" s="989">
        <v>3</v>
      </c>
      <c r="AV80" s="989">
        <v>3</v>
      </c>
      <c r="AW80" s="989"/>
      <c r="AX80" s="989"/>
      <c r="AY80" s="989"/>
      <c r="AZ80" s="989"/>
      <c r="BA80" s="989"/>
      <c r="BB80" s="20"/>
      <c r="BC80" s="993">
        <f t="shared" si="161"/>
        <v>0</v>
      </c>
      <c r="BD80" s="993">
        <f t="shared" si="162"/>
        <v>0</v>
      </c>
      <c r="BE80" s="993">
        <f t="shared" si="163"/>
        <v>0</v>
      </c>
      <c r="BF80" s="993">
        <f t="shared" si="164"/>
        <v>0</v>
      </c>
      <c r="BG80" s="993">
        <f t="shared" si="115"/>
        <v>0</v>
      </c>
      <c r="BH80" s="993">
        <f t="shared" si="116"/>
        <v>0</v>
      </c>
      <c r="BI80" s="993">
        <f t="shared" si="117"/>
        <v>0</v>
      </c>
      <c r="BJ80" s="993">
        <f t="shared" si="118"/>
        <v>0</v>
      </c>
      <c r="BK80" s="993">
        <f t="shared" si="119"/>
        <v>0</v>
      </c>
      <c r="BL80" s="993">
        <f t="shared" si="120"/>
        <v>0</v>
      </c>
      <c r="BM80" s="993">
        <f t="shared" si="121"/>
        <v>0</v>
      </c>
      <c r="BN80" s="993">
        <f t="shared" si="122"/>
        <v>0</v>
      </c>
      <c r="BO80" s="993">
        <f t="shared" si="123"/>
        <v>0</v>
      </c>
      <c r="BP80" s="993">
        <f t="shared" si="124"/>
        <v>0</v>
      </c>
      <c r="BQ80" s="993">
        <f t="shared" si="125"/>
        <v>0</v>
      </c>
      <c r="BR80" s="993">
        <f t="shared" si="126"/>
        <v>0</v>
      </c>
      <c r="BS80" s="993">
        <f t="shared" si="127"/>
        <v>0</v>
      </c>
      <c r="BT80" s="993">
        <f t="shared" si="128"/>
        <v>0</v>
      </c>
      <c r="BU80" s="993">
        <f t="shared" si="129"/>
        <v>0</v>
      </c>
      <c r="BV80" s="993">
        <f t="shared" si="130"/>
        <v>0</v>
      </c>
      <c r="BW80" s="993">
        <f t="shared" si="131"/>
        <v>0</v>
      </c>
      <c r="BX80" s="993">
        <f t="shared" si="132"/>
        <v>0</v>
      </c>
      <c r="BY80" s="993">
        <f t="shared" si="133"/>
        <v>0</v>
      </c>
      <c r="BZ80" s="993">
        <f t="shared" si="134"/>
        <v>0</v>
      </c>
      <c r="CA80" s="993">
        <f t="shared" si="135"/>
        <v>0</v>
      </c>
      <c r="CB80" s="993">
        <f t="shared" si="136"/>
        <v>0</v>
      </c>
      <c r="CC80" s="993">
        <f t="shared" si="137"/>
        <v>0</v>
      </c>
      <c r="CD80" s="993">
        <f t="shared" si="138"/>
        <v>0</v>
      </c>
      <c r="CE80" s="993">
        <f t="shared" si="139"/>
        <v>0</v>
      </c>
      <c r="CF80" s="993">
        <f t="shared" si="140"/>
        <v>0</v>
      </c>
      <c r="CG80" s="993">
        <f t="shared" si="141"/>
        <v>0</v>
      </c>
      <c r="CH80" s="993">
        <f t="shared" si="142"/>
        <v>0</v>
      </c>
      <c r="CI80" s="993">
        <f t="shared" si="143"/>
        <v>0</v>
      </c>
      <c r="CJ80" s="993">
        <f t="shared" si="144"/>
        <v>0</v>
      </c>
      <c r="CK80" s="993">
        <f t="shared" si="145"/>
        <v>0</v>
      </c>
      <c r="CL80" s="993">
        <f t="shared" si="146"/>
        <v>0</v>
      </c>
      <c r="CM80" s="993">
        <f t="shared" si="147"/>
        <v>0</v>
      </c>
      <c r="CN80" s="993">
        <f t="shared" si="148"/>
        <v>0</v>
      </c>
      <c r="CO80" s="993">
        <f t="shared" si="149"/>
        <v>0</v>
      </c>
      <c r="CP80" s="993">
        <f t="shared" si="150"/>
        <v>0</v>
      </c>
      <c r="CQ80" s="993">
        <f t="shared" si="151"/>
        <v>0</v>
      </c>
      <c r="CR80" s="993">
        <f t="shared" si="152"/>
        <v>0</v>
      </c>
      <c r="CS80" s="993">
        <f t="shared" si="153"/>
        <v>0</v>
      </c>
      <c r="CT80" s="993">
        <f t="shared" si="154"/>
        <v>0</v>
      </c>
      <c r="CU80" s="993">
        <f t="shared" si="155"/>
        <v>0</v>
      </c>
      <c r="CV80" s="993">
        <f t="shared" si="156"/>
        <v>0</v>
      </c>
      <c r="CW80" s="993">
        <f t="shared" si="157"/>
        <v>0</v>
      </c>
      <c r="CX80" s="993">
        <f t="shared" si="158"/>
        <v>0</v>
      </c>
      <c r="CY80" s="993">
        <f t="shared" si="159"/>
        <v>0</v>
      </c>
      <c r="CZ80" s="993">
        <f t="shared" si="160"/>
        <v>0</v>
      </c>
    </row>
    <row r="81" spans="1:104" x14ac:dyDescent="0.35">
      <c r="A81" s="301" t="str">
        <f>Machine!A44</f>
        <v>Levee Pull, Planter/Incorporate</v>
      </c>
      <c r="B81" s="993">
        <f t="shared" si="110"/>
        <v>0</v>
      </c>
      <c r="C81" s="990"/>
      <c r="D81" s="989">
        <v>0</v>
      </c>
      <c r="E81" s="989">
        <v>0</v>
      </c>
      <c r="F81" s="989">
        <v>0</v>
      </c>
      <c r="G81" s="989">
        <v>0</v>
      </c>
      <c r="H81" s="989">
        <v>0</v>
      </c>
      <c r="I81" s="989">
        <v>0</v>
      </c>
      <c r="J81" s="989">
        <v>0</v>
      </c>
      <c r="K81" s="989">
        <v>0</v>
      </c>
      <c r="L81" s="989">
        <v>0</v>
      </c>
      <c r="M81" s="989">
        <v>0</v>
      </c>
      <c r="N81" s="989">
        <v>0</v>
      </c>
      <c r="O81" s="989">
        <v>0</v>
      </c>
      <c r="P81" s="989">
        <v>0</v>
      </c>
      <c r="Q81" s="989">
        <v>0</v>
      </c>
      <c r="R81" s="989">
        <v>0</v>
      </c>
      <c r="S81" s="989">
        <v>0</v>
      </c>
      <c r="T81" s="989">
        <v>0</v>
      </c>
      <c r="U81" s="989">
        <v>0</v>
      </c>
      <c r="V81" s="989">
        <v>0</v>
      </c>
      <c r="W81" s="989">
        <v>0</v>
      </c>
      <c r="X81" s="989">
        <v>0</v>
      </c>
      <c r="Y81" s="989">
        <v>0</v>
      </c>
      <c r="Z81" s="989">
        <v>0</v>
      </c>
      <c r="AA81" s="989">
        <v>0</v>
      </c>
      <c r="AB81" s="989">
        <v>0</v>
      </c>
      <c r="AC81" s="989">
        <v>0</v>
      </c>
      <c r="AD81" s="989">
        <v>0</v>
      </c>
      <c r="AE81" s="989">
        <v>0</v>
      </c>
      <c r="AF81" s="989">
        <v>0</v>
      </c>
      <c r="AG81" s="989">
        <v>0</v>
      </c>
      <c r="AH81" s="989">
        <v>0</v>
      </c>
      <c r="AI81" s="989">
        <v>0</v>
      </c>
      <c r="AJ81" s="989">
        <v>0</v>
      </c>
      <c r="AK81" s="989">
        <v>0</v>
      </c>
      <c r="AL81" s="989">
        <v>0</v>
      </c>
      <c r="AM81" s="989">
        <v>0</v>
      </c>
      <c r="AN81" s="989">
        <v>0</v>
      </c>
      <c r="AO81" s="989">
        <v>0</v>
      </c>
      <c r="AP81" s="989"/>
      <c r="AQ81" s="989">
        <v>0</v>
      </c>
      <c r="AR81" s="989">
        <v>0</v>
      </c>
      <c r="AS81" s="989">
        <v>0</v>
      </c>
      <c r="AT81" s="989">
        <v>0</v>
      </c>
      <c r="AU81" s="989">
        <v>0</v>
      </c>
      <c r="AV81" s="989">
        <v>0</v>
      </c>
      <c r="AW81" s="989"/>
      <c r="AX81" s="989"/>
      <c r="AY81" s="989"/>
      <c r="AZ81" s="989"/>
      <c r="BA81" s="989"/>
      <c r="BB81" s="20"/>
      <c r="BC81" s="993">
        <f t="shared" si="161"/>
        <v>0</v>
      </c>
      <c r="BD81" s="993">
        <f t="shared" si="162"/>
        <v>0</v>
      </c>
      <c r="BE81" s="993">
        <f t="shared" si="163"/>
        <v>0</v>
      </c>
      <c r="BF81" s="993">
        <f t="shared" si="164"/>
        <v>0</v>
      </c>
      <c r="BG81" s="993">
        <f t="shared" si="115"/>
        <v>0</v>
      </c>
      <c r="BH81" s="993">
        <f t="shared" si="116"/>
        <v>0</v>
      </c>
      <c r="BI81" s="993">
        <f t="shared" si="117"/>
        <v>0</v>
      </c>
      <c r="BJ81" s="993">
        <f t="shared" si="118"/>
        <v>0</v>
      </c>
      <c r="BK81" s="993">
        <f t="shared" si="119"/>
        <v>0</v>
      </c>
      <c r="BL81" s="993">
        <f t="shared" si="120"/>
        <v>0</v>
      </c>
      <c r="BM81" s="993">
        <f t="shared" si="121"/>
        <v>0</v>
      </c>
      <c r="BN81" s="993">
        <f t="shared" si="122"/>
        <v>0</v>
      </c>
      <c r="BO81" s="993">
        <f t="shared" si="123"/>
        <v>0</v>
      </c>
      <c r="BP81" s="993">
        <f t="shared" si="124"/>
        <v>0</v>
      </c>
      <c r="BQ81" s="993">
        <f t="shared" si="125"/>
        <v>0</v>
      </c>
      <c r="BR81" s="993">
        <f t="shared" si="126"/>
        <v>0</v>
      </c>
      <c r="BS81" s="993">
        <f t="shared" si="127"/>
        <v>0</v>
      </c>
      <c r="BT81" s="993">
        <f t="shared" si="128"/>
        <v>0</v>
      </c>
      <c r="BU81" s="993">
        <f t="shared" si="129"/>
        <v>0</v>
      </c>
      <c r="BV81" s="993">
        <f t="shared" si="130"/>
        <v>0</v>
      </c>
      <c r="BW81" s="993">
        <f t="shared" si="131"/>
        <v>0</v>
      </c>
      <c r="BX81" s="993">
        <f t="shared" si="132"/>
        <v>0</v>
      </c>
      <c r="BY81" s="993">
        <f t="shared" si="133"/>
        <v>0</v>
      </c>
      <c r="BZ81" s="993">
        <f t="shared" si="134"/>
        <v>0</v>
      </c>
      <c r="CA81" s="993">
        <f t="shared" si="135"/>
        <v>0</v>
      </c>
      <c r="CB81" s="993">
        <f t="shared" si="136"/>
        <v>0</v>
      </c>
      <c r="CC81" s="993">
        <f t="shared" si="137"/>
        <v>0</v>
      </c>
      <c r="CD81" s="993">
        <f t="shared" si="138"/>
        <v>0</v>
      </c>
      <c r="CE81" s="993">
        <f t="shared" si="139"/>
        <v>0</v>
      </c>
      <c r="CF81" s="993">
        <f t="shared" si="140"/>
        <v>0</v>
      </c>
      <c r="CG81" s="993">
        <f t="shared" si="141"/>
        <v>0</v>
      </c>
      <c r="CH81" s="993">
        <f t="shared" si="142"/>
        <v>0</v>
      </c>
      <c r="CI81" s="993">
        <f t="shared" si="143"/>
        <v>0</v>
      </c>
      <c r="CJ81" s="993">
        <f t="shared" si="144"/>
        <v>0</v>
      </c>
      <c r="CK81" s="993">
        <f t="shared" si="145"/>
        <v>0</v>
      </c>
      <c r="CL81" s="993">
        <f t="shared" si="146"/>
        <v>0</v>
      </c>
      <c r="CM81" s="993">
        <f t="shared" si="147"/>
        <v>0</v>
      </c>
      <c r="CN81" s="993">
        <f t="shared" si="148"/>
        <v>0</v>
      </c>
      <c r="CO81" s="993">
        <f t="shared" si="149"/>
        <v>0</v>
      </c>
      <c r="CP81" s="993">
        <f t="shared" si="150"/>
        <v>0</v>
      </c>
      <c r="CQ81" s="993">
        <f t="shared" si="151"/>
        <v>0</v>
      </c>
      <c r="CR81" s="993">
        <f t="shared" si="152"/>
        <v>0</v>
      </c>
      <c r="CS81" s="993">
        <f t="shared" si="153"/>
        <v>0</v>
      </c>
      <c r="CT81" s="993">
        <f t="shared" si="154"/>
        <v>0</v>
      </c>
      <c r="CU81" s="993">
        <f t="shared" si="155"/>
        <v>0</v>
      </c>
      <c r="CV81" s="993">
        <f t="shared" si="156"/>
        <v>0</v>
      </c>
      <c r="CW81" s="993">
        <f t="shared" si="157"/>
        <v>0</v>
      </c>
      <c r="CX81" s="993">
        <f t="shared" si="158"/>
        <v>0</v>
      </c>
      <c r="CY81" s="993">
        <f t="shared" si="159"/>
        <v>0</v>
      </c>
      <c r="CZ81" s="993">
        <f t="shared" si="160"/>
        <v>0</v>
      </c>
    </row>
    <row r="82" spans="1:104" x14ac:dyDescent="0.35">
      <c r="A82" s="301" t="str">
        <f>Machine!A45</f>
        <v>Levee Roller-Packer-Shaper</v>
      </c>
      <c r="B82" s="993">
        <f t="shared" si="110"/>
        <v>0</v>
      </c>
      <c r="C82" s="990"/>
      <c r="D82" s="989">
        <v>0</v>
      </c>
      <c r="E82" s="989">
        <v>0</v>
      </c>
      <c r="F82" s="989">
        <v>0</v>
      </c>
      <c r="G82" s="989">
        <v>0</v>
      </c>
      <c r="H82" s="989">
        <v>0</v>
      </c>
      <c r="I82" s="989">
        <v>0</v>
      </c>
      <c r="J82" s="989">
        <v>0</v>
      </c>
      <c r="K82" s="989">
        <v>0</v>
      </c>
      <c r="L82" s="989">
        <v>0</v>
      </c>
      <c r="M82" s="989">
        <v>0</v>
      </c>
      <c r="N82" s="989">
        <v>0</v>
      </c>
      <c r="O82" s="989">
        <v>0</v>
      </c>
      <c r="P82" s="989">
        <v>0</v>
      </c>
      <c r="Q82" s="989">
        <v>0</v>
      </c>
      <c r="R82" s="989">
        <v>0</v>
      </c>
      <c r="S82" s="989">
        <v>0</v>
      </c>
      <c r="T82" s="989">
        <v>0</v>
      </c>
      <c r="U82" s="989">
        <v>0</v>
      </c>
      <c r="V82" s="989">
        <v>0</v>
      </c>
      <c r="W82" s="989">
        <v>0</v>
      </c>
      <c r="X82" s="989">
        <v>0</v>
      </c>
      <c r="Y82" s="989">
        <v>0</v>
      </c>
      <c r="Z82" s="989">
        <v>0</v>
      </c>
      <c r="AA82" s="989">
        <v>0</v>
      </c>
      <c r="AB82" s="989">
        <v>0</v>
      </c>
      <c r="AC82" s="989">
        <v>0</v>
      </c>
      <c r="AD82" s="989">
        <v>0</v>
      </c>
      <c r="AE82" s="989">
        <v>0</v>
      </c>
      <c r="AF82" s="989">
        <v>0</v>
      </c>
      <c r="AG82" s="989">
        <v>0</v>
      </c>
      <c r="AH82" s="989">
        <v>0</v>
      </c>
      <c r="AI82" s="989">
        <v>0</v>
      </c>
      <c r="AJ82" s="989">
        <v>0</v>
      </c>
      <c r="AK82" s="989">
        <v>0</v>
      </c>
      <c r="AL82" s="989">
        <v>0</v>
      </c>
      <c r="AM82" s="989">
        <v>0</v>
      </c>
      <c r="AN82" s="989">
        <v>0</v>
      </c>
      <c r="AO82" s="989">
        <v>0</v>
      </c>
      <c r="AP82" s="989"/>
      <c r="AQ82" s="989">
        <v>0</v>
      </c>
      <c r="AR82" s="989">
        <v>0</v>
      </c>
      <c r="AS82" s="989">
        <v>0</v>
      </c>
      <c r="AT82" s="989">
        <v>0</v>
      </c>
      <c r="AU82" s="989">
        <v>0</v>
      </c>
      <c r="AV82" s="989">
        <v>0</v>
      </c>
      <c r="AW82" s="989"/>
      <c r="AX82" s="989"/>
      <c r="AY82" s="989"/>
      <c r="AZ82" s="989"/>
      <c r="BA82" s="989"/>
      <c r="BB82" s="20"/>
      <c r="BC82" s="993">
        <f t="shared" si="161"/>
        <v>0</v>
      </c>
      <c r="BD82" s="993">
        <f t="shared" si="162"/>
        <v>0</v>
      </c>
      <c r="BE82" s="993">
        <f t="shared" si="163"/>
        <v>0</v>
      </c>
      <c r="BF82" s="993">
        <f t="shared" si="164"/>
        <v>0</v>
      </c>
      <c r="BG82" s="993">
        <f t="shared" si="115"/>
        <v>0</v>
      </c>
      <c r="BH82" s="993">
        <f t="shared" si="116"/>
        <v>0</v>
      </c>
      <c r="BI82" s="993">
        <f t="shared" si="117"/>
        <v>0</v>
      </c>
      <c r="BJ82" s="993">
        <f t="shared" si="118"/>
        <v>0</v>
      </c>
      <c r="BK82" s="993">
        <f t="shared" si="119"/>
        <v>0</v>
      </c>
      <c r="BL82" s="993">
        <f t="shared" si="120"/>
        <v>0</v>
      </c>
      <c r="BM82" s="993">
        <f t="shared" si="121"/>
        <v>0</v>
      </c>
      <c r="BN82" s="993">
        <f t="shared" si="122"/>
        <v>0</v>
      </c>
      <c r="BO82" s="993">
        <f t="shared" si="123"/>
        <v>0</v>
      </c>
      <c r="BP82" s="993">
        <f t="shared" si="124"/>
        <v>0</v>
      </c>
      <c r="BQ82" s="993">
        <f t="shared" si="125"/>
        <v>0</v>
      </c>
      <c r="BR82" s="993">
        <f t="shared" si="126"/>
        <v>0</v>
      </c>
      <c r="BS82" s="993">
        <f t="shared" si="127"/>
        <v>0</v>
      </c>
      <c r="BT82" s="993">
        <f t="shared" si="128"/>
        <v>0</v>
      </c>
      <c r="BU82" s="993">
        <f t="shared" si="129"/>
        <v>0</v>
      </c>
      <c r="BV82" s="993">
        <f t="shared" si="130"/>
        <v>0</v>
      </c>
      <c r="BW82" s="993">
        <f t="shared" si="131"/>
        <v>0</v>
      </c>
      <c r="BX82" s="993">
        <f t="shared" si="132"/>
        <v>0</v>
      </c>
      <c r="BY82" s="993">
        <f t="shared" si="133"/>
        <v>0</v>
      </c>
      <c r="BZ82" s="993">
        <f t="shared" si="134"/>
        <v>0</v>
      </c>
      <c r="CA82" s="993">
        <f t="shared" si="135"/>
        <v>0</v>
      </c>
      <c r="CB82" s="993">
        <f t="shared" si="136"/>
        <v>0</v>
      </c>
      <c r="CC82" s="993">
        <f t="shared" si="137"/>
        <v>0</v>
      </c>
      <c r="CD82" s="993">
        <f t="shared" si="138"/>
        <v>0</v>
      </c>
      <c r="CE82" s="993">
        <f t="shared" si="139"/>
        <v>0</v>
      </c>
      <c r="CF82" s="993">
        <f t="shared" si="140"/>
        <v>0</v>
      </c>
      <c r="CG82" s="993">
        <f t="shared" si="141"/>
        <v>0</v>
      </c>
      <c r="CH82" s="993">
        <f t="shared" si="142"/>
        <v>0</v>
      </c>
      <c r="CI82" s="993">
        <f t="shared" si="143"/>
        <v>0</v>
      </c>
      <c r="CJ82" s="993">
        <f t="shared" si="144"/>
        <v>0</v>
      </c>
      <c r="CK82" s="993">
        <f t="shared" si="145"/>
        <v>0</v>
      </c>
      <c r="CL82" s="993">
        <f t="shared" si="146"/>
        <v>0</v>
      </c>
      <c r="CM82" s="993">
        <f t="shared" si="147"/>
        <v>0</v>
      </c>
      <c r="CN82" s="993">
        <f t="shared" si="148"/>
        <v>0</v>
      </c>
      <c r="CO82" s="993">
        <f t="shared" si="149"/>
        <v>0</v>
      </c>
      <c r="CP82" s="993">
        <f t="shared" si="150"/>
        <v>0</v>
      </c>
      <c r="CQ82" s="993">
        <f t="shared" si="151"/>
        <v>0</v>
      </c>
      <c r="CR82" s="993">
        <f t="shared" si="152"/>
        <v>0</v>
      </c>
      <c r="CS82" s="993">
        <f t="shared" si="153"/>
        <v>0</v>
      </c>
      <c r="CT82" s="993">
        <f t="shared" si="154"/>
        <v>0</v>
      </c>
      <c r="CU82" s="993">
        <f t="shared" si="155"/>
        <v>0</v>
      </c>
      <c r="CV82" s="993">
        <f t="shared" si="156"/>
        <v>0</v>
      </c>
      <c r="CW82" s="993">
        <f t="shared" si="157"/>
        <v>0</v>
      </c>
      <c r="CX82" s="993">
        <f t="shared" si="158"/>
        <v>0</v>
      </c>
      <c r="CY82" s="993">
        <f t="shared" si="159"/>
        <v>0</v>
      </c>
      <c r="CZ82" s="993">
        <f t="shared" si="160"/>
        <v>0</v>
      </c>
    </row>
    <row r="83" spans="1:104" x14ac:dyDescent="0.35">
      <c r="A83" s="301" t="str">
        <f>Machine!A46</f>
        <v>Install Gates &amp; Remove</v>
      </c>
      <c r="B83" s="993">
        <f t="shared" si="110"/>
        <v>0</v>
      </c>
      <c r="C83" s="990"/>
      <c r="D83" s="989">
        <v>0</v>
      </c>
      <c r="E83" s="989">
        <v>0</v>
      </c>
      <c r="F83" s="989">
        <v>0</v>
      </c>
      <c r="G83" s="989">
        <v>0</v>
      </c>
      <c r="H83" s="989">
        <v>0</v>
      </c>
      <c r="I83" s="989">
        <v>0</v>
      </c>
      <c r="J83" s="989">
        <v>0</v>
      </c>
      <c r="K83" s="989">
        <v>0</v>
      </c>
      <c r="L83" s="989">
        <v>0</v>
      </c>
      <c r="M83" s="989">
        <v>0</v>
      </c>
      <c r="N83" s="989">
        <v>0</v>
      </c>
      <c r="O83" s="989">
        <v>0</v>
      </c>
      <c r="P83" s="989">
        <v>0</v>
      </c>
      <c r="Q83" s="989">
        <v>1</v>
      </c>
      <c r="R83" s="989">
        <v>1</v>
      </c>
      <c r="S83" s="989">
        <v>1</v>
      </c>
      <c r="T83" s="989">
        <v>1</v>
      </c>
      <c r="U83" s="989">
        <v>0</v>
      </c>
      <c r="V83" s="989">
        <v>0</v>
      </c>
      <c r="W83" s="989">
        <v>0</v>
      </c>
      <c r="X83" s="989">
        <v>0</v>
      </c>
      <c r="Y83" s="989">
        <v>2</v>
      </c>
      <c r="Z83" s="989">
        <v>0</v>
      </c>
      <c r="AA83" s="989">
        <v>0</v>
      </c>
      <c r="AB83" s="989">
        <v>0</v>
      </c>
      <c r="AC83" s="989">
        <v>2</v>
      </c>
      <c r="AD83" s="989">
        <v>0</v>
      </c>
      <c r="AE83" s="989">
        <v>0</v>
      </c>
      <c r="AF83" s="989">
        <v>0</v>
      </c>
      <c r="AG83" s="989">
        <v>0</v>
      </c>
      <c r="AH83" s="989">
        <v>0</v>
      </c>
      <c r="AI83" s="989">
        <v>0</v>
      </c>
      <c r="AJ83" s="989">
        <v>0</v>
      </c>
      <c r="AK83" s="989">
        <v>0</v>
      </c>
      <c r="AL83" s="989">
        <v>0</v>
      </c>
      <c r="AM83" s="989">
        <v>0</v>
      </c>
      <c r="AN83" s="989">
        <v>2</v>
      </c>
      <c r="AO83" s="989">
        <v>0</v>
      </c>
      <c r="AP83" s="989"/>
      <c r="AQ83" s="989">
        <v>0</v>
      </c>
      <c r="AR83" s="989">
        <v>0</v>
      </c>
      <c r="AS83" s="989">
        <v>0</v>
      </c>
      <c r="AT83" s="989">
        <v>0</v>
      </c>
      <c r="AU83" s="989">
        <v>1</v>
      </c>
      <c r="AV83" s="989">
        <v>1</v>
      </c>
      <c r="AW83" s="989"/>
      <c r="AX83" s="989"/>
      <c r="AY83" s="989"/>
      <c r="AZ83" s="989"/>
      <c r="BA83" s="989"/>
      <c r="BB83" s="20"/>
      <c r="BC83" s="993">
        <f t="shared" si="161"/>
        <v>0</v>
      </c>
      <c r="BD83" s="993">
        <f t="shared" si="162"/>
        <v>0</v>
      </c>
      <c r="BE83" s="993">
        <f t="shared" si="163"/>
        <v>0</v>
      </c>
      <c r="BF83" s="993">
        <f t="shared" si="164"/>
        <v>0</v>
      </c>
      <c r="BG83" s="993">
        <f t="shared" si="115"/>
        <v>0</v>
      </c>
      <c r="BH83" s="993">
        <f t="shared" si="116"/>
        <v>0</v>
      </c>
      <c r="BI83" s="993">
        <f t="shared" si="117"/>
        <v>0</v>
      </c>
      <c r="BJ83" s="993">
        <f t="shared" si="118"/>
        <v>0</v>
      </c>
      <c r="BK83" s="993">
        <f t="shared" si="119"/>
        <v>0</v>
      </c>
      <c r="BL83" s="993">
        <f t="shared" si="120"/>
        <v>0</v>
      </c>
      <c r="BM83" s="993">
        <f t="shared" si="121"/>
        <v>0</v>
      </c>
      <c r="BN83" s="993">
        <f t="shared" si="122"/>
        <v>0</v>
      </c>
      <c r="BO83" s="993">
        <f t="shared" si="123"/>
        <v>0</v>
      </c>
      <c r="BP83" s="993">
        <f t="shared" si="124"/>
        <v>0</v>
      </c>
      <c r="BQ83" s="993">
        <f t="shared" si="125"/>
        <v>0</v>
      </c>
      <c r="BR83" s="993">
        <f t="shared" si="126"/>
        <v>0</v>
      </c>
      <c r="BS83" s="993">
        <f t="shared" si="127"/>
        <v>0</v>
      </c>
      <c r="BT83" s="993">
        <f t="shared" si="128"/>
        <v>0</v>
      </c>
      <c r="BU83" s="993">
        <f t="shared" si="129"/>
        <v>0</v>
      </c>
      <c r="BV83" s="993">
        <f t="shared" si="130"/>
        <v>0</v>
      </c>
      <c r="BW83" s="993">
        <f t="shared" si="131"/>
        <v>0</v>
      </c>
      <c r="BX83" s="993">
        <f t="shared" si="132"/>
        <v>0</v>
      </c>
      <c r="BY83" s="993">
        <f t="shared" si="133"/>
        <v>0</v>
      </c>
      <c r="BZ83" s="993">
        <f t="shared" si="134"/>
        <v>0</v>
      </c>
      <c r="CA83" s="993">
        <f t="shared" si="135"/>
        <v>0</v>
      </c>
      <c r="CB83" s="993">
        <f t="shared" si="136"/>
        <v>0</v>
      </c>
      <c r="CC83" s="993">
        <f t="shared" si="137"/>
        <v>0</v>
      </c>
      <c r="CD83" s="993">
        <f t="shared" si="138"/>
        <v>0</v>
      </c>
      <c r="CE83" s="993">
        <f t="shared" si="139"/>
        <v>0</v>
      </c>
      <c r="CF83" s="993">
        <f t="shared" si="140"/>
        <v>0</v>
      </c>
      <c r="CG83" s="993">
        <f t="shared" si="141"/>
        <v>0</v>
      </c>
      <c r="CH83" s="993">
        <f t="shared" si="142"/>
        <v>0</v>
      </c>
      <c r="CI83" s="993">
        <f t="shared" si="143"/>
        <v>0</v>
      </c>
      <c r="CJ83" s="993">
        <f t="shared" si="144"/>
        <v>0</v>
      </c>
      <c r="CK83" s="993">
        <f t="shared" si="145"/>
        <v>0</v>
      </c>
      <c r="CL83" s="993">
        <f t="shared" si="146"/>
        <v>0</v>
      </c>
      <c r="CM83" s="993">
        <f t="shared" si="147"/>
        <v>0</v>
      </c>
      <c r="CN83" s="993">
        <f t="shared" si="148"/>
        <v>0</v>
      </c>
      <c r="CO83" s="993">
        <f t="shared" si="149"/>
        <v>0</v>
      </c>
      <c r="CP83" s="993">
        <f t="shared" si="150"/>
        <v>0</v>
      </c>
      <c r="CQ83" s="993">
        <f t="shared" si="151"/>
        <v>0</v>
      </c>
      <c r="CR83" s="993">
        <f t="shared" si="152"/>
        <v>0</v>
      </c>
      <c r="CS83" s="993">
        <f t="shared" si="153"/>
        <v>0</v>
      </c>
      <c r="CT83" s="993">
        <f t="shared" si="154"/>
        <v>0</v>
      </c>
      <c r="CU83" s="993">
        <f t="shared" si="155"/>
        <v>0</v>
      </c>
      <c r="CV83" s="993">
        <f t="shared" si="156"/>
        <v>0</v>
      </c>
      <c r="CW83" s="993">
        <f t="shared" si="157"/>
        <v>0</v>
      </c>
      <c r="CX83" s="993">
        <f t="shared" si="158"/>
        <v>0</v>
      </c>
      <c r="CY83" s="993">
        <f t="shared" si="159"/>
        <v>0</v>
      </c>
      <c r="CZ83" s="993">
        <f t="shared" si="160"/>
        <v>0</v>
      </c>
    </row>
    <row r="84" spans="1:104" x14ac:dyDescent="0.35">
      <c r="A84" s="301" t="str">
        <f>Machine!A47</f>
        <v>Take Down Levees</v>
      </c>
      <c r="B84" s="1068"/>
      <c r="C84" s="990"/>
      <c r="D84" s="1058"/>
      <c r="E84" s="1058"/>
      <c r="F84" s="1058"/>
      <c r="G84" s="1059"/>
      <c r="H84" s="1059"/>
      <c r="I84" s="1059"/>
      <c r="J84" s="1059"/>
      <c r="K84" s="1059"/>
      <c r="L84" s="1059"/>
      <c r="M84" s="1059"/>
      <c r="N84" s="1059"/>
      <c r="O84" s="1059"/>
      <c r="P84" s="1059"/>
      <c r="Q84" s="1059"/>
      <c r="R84" s="1059"/>
      <c r="S84" s="1059"/>
      <c r="T84" s="1059"/>
      <c r="U84" s="1059"/>
      <c r="V84" s="1059"/>
      <c r="W84" s="1059"/>
      <c r="X84" s="1059"/>
      <c r="Y84" s="1059"/>
      <c r="Z84" s="1059"/>
      <c r="AA84" s="1059"/>
      <c r="AB84" s="1059"/>
      <c r="AC84" s="1059"/>
      <c r="AD84" s="1059"/>
      <c r="AE84" s="1059"/>
      <c r="AF84" s="1059"/>
      <c r="AG84" s="1059"/>
      <c r="AH84" s="1059"/>
      <c r="AI84" s="1059"/>
      <c r="AJ84" s="1059"/>
      <c r="AK84" s="1059"/>
      <c r="AL84" s="1059"/>
      <c r="AM84" s="1059"/>
      <c r="AN84" s="1059"/>
      <c r="AO84" s="1059"/>
      <c r="AP84" s="1059"/>
      <c r="AQ84" s="1059"/>
      <c r="AR84" s="1059"/>
      <c r="AS84" s="1059"/>
      <c r="AT84" s="1059"/>
      <c r="AU84" s="1059"/>
      <c r="AV84" s="1059"/>
      <c r="AW84" s="1059"/>
      <c r="AX84" s="1059"/>
      <c r="AY84" s="1059"/>
      <c r="AZ84" s="1059"/>
      <c r="BA84" s="1059"/>
      <c r="BB84" s="20"/>
      <c r="BC84" s="1060"/>
      <c r="BD84" s="1060"/>
      <c r="BE84" s="1060"/>
      <c r="BF84" s="1060"/>
      <c r="BG84" s="1060"/>
      <c r="BH84" s="1060"/>
      <c r="BI84" s="1060"/>
      <c r="BJ84" s="1060"/>
      <c r="BK84" s="1060"/>
      <c r="BL84" s="1060"/>
      <c r="BM84" s="1060"/>
      <c r="BN84" s="1060"/>
      <c r="BO84" s="1060"/>
      <c r="BP84" s="1060"/>
      <c r="BQ84" s="1060"/>
      <c r="BR84" s="1060"/>
      <c r="BS84" s="1060"/>
      <c r="BT84" s="1060"/>
      <c r="BU84" s="1060"/>
      <c r="BV84" s="1060"/>
      <c r="BW84" s="1060"/>
      <c r="BX84" s="1060"/>
      <c r="BY84" s="1060"/>
      <c r="BZ84" s="1060"/>
      <c r="CA84" s="1060"/>
      <c r="CB84" s="1060"/>
      <c r="CC84" s="1060"/>
      <c r="CD84" s="1060"/>
      <c r="CE84" s="1060"/>
      <c r="CF84" s="1060"/>
      <c r="CG84" s="1060"/>
      <c r="CH84" s="1060"/>
      <c r="CI84" s="1060"/>
      <c r="CJ84" s="1060"/>
      <c r="CK84" s="1060"/>
      <c r="CL84" s="1060"/>
      <c r="CM84" s="1060"/>
      <c r="CN84" s="1060"/>
      <c r="CO84" s="1060"/>
      <c r="CP84" s="1060"/>
      <c r="CQ84" s="1060"/>
      <c r="CR84" s="1060"/>
      <c r="CS84" s="1060"/>
      <c r="CT84" s="1060"/>
      <c r="CU84" s="1060"/>
      <c r="CV84" s="1060"/>
      <c r="CW84" s="1060"/>
      <c r="CX84" s="1060"/>
      <c r="CY84" s="1060"/>
      <c r="CZ84" s="1060"/>
    </row>
    <row r="85" spans="1:104" x14ac:dyDescent="0.35">
      <c r="A85" s="301" t="str">
        <f>Machine!A48</f>
        <v>Peanut Digger/Inverter</v>
      </c>
      <c r="B85" s="993">
        <f t="shared" ref="B85:B91" si="165">IF(B$2=1,SUM(BC85:CZ85),"Error")</f>
        <v>0</v>
      </c>
      <c r="C85" s="990"/>
      <c r="D85" s="989">
        <v>0</v>
      </c>
      <c r="E85" s="989">
        <v>0</v>
      </c>
      <c r="F85" s="989">
        <v>0</v>
      </c>
      <c r="G85" s="989">
        <v>0</v>
      </c>
      <c r="H85" s="989">
        <v>0</v>
      </c>
      <c r="I85" s="989">
        <v>0</v>
      </c>
      <c r="J85" s="989">
        <v>0</v>
      </c>
      <c r="K85" s="989">
        <v>0</v>
      </c>
      <c r="L85" s="989">
        <v>0</v>
      </c>
      <c r="M85" s="989">
        <v>0</v>
      </c>
      <c r="N85" s="989">
        <v>0</v>
      </c>
      <c r="O85" s="989">
        <v>0</v>
      </c>
      <c r="P85" s="989">
        <v>0</v>
      </c>
      <c r="Q85" s="989">
        <v>0</v>
      </c>
      <c r="R85" s="989">
        <v>0</v>
      </c>
      <c r="S85" s="989">
        <v>0</v>
      </c>
      <c r="T85" s="989">
        <v>0</v>
      </c>
      <c r="U85" s="989">
        <v>0</v>
      </c>
      <c r="V85" s="989">
        <v>0</v>
      </c>
      <c r="W85" s="989">
        <v>0</v>
      </c>
      <c r="X85" s="989">
        <v>0</v>
      </c>
      <c r="Y85" s="989">
        <v>0</v>
      </c>
      <c r="Z85" s="989">
        <v>0</v>
      </c>
      <c r="AA85" s="989">
        <v>0</v>
      </c>
      <c r="AB85" s="989">
        <v>0</v>
      </c>
      <c r="AC85" s="989">
        <v>0</v>
      </c>
      <c r="AD85" s="989">
        <v>0</v>
      </c>
      <c r="AE85" s="989">
        <v>0</v>
      </c>
      <c r="AF85" s="989">
        <v>1</v>
      </c>
      <c r="AG85" s="989">
        <v>1</v>
      </c>
      <c r="AH85" s="989">
        <v>1</v>
      </c>
      <c r="AI85" s="989">
        <v>0</v>
      </c>
      <c r="AJ85" s="989">
        <v>0</v>
      </c>
      <c r="AK85" s="989">
        <v>0</v>
      </c>
      <c r="AL85" s="989">
        <v>0</v>
      </c>
      <c r="AM85" s="989">
        <v>0</v>
      </c>
      <c r="AN85" s="989">
        <v>0</v>
      </c>
      <c r="AO85" s="989">
        <v>0</v>
      </c>
      <c r="AP85" s="989"/>
      <c r="AQ85" s="989">
        <v>0</v>
      </c>
      <c r="AR85" s="989">
        <v>0</v>
      </c>
      <c r="AS85" s="989">
        <v>0</v>
      </c>
      <c r="AT85" s="989">
        <v>0</v>
      </c>
      <c r="AU85" s="989">
        <v>0</v>
      </c>
      <c r="AV85" s="989">
        <v>0</v>
      </c>
      <c r="AW85" s="989"/>
      <c r="AX85" s="989"/>
      <c r="AY85" s="989"/>
      <c r="AZ85" s="989"/>
      <c r="BA85" s="989"/>
      <c r="BB85" s="20"/>
      <c r="BC85" s="993">
        <f t="shared" ref="BC85:BD91" si="166">IF(D$2=1,D85,0)</f>
        <v>0</v>
      </c>
      <c r="BD85" s="993">
        <f t="shared" si="166"/>
        <v>0</v>
      </c>
      <c r="BE85" s="993">
        <f t="shared" si="163"/>
        <v>0</v>
      </c>
      <c r="BF85" s="993">
        <f t="shared" si="164"/>
        <v>0</v>
      </c>
      <c r="BG85" s="993">
        <f t="shared" si="115"/>
        <v>0</v>
      </c>
      <c r="BH85" s="993">
        <f t="shared" si="116"/>
        <v>0</v>
      </c>
      <c r="BI85" s="993">
        <f t="shared" ref="BI85:BJ91" si="167">IF(J$2=1,J85,0)</f>
        <v>0</v>
      </c>
      <c r="BJ85" s="993">
        <f t="shared" si="167"/>
        <v>0</v>
      </c>
      <c r="BK85" s="993">
        <f t="shared" ref="BK85:BK91" si="168">IF(L$2=1,L85,0)</f>
        <v>0</v>
      </c>
      <c r="BL85" s="993">
        <f t="shared" ref="BL85:BL91" si="169">IF(M$2=1,M85,0)</f>
        <v>0</v>
      </c>
      <c r="BM85" s="993">
        <f t="shared" ref="BM85:BM91" si="170">IF(N$2=1,N85,0)</f>
        <v>0</v>
      </c>
      <c r="BN85" s="993">
        <f t="shared" ref="BN85:BO91" si="171">IF(O$2=1,O85,0)</f>
        <v>0</v>
      </c>
      <c r="BO85" s="993">
        <f t="shared" si="171"/>
        <v>0</v>
      </c>
      <c r="BP85" s="993">
        <f t="shared" ref="BP85:BP91" si="172">IF(Q$2=1,Q85,0)</f>
        <v>0</v>
      </c>
      <c r="BQ85" s="993">
        <f t="shared" ref="BQ85:BQ91" si="173">IF(R$2=1,R85,0)</f>
        <v>0</v>
      </c>
      <c r="BR85" s="993">
        <f t="shared" ref="BR85:BR91" si="174">IF(S$2=1,S85,0)</f>
        <v>0</v>
      </c>
      <c r="BS85" s="993">
        <f t="shared" ref="BS85:BS91" si="175">IF(T$2=1,T85,0)</f>
        <v>0</v>
      </c>
      <c r="BT85" s="993">
        <f t="shared" ref="BT85:BT91" si="176">IF(U$2=1,U85,0)</f>
        <v>0</v>
      </c>
      <c r="BU85" s="993">
        <f t="shared" ref="BU85:BU91" si="177">IF(V$2=1,V85,0)</f>
        <v>0</v>
      </c>
      <c r="BV85" s="993">
        <f t="shared" ref="BV85:BV91" si="178">IF(W$2=1,W85,0)</f>
        <v>0</v>
      </c>
      <c r="BW85" s="993">
        <f t="shared" ref="BW85:BW91" si="179">IF(X$2=1,X85,0)</f>
        <v>0</v>
      </c>
      <c r="BX85" s="993">
        <f t="shared" ref="BX85:BX91" si="180">IF(Y$2=1,Y85,0)</f>
        <v>0</v>
      </c>
      <c r="BY85" s="993">
        <f t="shared" ref="BY85:BY91" si="181">IF(Z$2=1,Z85,0)</f>
        <v>0</v>
      </c>
      <c r="BZ85" s="993">
        <f t="shared" ref="BZ85:BZ91" si="182">IF(AA$2=1,AA85,0)</f>
        <v>0</v>
      </c>
      <c r="CA85" s="993">
        <f t="shared" ref="CA85:CA91" si="183">IF(AB$2=1,AB85,0)</f>
        <v>0</v>
      </c>
      <c r="CB85" s="993">
        <f t="shared" ref="CB85:CD91" si="184">IF(AC$2=1,AC85,0)</f>
        <v>0</v>
      </c>
      <c r="CC85" s="993">
        <f t="shared" si="184"/>
        <v>0</v>
      </c>
      <c r="CD85" s="993">
        <f t="shared" si="184"/>
        <v>0</v>
      </c>
      <c r="CE85" s="993">
        <f t="shared" ref="CE85:CE91" si="185">IF(AF$2=1,AF85,0)</f>
        <v>0</v>
      </c>
      <c r="CF85" s="993">
        <f t="shared" ref="CF85:CF91" si="186">IF(AG$2=1,AG85,0)</f>
        <v>0</v>
      </c>
      <c r="CG85" s="993">
        <f t="shared" ref="CG85:CG91" si="187">IF(AH$2=1,AH85,0)</f>
        <v>0</v>
      </c>
      <c r="CH85" s="993">
        <f t="shared" ref="CH85:CH91" si="188">IF(AI$2=1,AI85,0)</f>
        <v>0</v>
      </c>
      <c r="CI85" s="993">
        <f t="shared" ref="CI85:CI91" si="189">IF(AJ$2=1,AJ85,0)</f>
        <v>0</v>
      </c>
      <c r="CJ85" s="993">
        <f t="shared" ref="CJ85:CJ91" si="190">IF(AK$2=1,AK85,0)</f>
        <v>0</v>
      </c>
      <c r="CK85" s="993">
        <f t="shared" ref="CK85:CK91" si="191">IF(AL$2=1,AL85,0)</f>
        <v>0</v>
      </c>
      <c r="CL85" s="993">
        <f t="shared" ref="CL85:CL91" si="192">IF(AM$2=1,AM85,0)</f>
        <v>0</v>
      </c>
      <c r="CM85" s="993">
        <f t="shared" ref="CM85:CM91" si="193">IF(AN$2=1,AN85,0)</f>
        <v>0</v>
      </c>
      <c r="CN85" s="993">
        <f t="shared" ref="CN85:CN91" si="194">IF(AO$2=1,AO85,0)</f>
        <v>0</v>
      </c>
      <c r="CO85" s="993">
        <f t="shared" ref="CO85:CO91" si="195">IF(AP$2=1,AP85,0)</f>
        <v>0</v>
      </c>
      <c r="CP85" s="993">
        <f t="shared" ref="CP85:CP91" si="196">IF(AQ$2=1,AQ85,0)</f>
        <v>0</v>
      </c>
      <c r="CQ85" s="993">
        <f t="shared" ref="CQ85:CQ91" si="197">IF(AR$2=1,AR85,0)</f>
        <v>0</v>
      </c>
      <c r="CR85" s="993">
        <f t="shared" ref="CR85:CR91" si="198">IF(AS$2=1,AS85,0)</f>
        <v>0</v>
      </c>
      <c r="CS85" s="993">
        <f t="shared" ref="CS85:CS91" si="199">IF(AT$2=1,AT85,0)</f>
        <v>0</v>
      </c>
      <c r="CT85" s="993">
        <f t="shared" ref="CT85:CT91" si="200">IF(AU$2=1,AU85,0)</f>
        <v>0</v>
      </c>
      <c r="CU85" s="993">
        <f t="shared" ref="CU85:CU91" si="201">IF(AV$2=1,AV85,0)</f>
        <v>0</v>
      </c>
      <c r="CV85" s="993">
        <f t="shared" ref="CV85:CV91" si="202">IF(AW$2=1,AW85,0)</f>
        <v>0</v>
      </c>
      <c r="CW85" s="993">
        <f t="shared" ref="CW85:CW91" si="203">IF(AX$2=1,AX85,0)</f>
        <v>0</v>
      </c>
      <c r="CX85" s="993">
        <f t="shared" ref="CX85:CX91" si="204">IF(AY$2=1,AY85,0)</f>
        <v>0</v>
      </c>
      <c r="CY85" s="993">
        <f t="shared" ref="CY85:CY91" si="205">IF(AZ$2=1,AZ85,0)</f>
        <v>0</v>
      </c>
      <c r="CZ85" s="993">
        <f t="shared" ref="CZ85:CZ91" si="206">IF(BA$2=1,BA85,0)</f>
        <v>0</v>
      </c>
    </row>
    <row r="86" spans="1:104" x14ac:dyDescent="0.35">
      <c r="A86" s="301" t="str">
        <f>Machine!A49</f>
        <v>Peanut Conditioner</v>
      </c>
      <c r="B86" s="993">
        <f t="shared" si="165"/>
        <v>0</v>
      </c>
      <c r="C86" s="990"/>
      <c r="D86" s="989">
        <v>0</v>
      </c>
      <c r="E86" s="989">
        <v>0</v>
      </c>
      <c r="F86" s="989">
        <v>0</v>
      </c>
      <c r="G86" s="989">
        <v>0</v>
      </c>
      <c r="H86" s="989">
        <v>0</v>
      </c>
      <c r="I86" s="989">
        <v>0</v>
      </c>
      <c r="J86" s="989">
        <v>0</v>
      </c>
      <c r="K86" s="989">
        <v>0</v>
      </c>
      <c r="L86" s="989">
        <v>0</v>
      </c>
      <c r="M86" s="989">
        <v>0</v>
      </c>
      <c r="N86" s="989">
        <v>0</v>
      </c>
      <c r="O86" s="989">
        <v>0</v>
      </c>
      <c r="P86" s="989">
        <v>0</v>
      </c>
      <c r="Q86" s="989">
        <v>0</v>
      </c>
      <c r="R86" s="989">
        <v>0</v>
      </c>
      <c r="S86" s="989">
        <v>0</v>
      </c>
      <c r="T86" s="989">
        <v>0</v>
      </c>
      <c r="U86" s="989">
        <v>0</v>
      </c>
      <c r="V86" s="989">
        <v>0</v>
      </c>
      <c r="W86" s="989">
        <v>0</v>
      </c>
      <c r="X86" s="989">
        <v>0</v>
      </c>
      <c r="Y86" s="989">
        <v>0</v>
      </c>
      <c r="Z86" s="989">
        <v>0</v>
      </c>
      <c r="AA86" s="989">
        <v>0</v>
      </c>
      <c r="AB86" s="989">
        <v>0</v>
      </c>
      <c r="AC86" s="989">
        <v>0</v>
      </c>
      <c r="AD86" s="989">
        <v>0</v>
      </c>
      <c r="AE86" s="989">
        <v>0</v>
      </c>
      <c r="AF86" s="989">
        <v>1</v>
      </c>
      <c r="AG86" s="989">
        <v>1</v>
      </c>
      <c r="AH86" s="989">
        <v>1</v>
      </c>
      <c r="AI86" s="989">
        <v>0</v>
      </c>
      <c r="AJ86" s="989">
        <v>0</v>
      </c>
      <c r="AK86" s="989">
        <v>0</v>
      </c>
      <c r="AL86" s="989">
        <v>0</v>
      </c>
      <c r="AM86" s="989">
        <v>0</v>
      </c>
      <c r="AN86" s="989">
        <v>0</v>
      </c>
      <c r="AO86" s="989">
        <v>0</v>
      </c>
      <c r="AP86" s="989"/>
      <c r="AQ86" s="989">
        <v>0</v>
      </c>
      <c r="AR86" s="989">
        <v>0</v>
      </c>
      <c r="AS86" s="989">
        <v>0</v>
      </c>
      <c r="AT86" s="989">
        <v>0</v>
      </c>
      <c r="AU86" s="989">
        <v>0</v>
      </c>
      <c r="AV86" s="989">
        <v>0</v>
      </c>
      <c r="AW86" s="989"/>
      <c r="AX86" s="989"/>
      <c r="AY86" s="989"/>
      <c r="AZ86" s="989"/>
      <c r="BA86" s="989"/>
      <c r="BB86" s="20"/>
      <c r="BC86" s="993">
        <f t="shared" si="166"/>
        <v>0</v>
      </c>
      <c r="BD86" s="993">
        <f t="shared" si="166"/>
        <v>0</v>
      </c>
      <c r="BE86" s="993">
        <f t="shared" si="163"/>
        <v>0</v>
      </c>
      <c r="BF86" s="993">
        <f t="shared" si="164"/>
        <v>0</v>
      </c>
      <c r="BG86" s="993">
        <f t="shared" si="115"/>
        <v>0</v>
      </c>
      <c r="BH86" s="993">
        <f t="shared" si="116"/>
        <v>0</v>
      </c>
      <c r="BI86" s="993">
        <f t="shared" si="167"/>
        <v>0</v>
      </c>
      <c r="BJ86" s="993">
        <f t="shared" si="167"/>
        <v>0</v>
      </c>
      <c r="BK86" s="993">
        <f t="shared" si="168"/>
        <v>0</v>
      </c>
      <c r="BL86" s="993">
        <f t="shared" si="169"/>
        <v>0</v>
      </c>
      <c r="BM86" s="993">
        <f t="shared" si="170"/>
        <v>0</v>
      </c>
      <c r="BN86" s="993">
        <f t="shared" si="171"/>
        <v>0</v>
      </c>
      <c r="BO86" s="993">
        <f t="shared" si="171"/>
        <v>0</v>
      </c>
      <c r="BP86" s="993">
        <f t="shared" si="172"/>
        <v>0</v>
      </c>
      <c r="BQ86" s="993">
        <f t="shared" si="173"/>
        <v>0</v>
      </c>
      <c r="BR86" s="993">
        <f t="shared" si="174"/>
        <v>0</v>
      </c>
      <c r="BS86" s="993">
        <f t="shared" si="175"/>
        <v>0</v>
      </c>
      <c r="BT86" s="993">
        <f t="shared" si="176"/>
        <v>0</v>
      </c>
      <c r="BU86" s="993">
        <f t="shared" si="177"/>
        <v>0</v>
      </c>
      <c r="BV86" s="993">
        <f t="shared" si="178"/>
        <v>0</v>
      </c>
      <c r="BW86" s="993">
        <f t="shared" si="179"/>
        <v>0</v>
      </c>
      <c r="BX86" s="993">
        <f t="shared" si="180"/>
        <v>0</v>
      </c>
      <c r="BY86" s="993">
        <f t="shared" si="181"/>
        <v>0</v>
      </c>
      <c r="BZ86" s="993">
        <f t="shared" si="182"/>
        <v>0</v>
      </c>
      <c r="CA86" s="993">
        <f t="shared" si="183"/>
        <v>0</v>
      </c>
      <c r="CB86" s="993">
        <f t="shared" si="184"/>
        <v>0</v>
      </c>
      <c r="CC86" s="993">
        <f t="shared" si="184"/>
        <v>0</v>
      </c>
      <c r="CD86" s="993">
        <f t="shared" si="184"/>
        <v>0</v>
      </c>
      <c r="CE86" s="993">
        <f t="shared" si="185"/>
        <v>0</v>
      </c>
      <c r="CF86" s="993">
        <f t="shared" si="186"/>
        <v>0</v>
      </c>
      <c r="CG86" s="993">
        <f t="shared" si="187"/>
        <v>0</v>
      </c>
      <c r="CH86" s="993">
        <f t="shared" si="188"/>
        <v>0</v>
      </c>
      <c r="CI86" s="993">
        <f t="shared" si="189"/>
        <v>0</v>
      </c>
      <c r="CJ86" s="993">
        <f t="shared" si="190"/>
        <v>0</v>
      </c>
      <c r="CK86" s="993">
        <f t="shared" si="191"/>
        <v>0</v>
      </c>
      <c r="CL86" s="993">
        <f t="shared" si="192"/>
        <v>0</v>
      </c>
      <c r="CM86" s="993">
        <f t="shared" si="193"/>
        <v>0</v>
      </c>
      <c r="CN86" s="993">
        <f t="shared" si="194"/>
        <v>0</v>
      </c>
      <c r="CO86" s="993">
        <f t="shared" si="195"/>
        <v>0</v>
      </c>
      <c r="CP86" s="993">
        <f t="shared" si="196"/>
        <v>0</v>
      </c>
      <c r="CQ86" s="993">
        <f t="shared" si="197"/>
        <v>0</v>
      </c>
      <c r="CR86" s="993">
        <f t="shared" si="198"/>
        <v>0</v>
      </c>
      <c r="CS86" s="993">
        <f t="shared" si="199"/>
        <v>0</v>
      </c>
      <c r="CT86" s="993">
        <f t="shared" si="200"/>
        <v>0</v>
      </c>
      <c r="CU86" s="993">
        <f t="shared" si="201"/>
        <v>0</v>
      </c>
      <c r="CV86" s="993">
        <f t="shared" si="202"/>
        <v>0</v>
      </c>
      <c r="CW86" s="993">
        <f t="shared" si="203"/>
        <v>0</v>
      </c>
      <c r="CX86" s="993">
        <f t="shared" si="204"/>
        <v>0</v>
      </c>
      <c r="CY86" s="993">
        <f t="shared" si="205"/>
        <v>0</v>
      </c>
      <c r="CZ86" s="993">
        <f t="shared" si="206"/>
        <v>0</v>
      </c>
    </row>
    <row r="87" spans="1:104" x14ac:dyDescent="0.35">
      <c r="A87" s="301" t="str">
        <f>Machine!A50</f>
        <v>Peanut Conditiner &amp; Lifter</v>
      </c>
      <c r="B87" s="993">
        <f t="shared" si="165"/>
        <v>0</v>
      </c>
      <c r="C87" s="990"/>
      <c r="D87" s="989">
        <v>0</v>
      </c>
      <c r="E87" s="989">
        <v>0</v>
      </c>
      <c r="F87" s="989">
        <v>0</v>
      </c>
      <c r="G87" s="989">
        <v>0</v>
      </c>
      <c r="H87" s="989">
        <v>0</v>
      </c>
      <c r="I87" s="989">
        <v>0</v>
      </c>
      <c r="J87" s="989">
        <v>0</v>
      </c>
      <c r="K87" s="989">
        <v>0</v>
      </c>
      <c r="L87" s="989">
        <v>0</v>
      </c>
      <c r="M87" s="989">
        <v>0</v>
      </c>
      <c r="N87" s="989">
        <v>0</v>
      </c>
      <c r="O87" s="989">
        <v>0</v>
      </c>
      <c r="P87" s="989">
        <v>0</v>
      </c>
      <c r="Q87" s="989">
        <v>0</v>
      </c>
      <c r="R87" s="989">
        <v>0</v>
      </c>
      <c r="S87" s="989">
        <v>0</v>
      </c>
      <c r="T87" s="989">
        <v>0</v>
      </c>
      <c r="U87" s="989">
        <v>0</v>
      </c>
      <c r="V87" s="989">
        <v>0</v>
      </c>
      <c r="W87" s="989">
        <v>0</v>
      </c>
      <c r="X87" s="989">
        <v>0</v>
      </c>
      <c r="Y87" s="989">
        <v>0</v>
      </c>
      <c r="Z87" s="989">
        <v>0</v>
      </c>
      <c r="AA87" s="989">
        <v>0</v>
      </c>
      <c r="AB87" s="989">
        <v>0</v>
      </c>
      <c r="AC87" s="989">
        <v>0</v>
      </c>
      <c r="AD87" s="989">
        <v>0</v>
      </c>
      <c r="AE87" s="989">
        <v>0</v>
      </c>
      <c r="AF87" s="989">
        <v>0</v>
      </c>
      <c r="AG87" s="989">
        <v>0</v>
      </c>
      <c r="AH87" s="989">
        <v>0</v>
      </c>
      <c r="AI87" s="989">
        <v>0</v>
      </c>
      <c r="AJ87" s="989">
        <v>0</v>
      </c>
      <c r="AK87" s="989">
        <v>0</v>
      </c>
      <c r="AL87" s="989">
        <v>0</v>
      </c>
      <c r="AM87" s="989">
        <v>0</v>
      </c>
      <c r="AN87" s="989">
        <v>0</v>
      </c>
      <c r="AO87" s="989">
        <v>0</v>
      </c>
      <c r="AP87" s="989"/>
      <c r="AQ87" s="989">
        <v>0</v>
      </c>
      <c r="AR87" s="989">
        <v>0</v>
      </c>
      <c r="AS87" s="989">
        <v>0</v>
      </c>
      <c r="AT87" s="989">
        <v>0</v>
      </c>
      <c r="AU87" s="989">
        <v>0</v>
      </c>
      <c r="AV87" s="989">
        <v>0</v>
      </c>
      <c r="AW87" s="989"/>
      <c r="AX87" s="989"/>
      <c r="AY87" s="989"/>
      <c r="AZ87" s="989"/>
      <c r="BA87" s="989"/>
      <c r="BB87" s="20"/>
      <c r="BC87" s="993">
        <f t="shared" si="166"/>
        <v>0</v>
      </c>
      <c r="BD87" s="993">
        <f t="shared" si="166"/>
        <v>0</v>
      </c>
      <c r="BE87" s="993">
        <f t="shared" si="163"/>
        <v>0</v>
      </c>
      <c r="BF87" s="993">
        <f t="shared" si="164"/>
        <v>0</v>
      </c>
      <c r="BG87" s="993">
        <f t="shared" si="115"/>
        <v>0</v>
      </c>
      <c r="BH87" s="993">
        <f t="shared" si="116"/>
        <v>0</v>
      </c>
      <c r="BI87" s="993">
        <f t="shared" si="167"/>
        <v>0</v>
      </c>
      <c r="BJ87" s="993">
        <f t="shared" si="167"/>
        <v>0</v>
      </c>
      <c r="BK87" s="993">
        <f t="shared" si="168"/>
        <v>0</v>
      </c>
      <c r="BL87" s="993">
        <f t="shared" si="169"/>
        <v>0</v>
      </c>
      <c r="BM87" s="993">
        <f t="shared" si="170"/>
        <v>0</v>
      </c>
      <c r="BN87" s="993">
        <f t="shared" si="171"/>
        <v>0</v>
      </c>
      <c r="BO87" s="993">
        <f t="shared" si="171"/>
        <v>0</v>
      </c>
      <c r="BP87" s="993">
        <f t="shared" si="172"/>
        <v>0</v>
      </c>
      <c r="BQ87" s="993">
        <f t="shared" si="173"/>
        <v>0</v>
      </c>
      <c r="BR87" s="993">
        <f t="shared" si="174"/>
        <v>0</v>
      </c>
      <c r="BS87" s="993">
        <f t="shared" si="175"/>
        <v>0</v>
      </c>
      <c r="BT87" s="993">
        <f t="shared" si="176"/>
        <v>0</v>
      </c>
      <c r="BU87" s="993">
        <f t="shared" si="177"/>
        <v>0</v>
      </c>
      <c r="BV87" s="993">
        <f t="shared" si="178"/>
        <v>0</v>
      </c>
      <c r="BW87" s="993">
        <f t="shared" si="179"/>
        <v>0</v>
      </c>
      <c r="BX87" s="993">
        <f t="shared" si="180"/>
        <v>0</v>
      </c>
      <c r="BY87" s="993">
        <f t="shared" si="181"/>
        <v>0</v>
      </c>
      <c r="BZ87" s="993">
        <f t="shared" si="182"/>
        <v>0</v>
      </c>
      <c r="CA87" s="993">
        <f t="shared" si="183"/>
        <v>0</v>
      </c>
      <c r="CB87" s="993">
        <f t="shared" si="184"/>
        <v>0</v>
      </c>
      <c r="CC87" s="993">
        <f t="shared" si="184"/>
        <v>0</v>
      </c>
      <c r="CD87" s="993">
        <f t="shared" si="184"/>
        <v>0</v>
      </c>
      <c r="CE87" s="993">
        <f t="shared" si="185"/>
        <v>0</v>
      </c>
      <c r="CF87" s="993">
        <f t="shared" si="186"/>
        <v>0</v>
      </c>
      <c r="CG87" s="993">
        <f t="shared" si="187"/>
        <v>0</v>
      </c>
      <c r="CH87" s="993">
        <f t="shared" si="188"/>
        <v>0</v>
      </c>
      <c r="CI87" s="993">
        <f t="shared" si="189"/>
        <v>0</v>
      </c>
      <c r="CJ87" s="993">
        <f t="shared" si="190"/>
        <v>0</v>
      </c>
      <c r="CK87" s="993">
        <f t="shared" si="191"/>
        <v>0</v>
      </c>
      <c r="CL87" s="993">
        <f t="shared" si="192"/>
        <v>0</v>
      </c>
      <c r="CM87" s="993">
        <f t="shared" si="193"/>
        <v>0</v>
      </c>
      <c r="CN87" s="993">
        <f t="shared" si="194"/>
        <v>0</v>
      </c>
      <c r="CO87" s="993">
        <f t="shared" si="195"/>
        <v>0</v>
      </c>
      <c r="CP87" s="993">
        <f t="shared" si="196"/>
        <v>0</v>
      </c>
      <c r="CQ87" s="993">
        <f t="shared" si="197"/>
        <v>0</v>
      </c>
      <c r="CR87" s="993">
        <f t="shared" si="198"/>
        <v>0</v>
      </c>
      <c r="CS87" s="993">
        <f t="shared" si="199"/>
        <v>0</v>
      </c>
      <c r="CT87" s="993">
        <f t="shared" si="200"/>
        <v>0</v>
      </c>
      <c r="CU87" s="993">
        <f t="shared" si="201"/>
        <v>0</v>
      </c>
      <c r="CV87" s="993">
        <f t="shared" si="202"/>
        <v>0</v>
      </c>
      <c r="CW87" s="993">
        <f t="shared" si="203"/>
        <v>0</v>
      </c>
      <c r="CX87" s="993">
        <f t="shared" si="204"/>
        <v>0</v>
      </c>
      <c r="CY87" s="993">
        <f t="shared" si="205"/>
        <v>0</v>
      </c>
      <c r="CZ87" s="993">
        <f t="shared" si="206"/>
        <v>0</v>
      </c>
    </row>
    <row r="88" spans="1:104" x14ac:dyDescent="0.35">
      <c r="A88" s="301" t="str">
        <f>Machine!A51</f>
        <v>Mower, Stalk Shredder</v>
      </c>
      <c r="B88" s="993">
        <f t="shared" si="165"/>
        <v>0</v>
      </c>
      <c r="C88" s="990"/>
      <c r="D88" s="989">
        <v>0</v>
      </c>
      <c r="E88" s="989">
        <v>0</v>
      </c>
      <c r="F88" s="989">
        <v>0</v>
      </c>
      <c r="G88" s="989">
        <v>1</v>
      </c>
      <c r="H88" s="989">
        <v>1</v>
      </c>
      <c r="I88" s="989">
        <v>1</v>
      </c>
      <c r="J88" s="989">
        <v>1</v>
      </c>
      <c r="K88" s="989">
        <v>1</v>
      </c>
      <c r="L88" s="989">
        <v>1</v>
      </c>
      <c r="M88" s="989">
        <v>1</v>
      </c>
      <c r="N88" s="989">
        <v>0</v>
      </c>
      <c r="O88" s="989">
        <v>0</v>
      </c>
      <c r="P88" s="989">
        <v>0</v>
      </c>
      <c r="Q88" s="989">
        <v>0</v>
      </c>
      <c r="R88" s="989">
        <v>0</v>
      </c>
      <c r="S88" s="989">
        <v>0</v>
      </c>
      <c r="T88" s="989">
        <v>0</v>
      </c>
      <c r="U88" s="989">
        <v>0</v>
      </c>
      <c r="V88" s="989">
        <v>0</v>
      </c>
      <c r="W88" s="989">
        <v>0</v>
      </c>
      <c r="X88" s="989">
        <v>0</v>
      </c>
      <c r="Y88" s="989">
        <v>0</v>
      </c>
      <c r="Z88" s="989">
        <v>0</v>
      </c>
      <c r="AA88" s="989">
        <v>0</v>
      </c>
      <c r="AB88" s="989">
        <v>0</v>
      </c>
      <c r="AC88" s="989">
        <v>0</v>
      </c>
      <c r="AD88" s="989">
        <v>0</v>
      </c>
      <c r="AE88" s="989">
        <v>0</v>
      </c>
      <c r="AF88" s="989">
        <v>0</v>
      </c>
      <c r="AG88" s="989">
        <v>0</v>
      </c>
      <c r="AH88" s="989">
        <v>0</v>
      </c>
      <c r="AI88" s="989">
        <v>0</v>
      </c>
      <c r="AJ88" s="989">
        <v>0</v>
      </c>
      <c r="AK88" s="989">
        <v>0</v>
      </c>
      <c r="AL88" s="989">
        <v>0</v>
      </c>
      <c r="AM88" s="989">
        <v>0</v>
      </c>
      <c r="AN88" s="989">
        <v>0</v>
      </c>
      <c r="AO88" s="989">
        <v>1</v>
      </c>
      <c r="AP88" s="989"/>
      <c r="AQ88" s="989">
        <v>0</v>
      </c>
      <c r="AR88" s="989">
        <v>0</v>
      </c>
      <c r="AS88" s="989">
        <v>0</v>
      </c>
      <c r="AT88" s="989">
        <v>0</v>
      </c>
      <c r="AU88" s="989">
        <v>0</v>
      </c>
      <c r="AV88" s="989">
        <v>0</v>
      </c>
      <c r="AW88" s="989"/>
      <c r="AX88" s="989"/>
      <c r="AY88" s="989"/>
      <c r="AZ88" s="989"/>
      <c r="BA88" s="989"/>
      <c r="BB88" s="20"/>
      <c r="BC88" s="993">
        <f t="shared" si="166"/>
        <v>0</v>
      </c>
      <c r="BD88" s="993">
        <f t="shared" si="166"/>
        <v>0</v>
      </c>
      <c r="BE88" s="993">
        <f t="shared" si="163"/>
        <v>0</v>
      </c>
      <c r="BF88" s="993">
        <f t="shared" si="164"/>
        <v>0</v>
      </c>
      <c r="BG88" s="993">
        <f t="shared" si="115"/>
        <v>0</v>
      </c>
      <c r="BH88" s="993">
        <f t="shared" si="116"/>
        <v>0</v>
      </c>
      <c r="BI88" s="993">
        <f t="shared" si="167"/>
        <v>0</v>
      </c>
      <c r="BJ88" s="993">
        <f t="shared" si="167"/>
        <v>0</v>
      </c>
      <c r="BK88" s="993">
        <f t="shared" si="168"/>
        <v>0</v>
      </c>
      <c r="BL88" s="993">
        <f t="shared" si="169"/>
        <v>0</v>
      </c>
      <c r="BM88" s="993">
        <f t="shared" si="170"/>
        <v>0</v>
      </c>
      <c r="BN88" s="993">
        <f t="shared" si="171"/>
        <v>0</v>
      </c>
      <c r="BO88" s="993">
        <f t="shared" si="171"/>
        <v>0</v>
      </c>
      <c r="BP88" s="993">
        <f t="shared" si="172"/>
        <v>0</v>
      </c>
      <c r="BQ88" s="993">
        <f t="shared" si="173"/>
        <v>0</v>
      </c>
      <c r="BR88" s="993">
        <f t="shared" si="174"/>
        <v>0</v>
      </c>
      <c r="BS88" s="993">
        <f t="shared" si="175"/>
        <v>0</v>
      </c>
      <c r="BT88" s="993">
        <f t="shared" si="176"/>
        <v>0</v>
      </c>
      <c r="BU88" s="993">
        <f t="shared" si="177"/>
        <v>0</v>
      </c>
      <c r="BV88" s="993">
        <f t="shared" si="178"/>
        <v>0</v>
      </c>
      <c r="BW88" s="993">
        <f t="shared" si="179"/>
        <v>0</v>
      </c>
      <c r="BX88" s="993">
        <f t="shared" si="180"/>
        <v>0</v>
      </c>
      <c r="BY88" s="993">
        <f t="shared" si="181"/>
        <v>0</v>
      </c>
      <c r="BZ88" s="993">
        <f t="shared" si="182"/>
        <v>0</v>
      </c>
      <c r="CA88" s="993">
        <f t="shared" si="183"/>
        <v>0</v>
      </c>
      <c r="CB88" s="993">
        <f t="shared" si="184"/>
        <v>0</v>
      </c>
      <c r="CC88" s="993">
        <f t="shared" si="184"/>
        <v>0</v>
      </c>
      <c r="CD88" s="993">
        <f t="shared" si="184"/>
        <v>0</v>
      </c>
      <c r="CE88" s="993">
        <f t="shared" si="185"/>
        <v>0</v>
      </c>
      <c r="CF88" s="993">
        <f t="shared" si="186"/>
        <v>0</v>
      </c>
      <c r="CG88" s="993">
        <f t="shared" si="187"/>
        <v>0</v>
      </c>
      <c r="CH88" s="993">
        <f t="shared" si="188"/>
        <v>0</v>
      </c>
      <c r="CI88" s="993">
        <f t="shared" si="189"/>
        <v>0</v>
      </c>
      <c r="CJ88" s="993">
        <f t="shared" si="190"/>
        <v>0</v>
      </c>
      <c r="CK88" s="993">
        <f t="shared" si="191"/>
        <v>0</v>
      </c>
      <c r="CL88" s="993">
        <f t="shared" si="192"/>
        <v>0</v>
      </c>
      <c r="CM88" s="993">
        <f t="shared" si="193"/>
        <v>0</v>
      </c>
      <c r="CN88" s="993">
        <f t="shared" si="194"/>
        <v>0</v>
      </c>
      <c r="CO88" s="993">
        <f t="shared" si="195"/>
        <v>0</v>
      </c>
      <c r="CP88" s="993">
        <f t="shared" si="196"/>
        <v>0</v>
      </c>
      <c r="CQ88" s="993">
        <f t="shared" si="197"/>
        <v>0</v>
      </c>
      <c r="CR88" s="993">
        <f t="shared" si="198"/>
        <v>0</v>
      </c>
      <c r="CS88" s="993">
        <f t="shared" si="199"/>
        <v>0</v>
      </c>
      <c r="CT88" s="993">
        <f t="shared" si="200"/>
        <v>0</v>
      </c>
      <c r="CU88" s="993">
        <f t="shared" si="201"/>
        <v>0</v>
      </c>
      <c r="CV88" s="993">
        <f t="shared" si="202"/>
        <v>0</v>
      </c>
      <c r="CW88" s="993">
        <f t="shared" si="203"/>
        <v>0</v>
      </c>
      <c r="CX88" s="993">
        <f t="shared" si="204"/>
        <v>0</v>
      </c>
      <c r="CY88" s="993">
        <f t="shared" si="205"/>
        <v>0</v>
      </c>
      <c r="CZ88" s="993">
        <f t="shared" si="206"/>
        <v>0</v>
      </c>
    </row>
    <row r="89" spans="1:104" x14ac:dyDescent="0.35">
      <c r="A89" s="301" t="str">
        <f>Machine!A52</f>
        <v>Stubble Roller</v>
      </c>
      <c r="B89" s="993">
        <f t="shared" si="165"/>
        <v>0</v>
      </c>
      <c r="C89" s="990"/>
      <c r="D89" s="989">
        <v>0</v>
      </c>
      <c r="E89" s="989">
        <v>0</v>
      </c>
      <c r="F89" s="989">
        <v>0</v>
      </c>
      <c r="G89" s="989">
        <v>0</v>
      </c>
      <c r="H89" s="989">
        <v>0</v>
      </c>
      <c r="I89" s="989">
        <v>0</v>
      </c>
      <c r="J89" s="989">
        <v>0</v>
      </c>
      <c r="K89" s="989">
        <v>0</v>
      </c>
      <c r="L89" s="989">
        <v>0</v>
      </c>
      <c r="M89" s="989">
        <v>0</v>
      </c>
      <c r="N89" s="989">
        <v>0</v>
      </c>
      <c r="O89" s="989">
        <v>0</v>
      </c>
      <c r="P89" s="989">
        <v>0</v>
      </c>
      <c r="Q89" s="989">
        <v>0</v>
      </c>
      <c r="R89" s="989">
        <v>0</v>
      </c>
      <c r="S89" s="989">
        <v>0</v>
      </c>
      <c r="T89" s="989">
        <v>0</v>
      </c>
      <c r="U89" s="989">
        <v>0</v>
      </c>
      <c r="V89" s="989">
        <v>0</v>
      </c>
      <c r="W89" s="989">
        <v>0</v>
      </c>
      <c r="X89" s="989">
        <v>0</v>
      </c>
      <c r="Y89" s="989">
        <v>0</v>
      </c>
      <c r="Z89" s="989">
        <v>0</v>
      </c>
      <c r="AA89" s="989">
        <v>0</v>
      </c>
      <c r="AB89" s="989">
        <v>0</v>
      </c>
      <c r="AC89" s="989">
        <v>0</v>
      </c>
      <c r="AD89" s="989">
        <v>0</v>
      </c>
      <c r="AE89" s="989">
        <v>0</v>
      </c>
      <c r="AF89" s="989">
        <v>0</v>
      </c>
      <c r="AG89" s="989">
        <v>0</v>
      </c>
      <c r="AH89" s="989">
        <v>0</v>
      </c>
      <c r="AI89" s="989">
        <v>0</v>
      </c>
      <c r="AJ89" s="989">
        <v>0</v>
      </c>
      <c r="AK89" s="989">
        <v>0</v>
      </c>
      <c r="AL89" s="989">
        <v>0</v>
      </c>
      <c r="AM89" s="989">
        <v>0</v>
      </c>
      <c r="AN89" s="989">
        <v>0</v>
      </c>
      <c r="AO89" s="989">
        <v>0</v>
      </c>
      <c r="AP89" s="989"/>
      <c r="AQ89" s="989">
        <v>0</v>
      </c>
      <c r="AR89" s="989">
        <v>0</v>
      </c>
      <c r="AS89" s="989">
        <v>0</v>
      </c>
      <c r="AT89" s="989">
        <v>0</v>
      </c>
      <c r="AU89" s="989">
        <v>1</v>
      </c>
      <c r="AV89" s="989">
        <v>1</v>
      </c>
      <c r="AW89" s="989"/>
      <c r="AX89" s="989"/>
      <c r="AY89" s="989"/>
      <c r="AZ89" s="989"/>
      <c r="BA89" s="989"/>
      <c r="BB89" s="20"/>
      <c r="BC89" s="993">
        <f t="shared" si="166"/>
        <v>0</v>
      </c>
      <c r="BD89" s="993">
        <f t="shared" si="166"/>
        <v>0</v>
      </c>
      <c r="BE89" s="993">
        <f t="shared" si="163"/>
        <v>0</v>
      </c>
      <c r="BF89" s="993">
        <f t="shared" si="164"/>
        <v>0</v>
      </c>
      <c r="BG89" s="993">
        <f t="shared" si="115"/>
        <v>0</v>
      </c>
      <c r="BH89" s="993">
        <f t="shared" si="116"/>
        <v>0</v>
      </c>
      <c r="BI89" s="993">
        <f t="shared" si="167"/>
        <v>0</v>
      </c>
      <c r="BJ89" s="993">
        <f t="shared" si="167"/>
        <v>0</v>
      </c>
      <c r="BK89" s="993">
        <f t="shared" si="168"/>
        <v>0</v>
      </c>
      <c r="BL89" s="993">
        <f t="shared" si="169"/>
        <v>0</v>
      </c>
      <c r="BM89" s="993">
        <f t="shared" si="170"/>
        <v>0</v>
      </c>
      <c r="BN89" s="993">
        <f t="shared" si="171"/>
        <v>0</v>
      </c>
      <c r="BO89" s="993">
        <f t="shared" si="171"/>
        <v>0</v>
      </c>
      <c r="BP89" s="993">
        <f t="shared" si="172"/>
        <v>0</v>
      </c>
      <c r="BQ89" s="993">
        <f t="shared" si="173"/>
        <v>0</v>
      </c>
      <c r="BR89" s="993">
        <f t="shared" si="174"/>
        <v>0</v>
      </c>
      <c r="BS89" s="993">
        <f t="shared" si="175"/>
        <v>0</v>
      </c>
      <c r="BT89" s="993">
        <f t="shared" si="176"/>
        <v>0</v>
      </c>
      <c r="BU89" s="993">
        <f t="shared" si="177"/>
        <v>0</v>
      </c>
      <c r="BV89" s="993">
        <f t="shared" si="178"/>
        <v>0</v>
      </c>
      <c r="BW89" s="993">
        <f t="shared" si="179"/>
        <v>0</v>
      </c>
      <c r="BX89" s="993">
        <f t="shared" si="180"/>
        <v>0</v>
      </c>
      <c r="BY89" s="993">
        <f t="shared" si="181"/>
        <v>0</v>
      </c>
      <c r="BZ89" s="993">
        <f t="shared" si="182"/>
        <v>0</v>
      </c>
      <c r="CA89" s="993">
        <f t="shared" si="183"/>
        <v>0</v>
      </c>
      <c r="CB89" s="993">
        <f t="shared" si="184"/>
        <v>0</v>
      </c>
      <c r="CC89" s="993">
        <f t="shared" si="184"/>
        <v>0</v>
      </c>
      <c r="CD89" s="993">
        <f t="shared" si="184"/>
        <v>0</v>
      </c>
      <c r="CE89" s="993">
        <f t="shared" si="185"/>
        <v>0</v>
      </c>
      <c r="CF89" s="993">
        <f t="shared" si="186"/>
        <v>0</v>
      </c>
      <c r="CG89" s="993">
        <f t="shared" si="187"/>
        <v>0</v>
      </c>
      <c r="CH89" s="993">
        <f t="shared" si="188"/>
        <v>0</v>
      </c>
      <c r="CI89" s="993">
        <f t="shared" si="189"/>
        <v>0</v>
      </c>
      <c r="CJ89" s="993">
        <f t="shared" si="190"/>
        <v>0</v>
      </c>
      <c r="CK89" s="993">
        <f t="shared" si="191"/>
        <v>0</v>
      </c>
      <c r="CL89" s="993">
        <f t="shared" si="192"/>
        <v>0</v>
      </c>
      <c r="CM89" s="993">
        <f t="shared" si="193"/>
        <v>0</v>
      </c>
      <c r="CN89" s="993">
        <f t="shared" si="194"/>
        <v>0</v>
      </c>
      <c r="CO89" s="993">
        <f t="shared" si="195"/>
        <v>0</v>
      </c>
      <c r="CP89" s="993">
        <f t="shared" si="196"/>
        <v>0</v>
      </c>
      <c r="CQ89" s="993">
        <f t="shared" si="197"/>
        <v>0</v>
      </c>
      <c r="CR89" s="993">
        <f t="shared" si="198"/>
        <v>0</v>
      </c>
      <c r="CS89" s="993">
        <f t="shared" si="199"/>
        <v>0</v>
      </c>
      <c r="CT89" s="993">
        <f t="shared" si="200"/>
        <v>0</v>
      </c>
      <c r="CU89" s="993">
        <f t="shared" si="201"/>
        <v>0</v>
      </c>
      <c r="CV89" s="993">
        <f t="shared" si="202"/>
        <v>0</v>
      </c>
      <c r="CW89" s="993">
        <f t="shared" si="203"/>
        <v>0</v>
      </c>
      <c r="CX89" s="993">
        <f t="shared" si="204"/>
        <v>0</v>
      </c>
      <c r="CY89" s="993">
        <f t="shared" si="205"/>
        <v>0</v>
      </c>
      <c r="CZ89" s="993">
        <f t="shared" si="206"/>
        <v>0</v>
      </c>
    </row>
    <row r="90" spans="1:104" x14ac:dyDescent="0.35">
      <c r="A90" s="301" t="str">
        <f>Machine!A53</f>
        <v>Other Equipment</v>
      </c>
      <c r="B90" s="993">
        <f t="shared" si="165"/>
        <v>0</v>
      </c>
      <c r="C90" s="990"/>
      <c r="D90" s="989">
        <v>0</v>
      </c>
      <c r="E90" s="989">
        <v>0</v>
      </c>
      <c r="F90" s="989">
        <v>0</v>
      </c>
      <c r="G90" s="989">
        <v>0</v>
      </c>
      <c r="H90" s="989">
        <v>0</v>
      </c>
      <c r="I90" s="989">
        <v>0</v>
      </c>
      <c r="J90" s="989">
        <v>0</v>
      </c>
      <c r="K90" s="989">
        <v>0</v>
      </c>
      <c r="L90" s="989">
        <v>0</v>
      </c>
      <c r="M90" s="989">
        <v>0</v>
      </c>
      <c r="N90" s="989">
        <v>0</v>
      </c>
      <c r="O90" s="989">
        <v>0</v>
      </c>
      <c r="P90" s="989">
        <v>0</v>
      </c>
      <c r="Q90" s="989">
        <v>0</v>
      </c>
      <c r="R90" s="989">
        <v>0</v>
      </c>
      <c r="S90" s="989">
        <v>0</v>
      </c>
      <c r="T90" s="989">
        <v>0</v>
      </c>
      <c r="U90" s="989">
        <v>0</v>
      </c>
      <c r="V90" s="989">
        <v>0</v>
      </c>
      <c r="W90" s="989">
        <v>0</v>
      </c>
      <c r="X90" s="989">
        <v>0</v>
      </c>
      <c r="Y90" s="989">
        <v>0</v>
      </c>
      <c r="Z90" s="989">
        <v>0</v>
      </c>
      <c r="AA90" s="989">
        <v>0</v>
      </c>
      <c r="AB90" s="989">
        <v>0</v>
      </c>
      <c r="AC90" s="989">
        <v>0</v>
      </c>
      <c r="AD90" s="989">
        <v>0</v>
      </c>
      <c r="AE90" s="989">
        <v>0</v>
      </c>
      <c r="AF90" s="989">
        <v>0</v>
      </c>
      <c r="AG90" s="989">
        <v>0</v>
      </c>
      <c r="AH90" s="989">
        <v>0</v>
      </c>
      <c r="AI90" s="989">
        <v>0</v>
      </c>
      <c r="AJ90" s="989">
        <v>0</v>
      </c>
      <c r="AK90" s="989">
        <v>0</v>
      </c>
      <c r="AL90" s="989">
        <v>0</v>
      </c>
      <c r="AM90" s="989">
        <v>0</v>
      </c>
      <c r="AN90" s="989">
        <v>0</v>
      </c>
      <c r="AO90" s="989">
        <v>0</v>
      </c>
      <c r="AP90" s="989"/>
      <c r="AQ90" s="989">
        <v>0</v>
      </c>
      <c r="AR90" s="989">
        <v>0</v>
      </c>
      <c r="AS90" s="989">
        <v>0</v>
      </c>
      <c r="AT90" s="989">
        <v>0</v>
      </c>
      <c r="AU90" s="989">
        <v>0</v>
      </c>
      <c r="AV90" s="989">
        <v>0</v>
      </c>
      <c r="AW90" s="989"/>
      <c r="AX90" s="989"/>
      <c r="AY90" s="989"/>
      <c r="AZ90" s="989"/>
      <c r="BA90" s="989"/>
      <c r="BB90" s="20"/>
      <c r="BC90" s="993">
        <f t="shared" si="166"/>
        <v>0</v>
      </c>
      <c r="BD90" s="993">
        <f t="shared" si="166"/>
        <v>0</v>
      </c>
      <c r="BE90" s="993">
        <f t="shared" si="163"/>
        <v>0</v>
      </c>
      <c r="BF90" s="993">
        <f t="shared" si="164"/>
        <v>0</v>
      </c>
      <c r="BG90" s="993">
        <f t="shared" si="115"/>
        <v>0</v>
      </c>
      <c r="BH90" s="993">
        <f t="shared" si="116"/>
        <v>0</v>
      </c>
      <c r="BI90" s="993">
        <f t="shared" si="167"/>
        <v>0</v>
      </c>
      <c r="BJ90" s="993">
        <f t="shared" si="167"/>
        <v>0</v>
      </c>
      <c r="BK90" s="993">
        <f t="shared" si="168"/>
        <v>0</v>
      </c>
      <c r="BL90" s="993">
        <f t="shared" si="169"/>
        <v>0</v>
      </c>
      <c r="BM90" s="993">
        <f t="shared" si="170"/>
        <v>0</v>
      </c>
      <c r="BN90" s="993">
        <f t="shared" si="171"/>
        <v>0</v>
      </c>
      <c r="BO90" s="993">
        <f t="shared" si="171"/>
        <v>0</v>
      </c>
      <c r="BP90" s="993">
        <f t="shared" si="172"/>
        <v>0</v>
      </c>
      <c r="BQ90" s="993">
        <f t="shared" si="173"/>
        <v>0</v>
      </c>
      <c r="BR90" s="993">
        <f t="shared" si="174"/>
        <v>0</v>
      </c>
      <c r="BS90" s="993">
        <f t="shared" si="175"/>
        <v>0</v>
      </c>
      <c r="BT90" s="993">
        <f t="shared" si="176"/>
        <v>0</v>
      </c>
      <c r="BU90" s="993">
        <f t="shared" si="177"/>
        <v>0</v>
      </c>
      <c r="BV90" s="993">
        <f t="shared" si="178"/>
        <v>0</v>
      </c>
      <c r="BW90" s="993">
        <f t="shared" si="179"/>
        <v>0</v>
      </c>
      <c r="BX90" s="993">
        <f t="shared" si="180"/>
        <v>0</v>
      </c>
      <c r="BY90" s="993">
        <f t="shared" si="181"/>
        <v>0</v>
      </c>
      <c r="BZ90" s="993">
        <f t="shared" si="182"/>
        <v>0</v>
      </c>
      <c r="CA90" s="993">
        <f t="shared" si="183"/>
        <v>0</v>
      </c>
      <c r="CB90" s="993">
        <f t="shared" si="184"/>
        <v>0</v>
      </c>
      <c r="CC90" s="993">
        <f t="shared" si="184"/>
        <v>0</v>
      </c>
      <c r="CD90" s="993">
        <f t="shared" si="184"/>
        <v>0</v>
      </c>
      <c r="CE90" s="993">
        <f t="shared" si="185"/>
        <v>0</v>
      </c>
      <c r="CF90" s="993">
        <f t="shared" si="186"/>
        <v>0</v>
      </c>
      <c r="CG90" s="993">
        <f t="shared" si="187"/>
        <v>0</v>
      </c>
      <c r="CH90" s="993">
        <f t="shared" si="188"/>
        <v>0</v>
      </c>
      <c r="CI90" s="993">
        <f t="shared" si="189"/>
        <v>0</v>
      </c>
      <c r="CJ90" s="993">
        <f t="shared" si="190"/>
        <v>0</v>
      </c>
      <c r="CK90" s="993">
        <f t="shared" si="191"/>
        <v>0</v>
      </c>
      <c r="CL90" s="993">
        <f t="shared" si="192"/>
        <v>0</v>
      </c>
      <c r="CM90" s="993">
        <f t="shared" si="193"/>
        <v>0</v>
      </c>
      <c r="CN90" s="993">
        <f t="shared" si="194"/>
        <v>0</v>
      </c>
      <c r="CO90" s="993">
        <f t="shared" si="195"/>
        <v>0</v>
      </c>
      <c r="CP90" s="993">
        <f t="shared" si="196"/>
        <v>0</v>
      </c>
      <c r="CQ90" s="993">
        <f t="shared" si="197"/>
        <v>0</v>
      </c>
      <c r="CR90" s="993">
        <f t="shared" si="198"/>
        <v>0</v>
      </c>
      <c r="CS90" s="993">
        <f t="shared" si="199"/>
        <v>0</v>
      </c>
      <c r="CT90" s="993">
        <f t="shared" si="200"/>
        <v>0</v>
      </c>
      <c r="CU90" s="993">
        <f t="shared" si="201"/>
        <v>0</v>
      </c>
      <c r="CV90" s="993">
        <f t="shared" si="202"/>
        <v>0</v>
      </c>
      <c r="CW90" s="993">
        <f t="shared" si="203"/>
        <v>0</v>
      </c>
      <c r="CX90" s="993">
        <f t="shared" si="204"/>
        <v>0</v>
      </c>
      <c r="CY90" s="993">
        <f t="shared" si="205"/>
        <v>0</v>
      </c>
      <c r="CZ90" s="993">
        <f t="shared" si="206"/>
        <v>0</v>
      </c>
    </row>
    <row r="91" spans="1:104" x14ac:dyDescent="0.35">
      <c r="A91" s="301" t="str">
        <f>Machine!A54</f>
        <v>Other Equipment</v>
      </c>
      <c r="B91" s="993">
        <f t="shared" si="165"/>
        <v>0</v>
      </c>
      <c r="C91" s="990"/>
      <c r="D91" s="989">
        <v>0</v>
      </c>
      <c r="E91" s="989">
        <v>0</v>
      </c>
      <c r="F91" s="989">
        <v>0</v>
      </c>
      <c r="G91" s="989">
        <v>0</v>
      </c>
      <c r="H91" s="989">
        <v>0</v>
      </c>
      <c r="I91" s="989">
        <v>0</v>
      </c>
      <c r="J91" s="989">
        <v>0</v>
      </c>
      <c r="K91" s="989">
        <v>0</v>
      </c>
      <c r="L91" s="989">
        <v>0</v>
      </c>
      <c r="M91" s="989">
        <v>0</v>
      </c>
      <c r="N91" s="989">
        <v>0</v>
      </c>
      <c r="O91" s="989">
        <v>0</v>
      </c>
      <c r="P91" s="989">
        <v>0</v>
      </c>
      <c r="Q91" s="989">
        <v>0</v>
      </c>
      <c r="R91" s="989">
        <v>0</v>
      </c>
      <c r="S91" s="989">
        <v>0</v>
      </c>
      <c r="T91" s="989">
        <v>0</v>
      </c>
      <c r="U91" s="989">
        <v>0</v>
      </c>
      <c r="V91" s="989">
        <v>0</v>
      </c>
      <c r="W91" s="989">
        <v>0</v>
      </c>
      <c r="X91" s="989">
        <v>0</v>
      </c>
      <c r="Y91" s="989">
        <v>0</v>
      </c>
      <c r="Z91" s="989">
        <v>0</v>
      </c>
      <c r="AA91" s="989">
        <v>0</v>
      </c>
      <c r="AB91" s="989">
        <v>0</v>
      </c>
      <c r="AC91" s="989">
        <v>0</v>
      </c>
      <c r="AD91" s="989">
        <v>0</v>
      </c>
      <c r="AE91" s="989">
        <v>0</v>
      </c>
      <c r="AF91" s="989">
        <v>0</v>
      </c>
      <c r="AG91" s="989">
        <v>0</v>
      </c>
      <c r="AH91" s="989">
        <v>0</v>
      </c>
      <c r="AI91" s="989">
        <v>0</v>
      </c>
      <c r="AJ91" s="989">
        <v>0</v>
      </c>
      <c r="AK91" s="989">
        <v>0</v>
      </c>
      <c r="AL91" s="989">
        <v>0</v>
      </c>
      <c r="AM91" s="989">
        <v>0</v>
      </c>
      <c r="AN91" s="989">
        <v>0</v>
      </c>
      <c r="AO91" s="989">
        <v>0</v>
      </c>
      <c r="AP91" s="989"/>
      <c r="AQ91" s="989">
        <v>0</v>
      </c>
      <c r="AR91" s="989">
        <v>0</v>
      </c>
      <c r="AS91" s="989">
        <v>0</v>
      </c>
      <c r="AT91" s="989">
        <v>0</v>
      </c>
      <c r="AU91" s="989">
        <v>0</v>
      </c>
      <c r="AV91" s="989">
        <v>0</v>
      </c>
      <c r="AW91" s="989"/>
      <c r="AX91" s="989"/>
      <c r="AY91" s="989"/>
      <c r="AZ91" s="989"/>
      <c r="BA91" s="989"/>
      <c r="BB91" s="20"/>
      <c r="BC91" s="993">
        <f t="shared" si="166"/>
        <v>0</v>
      </c>
      <c r="BD91" s="993">
        <f t="shared" si="166"/>
        <v>0</v>
      </c>
      <c r="BE91" s="993">
        <f t="shared" si="163"/>
        <v>0</v>
      </c>
      <c r="BF91" s="993">
        <f t="shared" si="164"/>
        <v>0</v>
      </c>
      <c r="BG91" s="993">
        <f t="shared" si="115"/>
        <v>0</v>
      </c>
      <c r="BH91" s="993">
        <f t="shared" si="116"/>
        <v>0</v>
      </c>
      <c r="BI91" s="993">
        <f t="shared" si="167"/>
        <v>0</v>
      </c>
      <c r="BJ91" s="993">
        <f t="shared" si="167"/>
        <v>0</v>
      </c>
      <c r="BK91" s="993">
        <f t="shared" si="168"/>
        <v>0</v>
      </c>
      <c r="BL91" s="993">
        <f t="shared" si="169"/>
        <v>0</v>
      </c>
      <c r="BM91" s="993">
        <f t="shared" si="170"/>
        <v>0</v>
      </c>
      <c r="BN91" s="993">
        <f t="shared" si="171"/>
        <v>0</v>
      </c>
      <c r="BO91" s="993">
        <f t="shared" si="171"/>
        <v>0</v>
      </c>
      <c r="BP91" s="993">
        <f t="shared" si="172"/>
        <v>0</v>
      </c>
      <c r="BQ91" s="993">
        <f t="shared" si="173"/>
        <v>0</v>
      </c>
      <c r="BR91" s="993">
        <f t="shared" si="174"/>
        <v>0</v>
      </c>
      <c r="BS91" s="993">
        <f t="shared" si="175"/>
        <v>0</v>
      </c>
      <c r="BT91" s="993">
        <f t="shared" si="176"/>
        <v>0</v>
      </c>
      <c r="BU91" s="993">
        <f t="shared" si="177"/>
        <v>0</v>
      </c>
      <c r="BV91" s="993">
        <f t="shared" si="178"/>
        <v>0</v>
      </c>
      <c r="BW91" s="993">
        <f t="shared" si="179"/>
        <v>0</v>
      </c>
      <c r="BX91" s="993">
        <f t="shared" si="180"/>
        <v>0</v>
      </c>
      <c r="BY91" s="993">
        <f t="shared" si="181"/>
        <v>0</v>
      </c>
      <c r="BZ91" s="993">
        <f t="shared" si="182"/>
        <v>0</v>
      </c>
      <c r="CA91" s="993">
        <f t="shared" si="183"/>
        <v>0</v>
      </c>
      <c r="CB91" s="993">
        <f t="shared" si="184"/>
        <v>0</v>
      </c>
      <c r="CC91" s="993">
        <f t="shared" si="184"/>
        <v>0</v>
      </c>
      <c r="CD91" s="993">
        <f t="shared" si="184"/>
        <v>0</v>
      </c>
      <c r="CE91" s="993">
        <f t="shared" si="185"/>
        <v>0</v>
      </c>
      <c r="CF91" s="993">
        <f t="shared" si="186"/>
        <v>0</v>
      </c>
      <c r="CG91" s="993">
        <f t="shared" si="187"/>
        <v>0</v>
      </c>
      <c r="CH91" s="993">
        <f t="shared" si="188"/>
        <v>0</v>
      </c>
      <c r="CI91" s="993">
        <f t="shared" si="189"/>
        <v>0</v>
      </c>
      <c r="CJ91" s="993">
        <f t="shared" si="190"/>
        <v>0</v>
      </c>
      <c r="CK91" s="993">
        <f t="shared" si="191"/>
        <v>0</v>
      </c>
      <c r="CL91" s="993">
        <f t="shared" si="192"/>
        <v>0</v>
      </c>
      <c r="CM91" s="993">
        <f t="shared" si="193"/>
        <v>0</v>
      </c>
      <c r="CN91" s="993">
        <f t="shared" si="194"/>
        <v>0</v>
      </c>
      <c r="CO91" s="993">
        <f t="shared" si="195"/>
        <v>0</v>
      </c>
      <c r="CP91" s="993">
        <f t="shared" si="196"/>
        <v>0</v>
      </c>
      <c r="CQ91" s="993">
        <f t="shared" si="197"/>
        <v>0</v>
      </c>
      <c r="CR91" s="993">
        <f t="shared" si="198"/>
        <v>0</v>
      </c>
      <c r="CS91" s="993">
        <f t="shared" si="199"/>
        <v>0</v>
      </c>
      <c r="CT91" s="993">
        <f t="shared" si="200"/>
        <v>0</v>
      </c>
      <c r="CU91" s="993">
        <f t="shared" si="201"/>
        <v>0</v>
      </c>
      <c r="CV91" s="993">
        <f t="shared" si="202"/>
        <v>0</v>
      </c>
      <c r="CW91" s="993">
        <f t="shared" si="203"/>
        <v>0</v>
      </c>
      <c r="CX91" s="993">
        <f t="shared" si="204"/>
        <v>0</v>
      </c>
      <c r="CY91" s="993">
        <f t="shared" si="205"/>
        <v>0</v>
      </c>
      <c r="CZ91" s="993">
        <f t="shared" si="206"/>
        <v>0</v>
      </c>
    </row>
    <row r="92" spans="1:104" x14ac:dyDescent="0.35">
      <c r="A92" s="301"/>
      <c r="B92" s="992"/>
      <c r="C92" s="991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  <c r="AG92" s="989"/>
      <c r="AH92" s="989"/>
      <c r="AI92" s="989"/>
      <c r="AJ92" s="989"/>
      <c r="AK92" s="989"/>
      <c r="AL92" s="989"/>
      <c r="AM92" s="989"/>
      <c r="AN92" s="989"/>
      <c r="AO92" s="989"/>
      <c r="AP92" s="989"/>
      <c r="AQ92" s="989"/>
      <c r="AR92" s="989"/>
      <c r="AS92" s="989"/>
      <c r="AT92" s="989"/>
      <c r="AU92" s="989"/>
      <c r="AV92" s="989"/>
      <c r="AW92" s="989"/>
      <c r="AX92" s="989"/>
      <c r="AY92" s="989"/>
      <c r="AZ92" s="989"/>
      <c r="BA92" s="989"/>
      <c r="BB92" s="20"/>
      <c r="BC92" s="992"/>
      <c r="BD92" s="992"/>
      <c r="BE92" s="992"/>
      <c r="BF92" s="992"/>
      <c r="BG92" s="992"/>
      <c r="BH92" s="992"/>
      <c r="BI92" s="992"/>
      <c r="BJ92" s="992"/>
      <c r="BK92" s="992"/>
      <c r="BL92" s="992"/>
      <c r="BM92" s="992"/>
      <c r="BN92" s="992"/>
      <c r="BO92" s="992"/>
      <c r="BP92" s="992"/>
      <c r="BQ92" s="992"/>
      <c r="BR92" s="992"/>
      <c r="BS92" s="992"/>
      <c r="BT92" s="992"/>
      <c r="BU92" s="992"/>
      <c r="BV92" s="992"/>
      <c r="BW92" s="992"/>
      <c r="BX92" s="992"/>
      <c r="BY92" s="992"/>
      <c r="BZ92" s="992"/>
      <c r="CA92" s="992"/>
      <c r="CB92" s="992"/>
      <c r="CC92" s="992"/>
      <c r="CD92" s="992"/>
      <c r="CE92" s="992"/>
      <c r="CF92" s="992"/>
      <c r="CG92" s="992"/>
      <c r="CH92" s="992"/>
      <c r="CI92" s="992"/>
      <c r="CJ92" s="992"/>
      <c r="CK92" s="992"/>
      <c r="CL92" s="992"/>
      <c r="CM92" s="992"/>
      <c r="CN92" s="992"/>
      <c r="CO92" s="992"/>
      <c r="CP92" s="992"/>
      <c r="CQ92" s="992"/>
      <c r="CR92" s="992"/>
      <c r="CS92" s="992"/>
      <c r="CT92" s="992"/>
      <c r="CU92" s="992"/>
      <c r="CV92" s="992"/>
      <c r="CW92" s="992"/>
      <c r="CX92" s="992"/>
      <c r="CY92" s="992"/>
      <c r="CZ92" s="992"/>
    </row>
    <row r="93" spans="1:104" x14ac:dyDescent="0.35">
      <c r="A93" s="301"/>
      <c r="B93" s="992"/>
      <c r="C93" s="991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89"/>
      <c r="AK93" s="989"/>
      <c r="AL93" s="989"/>
      <c r="AM93" s="989"/>
      <c r="AN93" s="989"/>
      <c r="AO93" s="989"/>
      <c r="AP93" s="989"/>
      <c r="AQ93" s="989"/>
      <c r="AR93" s="989"/>
      <c r="AS93" s="989"/>
      <c r="AT93" s="989"/>
      <c r="AU93" s="989"/>
      <c r="AV93" s="989"/>
      <c r="AW93" s="989"/>
      <c r="AX93" s="989"/>
      <c r="AY93" s="989"/>
      <c r="AZ93" s="989"/>
      <c r="BA93" s="989"/>
      <c r="BB93" s="20"/>
      <c r="BC93" s="992"/>
      <c r="BD93" s="992"/>
      <c r="BE93" s="992"/>
      <c r="BF93" s="992"/>
      <c r="BG93" s="992"/>
      <c r="BH93" s="992"/>
      <c r="BI93" s="992"/>
      <c r="BJ93" s="992"/>
      <c r="BK93" s="992"/>
      <c r="BL93" s="992"/>
      <c r="BM93" s="992"/>
      <c r="BN93" s="992"/>
      <c r="BO93" s="992"/>
      <c r="BP93" s="992"/>
      <c r="BQ93" s="992"/>
      <c r="BR93" s="992"/>
      <c r="BS93" s="992"/>
      <c r="BT93" s="992"/>
      <c r="BU93" s="992"/>
      <c r="BV93" s="992"/>
      <c r="BW93" s="992"/>
      <c r="BX93" s="992"/>
      <c r="BY93" s="992"/>
      <c r="BZ93" s="992"/>
      <c r="CA93" s="992"/>
      <c r="CB93" s="992"/>
      <c r="CC93" s="992"/>
      <c r="CD93" s="992"/>
      <c r="CE93" s="992"/>
      <c r="CF93" s="992"/>
      <c r="CG93" s="992"/>
      <c r="CH93" s="992"/>
      <c r="CI93" s="992"/>
      <c r="CJ93" s="992"/>
      <c r="CK93" s="992"/>
      <c r="CL93" s="992"/>
      <c r="CM93" s="992"/>
      <c r="CN93" s="992"/>
      <c r="CO93" s="992"/>
      <c r="CP93" s="992"/>
      <c r="CQ93" s="992"/>
      <c r="CR93" s="992"/>
      <c r="CS93" s="992"/>
      <c r="CT93" s="992"/>
      <c r="CU93" s="992"/>
      <c r="CV93" s="992"/>
      <c r="CW93" s="992"/>
      <c r="CX93" s="992"/>
      <c r="CY93" s="992"/>
      <c r="CZ93" s="992"/>
    </row>
    <row r="94" spans="1:104" ht="13.15" x14ac:dyDescent="0.4">
      <c r="A94" s="388" t="str">
        <f>Machine!A57</f>
        <v>Self-Propelled Pre-Harvest</v>
      </c>
      <c r="B94" s="992"/>
      <c r="C94" s="991"/>
      <c r="D94" s="989"/>
      <c r="E94" s="989"/>
      <c r="F94" s="989"/>
      <c r="G94" s="989"/>
      <c r="H94" s="989"/>
      <c r="I94" s="989"/>
      <c r="J94" s="989"/>
      <c r="K94" s="989"/>
      <c r="L94" s="989"/>
      <c r="M94" s="989"/>
      <c r="N94" s="989"/>
      <c r="O94" s="989"/>
      <c r="P94" s="989"/>
      <c r="Q94" s="989"/>
      <c r="R94" s="989"/>
      <c r="S94" s="989"/>
      <c r="T94" s="989"/>
      <c r="U94" s="989"/>
      <c r="V94" s="989"/>
      <c r="W94" s="989"/>
      <c r="X94" s="989"/>
      <c r="Y94" s="989"/>
      <c r="Z94" s="989"/>
      <c r="AA94" s="989"/>
      <c r="AB94" s="989"/>
      <c r="AC94" s="989"/>
      <c r="AD94" s="989"/>
      <c r="AE94" s="989"/>
      <c r="AF94" s="989"/>
      <c r="AG94" s="989"/>
      <c r="AH94" s="989"/>
      <c r="AI94" s="989"/>
      <c r="AJ94" s="989"/>
      <c r="AK94" s="989"/>
      <c r="AL94" s="989"/>
      <c r="AM94" s="989"/>
      <c r="AN94" s="989"/>
      <c r="AO94" s="989"/>
      <c r="AP94" s="989"/>
      <c r="AQ94" s="989"/>
      <c r="AR94" s="989"/>
      <c r="AS94" s="989"/>
      <c r="AT94" s="989"/>
      <c r="AU94" s="989"/>
      <c r="AV94" s="989"/>
      <c r="AW94" s="989"/>
      <c r="AX94" s="989"/>
      <c r="AY94" s="989"/>
      <c r="AZ94" s="989"/>
      <c r="BA94" s="989"/>
      <c r="BB94" s="20"/>
      <c r="BC94" s="992"/>
      <c r="BD94" s="992"/>
      <c r="BE94" s="992"/>
      <c r="BF94" s="992"/>
      <c r="BG94" s="992"/>
      <c r="BH94" s="992"/>
      <c r="BI94" s="992"/>
      <c r="BJ94" s="992"/>
      <c r="BK94" s="992"/>
      <c r="BL94" s="992"/>
      <c r="BM94" s="992"/>
      <c r="BN94" s="992"/>
      <c r="BO94" s="992"/>
      <c r="BP94" s="992"/>
      <c r="BQ94" s="992"/>
      <c r="BR94" s="992"/>
      <c r="BS94" s="992"/>
      <c r="BT94" s="992"/>
      <c r="BU94" s="992"/>
      <c r="BV94" s="992"/>
      <c r="BW94" s="992"/>
      <c r="BX94" s="992"/>
      <c r="BY94" s="992"/>
      <c r="BZ94" s="992"/>
      <c r="CA94" s="992"/>
      <c r="CB94" s="992"/>
      <c r="CC94" s="992"/>
      <c r="CD94" s="992"/>
      <c r="CE94" s="992"/>
      <c r="CF94" s="992"/>
      <c r="CG94" s="992"/>
      <c r="CH94" s="992"/>
      <c r="CI94" s="992"/>
      <c r="CJ94" s="992"/>
      <c r="CK94" s="992"/>
      <c r="CL94" s="992"/>
      <c r="CM94" s="992"/>
      <c r="CN94" s="992"/>
      <c r="CO94" s="992"/>
      <c r="CP94" s="992"/>
      <c r="CQ94" s="992"/>
      <c r="CR94" s="992"/>
      <c r="CS94" s="992"/>
      <c r="CT94" s="992"/>
      <c r="CU94" s="992"/>
      <c r="CV94" s="992"/>
      <c r="CW94" s="992"/>
      <c r="CX94" s="992"/>
      <c r="CY94" s="992"/>
      <c r="CZ94" s="992"/>
    </row>
    <row r="95" spans="1:104" x14ac:dyDescent="0.35">
      <c r="A95" s="301" t="str">
        <f>Machine!A58</f>
        <v>Self-Propelled Sprayer</v>
      </c>
      <c r="B95" s="993">
        <f>IF(B$2=1,SUM(BC95:CZ95),"Error")</f>
        <v>0</v>
      </c>
      <c r="C95" s="990"/>
      <c r="D95" s="989">
        <v>0</v>
      </c>
      <c r="E95" s="989">
        <v>0</v>
      </c>
      <c r="F95" s="989">
        <v>0</v>
      </c>
      <c r="G95" s="989">
        <v>0</v>
      </c>
      <c r="H95" s="989">
        <v>0</v>
      </c>
      <c r="I95" s="989">
        <v>0</v>
      </c>
      <c r="J95" s="989">
        <v>0</v>
      </c>
      <c r="K95" s="989">
        <v>0</v>
      </c>
      <c r="L95" s="989">
        <v>0</v>
      </c>
      <c r="M95" s="989">
        <v>0</v>
      </c>
      <c r="N95" s="989">
        <v>0</v>
      </c>
      <c r="O95" s="989">
        <v>0</v>
      </c>
      <c r="P95" s="989">
        <v>0</v>
      </c>
      <c r="Q95" s="989">
        <v>0</v>
      </c>
      <c r="R95" s="989">
        <v>0</v>
      </c>
      <c r="S95" s="989">
        <v>0</v>
      </c>
      <c r="T95" s="989">
        <v>0</v>
      </c>
      <c r="U95" s="989">
        <v>0</v>
      </c>
      <c r="V95" s="989">
        <v>0</v>
      </c>
      <c r="W95" s="989">
        <v>0</v>
      </c>
      <c r="X95" s="989">
        <v>0</v>
      </c>
      <c r="Y95" s="989">
        <v>0</v>
      </c>
      <c r="Z95" s="989">
        <v>0</v>
      </c>
      <c r="AA95" s="989">
        <v>0</v>
      </c>
      <c r="AB95" s="989">
        <v>0</v>
      </c>
      <c r="AC95" s="989">
        <v>0</v>
      </c>
      <c r="AD95" s="989">
        <v>0</v>
      </c>
      <c r="AE95" s="989">
        <v>0</v>
      </c>
      <c r="AF95" s="989">
        <v>0</v>
      </c>
      <c r="AG95" s="989">
        <v>0</v>
      </c>
      <c r="AH95" s="989">
        <v>0</v>
      </c>
      <c r="AI95" s="989">
        <v>0</v>
      </c>
      <c r="AJ95" s="989">
        <v>0</v>
      </c>
      <c r="AK95" s="989">
        <v>0</v>
      </c>
      <c r="AL95" s="989">
        <v>0</v>
      </c>
      <c r="AM95" s="989">
        <v>0</v>
      </c>
      <c r="AN95" s="989">
        <v>0</v>
      </c>
      <c r="AO95" s="989">
        <v>0</v>
      </c>
      <c r="AP95" s="989"/>
      <c r="AQ95" s="989">
        <v>0</v>
      </c>
      <c r="AR95" s="989">
        <v>0</v>
      </c>
      <c r="AS95" s="989">
        <v>0</v>
      </c>
      <c r="AT95" s="989">
        <v>0</v>
      </c>
      <c r="AU95" s="989">
        <v>0</v>
      </c>
      <c r="AV95" s="989">
        <v>0</v>
      </c>
      <c r="AW95" s="989"/>
      <c r="AX95" s="989"/>
      <c r="AY95" s="989"/>
      <c r="AZ95" s="989"/>
      <c r="BA95" s="989"/>
      <c r="BB95" s="20"/>
      <c r="BC95" s="993">
        <f t="shared" ref="BC95:BD97" si="207">IF(D$2=1,D95,0)</f>
        <v>0</v>
      </c>
      <c r="BD95" s="993">
        <f t="shared" si="207"/>
        <v>0</v>
      </c>
      <c r="BE95" s="993">
        <f t="shared" ref="BE95:BH97" si="208">IF(F$2=1,F95,0)</f>
        <v>0</v>
      </c>
      <c r="BF95" s="993">
        <f t="shared" si="208"/>
        <v>0</v>
      </c>
      <c r="BG95" s="993">
        <f t="shared" si="208"/>
        <v>0</v>
      </c>
      <c r="BH95" s="993">
        <f t="shared" si="208"/>
        <v>0</v>
      </c>
      <c r="BI95" s="993">
        <f t="shared" ref="BI95:BJ97" si="209">IF(J$2=1,J95,0)</f>
        <v>0</v>
      </c>
      <c r="BJ95" s="993">
        <f t="shared" si="209"/>
        <v>0</v>
      </c>
      <c r="BK95" s="993">
        <f t="shared" ref="BK95:BM97" si="210">IF(L$2=1,L95,0)</f>
        <v>0</v>
      </c>
      <c r="BL95" s="993">
        <f t="shared" si="210"/>
        <v>0</v>
      </c>
      <c r="BM95" s="993">
        <f t="shared" si="210"/>
        <v>0</v>
      </c>
      <c r="BN95" s="993">
        <f t="shared" ref="BN95:BO97" si="211">IF(O$2=1,O95,0)</f>
        <v>0</v>
      </c>
      <c r="BO95" s="993">
        <f t="shared" si="211"/>
        <v>0</v>
      </c>
      <c r="BP95" s="993">
        <f t="shared" ref="BP95:CA97" si="212">IF(Q$2=1,Q95,0)</f>
        <v>0</v>
      </c>
      <c r="BQ95" s="993">
        <f t="shared" si="212"/>
        <v>0</v>
      </c>
      <c r="BR95" s="993">
        <f t="shared" si="212"/>
        <v>0</v>
      </c>
      <c r="BS95" s="993">
        <f t="shared" si="212"/>
        <v>0</v>
      </c>
      <c r="BT95" s="993">
        <f t="shared" si="212"/>
        <v>0</v>
      </c>
      <c r="BU95" s="993">
        <f t="shared" si="212"/>
        <v>0</v>
      </c>
      <c r="BV95" s="993">
        <f t="shared" si="212"/>
        <v>0</v>
      </c>
      <c r="BW95" s="993">
        <f t="shared" si="212"/>
        <v>0</v>
      </c>
      <c r="BX95" s="993">
        <f t="shared" si="212"/>
        <v>0</v>
      </c>
      <c r="BY95" s="993">
        <f t="shared" si="212"/>
        <v>0</v>
      </c>
      <c r="BZ95" s="993">
        <f t="shared" si="212"/>
        <v>0</v>
      </c>
      <c r="CA95" s="993">
        <f t="shared" si="212"/>
        <v>0</v>
      </c>
      <c r="CB95" s="993">
        <f t="shared" ref="CB95:CD97" si="213">IF(AC$2=1,AC95,0)</f>
        <v>0</v>
      </c>
      <c r="CC95" s="993">
        <f t="shared" si="213"/>
        <v>0</v>
      </c>
      <c r="CD95" s="993">
        <f t="shared" si="213"/>
        <v>0</v>
      </c>
      <c r="CE95" s="993">
        <f t="shared" ref="CE95:CN97" si="214">IF(AF$2=1,AF95,0)</f>
        <v>0</v>
      </c>
      <c r="CF95" s="993">
        <f t="shared" si="214"/>
        <v>0</v>
      </c>
      <c r="CG95" s="993">
        <f t="shared" si="214"/>
        <v>0</v>
      </c>
      <c r="CH95" s="993">
        <f t="shared" si="214"/>
        <v>0</v>
      </c>
      <c r="CI95" s="993">
        <f t="shared" si="214"/>
        <v>0</v>
      </c>
      <c r="CJ95" s="993">
        <f t="shared" si="214"/>
        <v>0</v>
      </c>
      <c r="CK95" s="993">
        <f t="shared" si="214"/>
        <v>0</v>
      </c>
      <c r="CL95" s="993">
        <f t="shared" si="214"/>
        <v>0</v>
      </c>
      <c r="CM95" s="993">
        <f t="shared" si="214"/>
        <v>0</v>
      </c>
      <c r="CN95" s="993">
        <f t="shared" si="214"/>
        <v>0</v>
      </c>
      <c r="CO95" s="993">
        <f t="shared" ref="CO95:CX97" si="215">IF(AP$2=1,AP95,0)</f>
        <v>0</v>
      </c>
      <c r="CP95" s="993">
        <f t="shared" si="215"/>
        <v>0</v>
      </c>
      <c r="CQ95" s="993">
        <f t="shared" si="215"/>
        <v>0</v>
      </c>
      <c r="CR95" s="993">
        <f t="shared" si="215"/>
        <v>0</v>
      </c>
      <c r="CS95" s="993">
        <f t="shared" si="215"/>
        <v>0</v>
      </c>
      <c r="CT95" s="993">
        <f t="shared" si="215"/>
        <v>0</v>
      </c>
      <c r="CU95" s="993">
        <f t="shared" si="215"/>
        <v>0</v>
      </c>
      <c r="CV95" s="993">
        <f t="shared" si="215"/>
        <v>0</v>
      </c>
      <c r="CW95" s="993">
        <f t="shared" si="215"/>
        <v>0</v>
      </c>
      <c r="CX95" s="993">
        <f t="shared" si="215"/>
        <v>0</v>
      </c>
      <c r="CY95" s="993">
        <f t="shared" ref="CY95:CZ97" si="216">IF(AZ$2=1,AZ95,0)</f>
        <v>0</v>
      </c>
      <c r="CZ95" s="993">
        <f t="shared" si="216"/>
        <v>0</v>
      </c>
    </row>
    <row r="96" spans="1:104" x14ac:dyDescent="0.35">
      <c r="A96" s="301" t="str">
        <f>Machine!A59</f>
        <v>ATV with  Spot, Levee Sprayer</v>
      </c>
      <c r="B96" s="993">
        <f>IF(B$2=1,SUM(BC96:CZ96),"Error")</f>
        <v>0</v>
      </c>
      <c r="C96" s="990"/>
      <c r="D96" s="989">
        <v>0</v>
      </c>
      <c r="E96" s="989">
        <v>0</v>
      </c>
      <c r="F96" s="989">
        <v>0</v>
      </c>
      <c r="G96" s="989">
        <v>0</v>
      </c>
      <c r="H96" s="989">
        <v>0</v>
      </c>
      <c r="I96" s="989">
        <v>0</v>
      </c>
      <c r="J96" s="989">
        <v>0</v>
      </c>
      <c r="K96" s="989">
        <v>0</v>
      </c>
      <c r="L96" s="989">
        <v>0</v>
      </c>
      <c r="M96" s="989">
        <v>0</v>
      </c>
      <c r="N96" s="989">
        <v>0</v>
      </c>
      <c r="O96" s="989">
        <v>0</v>
      </c>
      <c r="P96" s="989">
        <v>0</v>
      </c>
      <c r="Q96" s="989">
        <v>0</v>
      </c>
      <c r="R96" s="989">
        <v>0</v>
      </c>
      <c r="S96" s="989">
        <v>0</v>
      </c>
      <c r="T96" s="989">
        <v>0</v>
      </c>
      <c r="U96" s="989">
        <v>0</v>
      </c>
      <c r="V96" s="989">
        <v>0</v>
      </c>
      <c r="W96" s="989">
        <v>0</v>
      </c>
      <c r="X96" s="989">
        <v>0</v>
      </c>
      <c r="Y96" s="989">
        <v>0</v>
      </c>
      <c r="Z96" s="989">
        <v>0</v>
      </c>
      <c r="AA96" s="989">
        <v>0</v>
      </c>
      <c r="AB96" s="989">
        <v>0</v>
      </c>
      <c r="AC96" s="989">
        <v>0</v>
      </c>
      <c r="AD96" s="989">
        <v>0</v>
      </c>
      <c r="AE96" s="989">
        <v>0</v>
      </c>
      <c r="AF96" s="989">
        <v>0</v>
      </c>
      <c r="AG96" s="989">
        <v>0</v>
      </c>
      <c r="AH96" s="989">
        <v>0</v>
      </c>
      <c r="AI96" s="989">
        <v>0</v>
      </c>
      <c r="AJ96" s="989">
        <v>0</v>
      </c>
      <c r="AK96" s="989">
        <v>0</v>
      </c>
      <c r="AL96" s="989">
        <v>0</v>
      </c>
      <c r="AM96" s="989">
        <v>0</v>
      </c>
      <c r="AN96" s="989">
        <v>0</v>
      </c>
      <c r="AO96" s="989">
        <v>0</v>
      </c>
      <c r="AP96" s="989"/>
      <c r="AQ96" s="989">
        <v>0</v>
      </c>
      <c r="AR96" s="989">
        <v>0</v>
      </c>
      <c r="AS96" s="989">
        <v>0</v>
      </c>
      <c r="AT96" s="989">
        <v>0</v>
      </c>
      <c r="AU96" s="989">
        <v>0</v>
      </c>
      <c r="AV96" s="989">
        <v>0</v>
      </c>
      <c r="AW96" s="989"/>
      <c r="AX96" s="989"/>
      <c r="AY96" s="989"/>
      <c r="AZ96" s="989"/>
      <c r="BA96" s="989"/>
      <c r="BB96" s="20"/>
      <c r="BC96" s="993">
        <f t="shared" si="207"/>
        <v>0</v>
      </c>
      <c r="BD96" s="993">
        <f t="shared" si="207"/>
        <v>0</v>
      </c>
      <c r="BE96" s="993">
        <f t="shared" si="208"/>
        <v>0</v>
      </c>
      <c r="BF96" s="993">
        <f t="shared" si="208"/>
        <v>0</v>
      </c>
      <c r="BG96" s="993">
        <f t="shared" si="208"/>
        <v>0</v>
      </c>
      <c r="BH96" s="993">
        <f t="shared" si="208"/>
        <v>0</v>
      </c>
      <c r="BI96" s="993">
        <f t="shared" si="209"/>
        <v>0</v>
      </c>
      <c r="BJ96" s="993">
        <f t="shared" si="209"/>
        <v>0</v>
      </c>
      <c r="BK96" s="993">
        <f t="shared" si="210"/>
        <v>0</v>
      </c>
      <c r="BL96" s="993">
        <f t="shared" si="210"/>
        <v>0</v>
      </c>
      <c r="BM96" s="993">
        <f t="shared" si="210"/>
        <v>0</v>
      </c>
      <c r="BN96" s="993">
        <f t="shared" si="211"/>
        <v>0</v>
      </c>
      <c r="BO96" s="993">
        <f t="shared" si="211"/>
        <v>0</v>
      </c>
      <c r="BP96" s="993">
        <f t="shared" si="212"/>
        <v>0</v>
      </c>
      <c r="BQ96" s="993">
        <f t="shared" si="212"/>
        <v>0</v>
      </c>
      <c r="BR96" s="993">
        <f t="shared" si="212"/>
        <v>0</v>
      </c>
      <c r="BS96" s="993">
        <f t="shared" si="212"/>
        <v>0</v>
      </c>
      <c r="BT96" s="993">
        <f t="shared" si="212"/>
        <v>0</v>
      </c>
      <c r="BU96" s="993">
        <f t="shared" si="212"/>
        <v>0</v>
      </c>
      <c r="BV96" s="993">
        <f t="shared" si="212"/>
        <v>0</v>
      </c>
      <c r="BW96" s="993">
        <f t="shared" si="212"/>
        <v>0</v>
      </c>
      <c r="BX96" s="993">
        <f t="shared" si="212"/>
        <v>0</v>
      </c>
      <c r="BY96" s="993">
        <f t="shared" si="212"/>
        <v>0</v>
      </c>
      <c r="BZ96" s="993">
        <f t="shared" si="212"/>
        <v>0</v>
      </c>
      <c r="CA96" s="993">
        <f t="shared" si="212"/>
        <v>0</v>
      </c>
      <c r="CB96" s="993">
        <f t="shared" si="213"/>
        <v>0</v>
      </c>
      <c r="CC96" s="993">
        <f t="shared" si="213"/>
        <v>0</v>
      </c>
      <c r="CD96" s="993">
        <f t="shared" si="213"/>
        <v>0</v>
      </c>
      <c r="CE96" s="993">
        <f t="shared" si="214"/>
        <v>0</v>
      </c>
      <c r="CF96" s="993">
        <f t="shared" si="214"/>
        <v>0</v>
      </c>
      <c r="CG96" s="993">
        <f t="shared" si="214"/>
        <v>0</v>
      </c>
      <c r="CH96" s="993">
        <f t="shared" si="214"/>
        <v>0</v>
      </c>
      <c r="CI96" s="993">
        <f t="shared" si="214"/>
        <v>0</v>
      </c>
      <c r="CJ96" s="993">
        <f t="shared" si="214"/>
        <v>0</v>
      </c>
      <c r="CK96" s="993">
        <f t="shared" si="214"/>
        <v>0</v>
      </c>
      <c r="CL96" s="993">
        <f t="shared" si="214"/>
        <v>0</v>
      </c>
      <c r="CM96" s="993">
        <f t="shared" si="214"/>
        <v>0</v>
      </c>
      <c r="CN96" s="993">
        <f t="shared" si="214"/>
        <v>0</v>
      </c>
      <c r="CO96" s="993">
        <f t="shared" si="215"/>
        <v>0</v>
      </c>
      <c r="CP96" s="993">
        <f t="shared" si="215"/>
        <v>0</v>
      </c>
      <c r="CQ96" s="993">
        <f t="shared" si="215"/>
        <v>0</v>
      </c>
      <c r="CR96" s="993">
        <f t="shared" si="215"/>
        <v>0</v>
      </c>
      <c r="CS96" s="993">
        <f t="shared" si="215"/>
        <v>0</v>
      </c>
      <c r="CT96" s="993">
        <f t="shared" si="215"/>
        <v>0</v>
      </c>
      <c r="CU96" s="993">
        <f t="shared" si="215"/>
        <v>0</v>
      </c>
      <c r="CV96" s="993">
        <f t="shared" si="215"/>
        <v>0</v>
      </c>
      <c r="CW96" s="993">
        <f t="shared" si="215"/>
        <v>0</v>
      </c>
      <c r="CX96" s="993">
        <f t="shared" si="215"/>
        <v>0</v>
      </c>
      <c r="CY96" s="993">
        <f t="shared" si="216"/>
        <v>0</v>
      </c>
      <c r="CZ96" s="993">
        <f t="shared" si="216"/>
        <v>0</v>
      </c>
    </row>
    <row r="97" spans="1:104" x14ac:dyDescent="0.35">
      <c r="A97" s="301" t="str">
        <f>Machine!A60</f>
        <v>Dry Box Spreader</v>
      </c>
      <c r="B97" s="993">
        <f>IF(B$2=1,SUM(BC97:CZ97),"Error")</f>
        <v>0</v>
      </c>
      <c r="C97" s="990"/>
      <c r="D97" s="989">
        <v>0</v>
      </c>
      <c r="E97" s="989">
        <v>0</v>
      </c>
      <c r="F97" s="989">
        <v>0</v>
      </c>
      <c r="G97" s="989">
        <v>0</v>
      </c>
      <c r="H97" s="989">
        <v>0</v>
      </c>
      <c r="I97" s="989">
        <v>0</v>
      </c>
      <c r="J97" s="989">
        <v>0</v>
      </c>
      <c r="K97" s="989">
        <v>0</v>
      </c>
      <c r="L97" s="989">
        <v>0</v>
      </c>
      <c r="M97" s="989">
        <v>0</v>
      </c>
      <c r="N97" s="989">
        <v>0</v>
      </c>
      <c r="O97" s="989">
        <v>0</v>
      </c>
      <c r="P97" s="989">
        <v>0</v>
      </c>
      <c r="Q97" s="989">
        <v>0</v>
      </c>
      <c r="R97" s="989">
        <v>0</v>
      </c>
      <c r="S97" s="989">
        <v>0</v>
      </c>
      <c r="T97" s="989">
        <v>0</v>
      </c>
      <c r="U97" s="989">
        <v>0</v>
      </c>
      <c r="V97" s="989">
        <v>0</v>
      </c>
      <c r="W97" s="989">
        <v>0</v>
      </c>
      <c r="X97" s="989">
        <v>0</v>
      </c>
      <c r="Y97" s="989">
        <v>0</v>
      </c>
      <c r="Z97" s="989">
        <v>0</v>
      </c>
      <c r="AA97" s="989">
        <v>0</v>
      </c>
      <c r="AB97" s="989">
        <v>0</v>
      </c>
      <c r="AC97" s="989">
        <v>0</v>
      </c>
      <c r="AD97" s="989">
        <v>0</v>
      </c>
      <c r="AE97" s="989">
        <v>0</v>
      </c>
      <c r="AF97" s="989">
        <v>0</v>
      </c>
      <c r="AG97" s="989">
        <v>0</v>
      </c>
      <c r="AH97" s="989">
        <v>0</v>
      </c>
      <c r="AI97" s="989">
        <v>0</v>
      </c>
      <c r="AJ97" s="989">
        <v>0</v>
      </c>
      <c r="AK97" s="989">
        <v>0</v>
      </c>
      <c r="AL97" s="989">
        <v>0</v>
      </c>
      <c r="AM97" s="989">
        <v>0</v>
      </c>
      <c r="AN97" s="989">
        <v>0</v>
      </c>
      <c r="AO97" s="989">
        <v>0</v>
      </c>
      <c r="AP97" s="989"/>
      <c r="AQ97" s="989">
        <v>0</v>
      </c>
      <c r="AR97" s="989">
        <v>0</v>
      </c>
      <c r="AS97" s="989">
        <v>0</v>
      </c>
      <c r="AT97" s="989">
        <v>0</v>
      </c>
      <c r="AU97" s="989">
        <v>0</v>
      </c>
      <c r="AV97" s="989">
        <v>0</v>
      </c>
      <c r="AW97" s="989"/>
      <c r="AX97" s="989"/>
      <c r="AY97" s="989"/>
      <c r="AZ97" s="989"/>
      <c r="BA97" s="989"/>
      <c r="BB97" s="20"/>
      <c r="BC97" s="993">
        <f t="shared" si="207"/>
        <v>0</v>
      </c>
      <c r="BD97" s="993">
        <f t="shared" si="207"/>
        <v>0</v>
      </c>
      <c r="BE97" s="993">
        <f t="shared" si="208"/>
        <v>0</v>
      </c>
      <c r="BF97" s="993">
        <f t="shared" si="208"/>
        <v>0</v>
      </c>
      <c r="BG97" s="993">
        <f t="shared" si="208"/>
        <v>0</v>
      </c>
      <c r="BH97" s="993">
        <f t="shared" si="208"/>
        <v>0</v>
      </c>
      <c r="BI97" s="993">
        <f t="shared" si="209"/>
        <v>0</v>
      </c>
      <c r="BJ97" s="993">
        <f t="shared" si="209"/>
        <v>0</v>
      </c>
      <c r="BK97" s="993">
        <f t="shared" si="210"/>
        <v>0</v>
      </c>
      <c r="BL97" s="993">
        <f t="shared" si="210"/>
        <v>0</v>
      </c>
      <c r="BM97" s="993">
        <f t="shared" si="210"/>
        <v>0</v>
      </c>
      <c r="BN97" s="993">
        <f t="shared" si="211"/>
        <v>0</v>
      </c>
      <c r="BO97" s="993">
        <f t="shared" si="211"/>
        <v>0</v>
      </c>
      <c r="BP97" s="993">
        <f t="shared" si="212"/>
        <v>0</v>
      </c>
      <c r="BQ97" s="993">
        <f t="shared" si="212"/>
        <v>0</v>
      </c>
      <c r="BR97" s="993">
        <f t="shared" si="212"/>
        <v>0</v>
      </c>
      <c r="BS97" s="993">
        <f t="shared" si="212"/>
        <v>0</v>
      </c>
      <c r="BT97" s="993">
        <f t="shared" si="212"/>
        <v>0</v>
      </c>
      <c r="BU97" s="993">
        <f t="shared" si="212"/>
        <v>0</v>
      </c>
      <c r="BV97" s="993">
        <f t="shared" si="212"/>
        <v>0</v>
      </c>
      <c r="BW97" s="993">
        <f t="shared" si="212"/>
        <v>0</v>
      </c>
      <c r="BX97" s="993">
        <f t="shared" si="212"/>
        <v>0</v>
      </c>
      <c r="BY97" s="993">
        <f t="shared" si="212"/>
        <v>0</v>
      </c>
      <c r="BZ97" s="993">
        <f t="shared" si="212"/>
        <v>0</v>
      </c>
      <c r="CA97" s="993">
        <f t="shared" si="212"/>
        <v>0</v>
      </c>
      <c r="CB97" s="993">
        <f t="shared" si="213"/>
        <v>0</v>
      </c>
      <c r="CC97" s="993">
        <f t="shared" si="213"/>
        <v>0</v>
      </c>
      <c r="CD97" s="993">
        <f t="shared" si="213"/>
        <v>0</v>
      </c>
      <c r="CE97" s="993">
        <f t="shared" si="214"/>
        <v>0</v>
      </c>
      <c r="CF97" s="993">
        <f t="shared" si="214"/>
        <v>0</v>
      </c>
      <c r="CG97" s="993">
        <f t="shared" si="214"/>
        <v>0</v>
      </c>
      <c r="CH97" s="993">
        <f t="shared" si="214"/>
        <v>0</v>
      </c>
      <c r="CI97" s="993">
        <f t="shared" si="214"/>
        <v>0</v>
      </c>
      <c r="CJ97" s="993">
        <f t="shared" si="214"/>
        <v>0</v>
      </c>
      <c r="CK97" s="993">
        <f t="shared" si="214"/>
        <v>0</v>
      </c>
      <c r="CL97" s="993">
        <f t="shared" si="214"/>
        <v>0</v>
      </c>
      <c r="CM97" s="993">
        <f t="shared" si="214"/>
        <v>0</v>
      </c>
      <c r="CN97" s="993">
        <f t="shared" si="214"/>
        <v>0</v>
      </c>
      <c r="CO97" s="993">
        <f t="shared" si="215"/>
        <v>0</v>
      </c>
      <c r="CP97" s="993">
        <f t="shared" si="215"/>
        <v>0</v>
      </c>
      <c r="CQ97" s="993">
        <f t="shared" si="215"/>
        <v>0</v>
      </c>
      <c r="CR97" s="993">
        <f t="shared" si="215"/>
        <v>0</v>
      </c>
      <c r="CS97" s="993">
        <f t="shared" si="215"/>
        <v>0</v>
      </c>
      <c r="CT97" s="993">
        <f t="shared" si="215"/>
        <v>0</v>
      </c>
      <c r="CU97" s="993">
        <f t="shared" si="215"/>
        <v>0</v>
      </c>
      <c r="CV97" s="993">
        <f t="shared" si="215"/>
        <v>0</v>
      </c>
      <c r="CW97" s="993">
        <f t="shared" si="215"/>
        <v>0</v>
      </c>
      <c r="CX97" s="993">
        <f t="shared" si="215"/>
        <v>0</v>
      </c>
      <c r="CY97" s="993">
        <f t="shared" si="216"/>
        <v>0</v>
      </c>
      <c r="CZ97" s="993">
        <f t="shared" si="216"/>
        <v>0</v>
      </c>
    </row>
    <row r="100" spans="1:104" ht="13.15" x14ac:dyDescent="0.4">
      <c r="A100" s="388" t="str">
        <f>Machine!A63</f>
        <v>Self-Propelled and Other Harvest</v>
      </c>
      <c r="B100" s="992"/>
      <c r="C100" s="991"/>
      <c r="D100" s="989"/>
      <c r="E100" s="989"/>
      <c r="F100" s="989"/>
      <c r="G100" s="989"/>
      <c r="H100" s="989"/>
      <c r="I100" s="989"/>
      <c r="J100" s="989"/>
      <c r="K100" s="989"/>
      <c r="L100" s="989"/>
      <c r="M100" s="989"/>
      <c r="N100" s="989"/>
      <c r="O100" s="989"/>
      <c r="P100" s="989"/>
      <c r="Q100" s="989"/>
      <c r="R100" s="989"/>
      <c r="S100" s="989"/>
      <c r="T100" s="989"/>
      <c r="U100" s="989"/>
      <c r="V100" s="989"/>
      <c r="W100" s="989"/>
      <c r="X100" s="989"/>
      <c r="Y100" s="989"/>
      <c r="Z100" s="989"/>
      <c r="AA100" s="989"/>
      <c r="AB100" s="989"/>
      <c r="AC100" s="989"/>
      <c r="AD100" s="989"/>
      <c r="AE100" s="989"/>
      <c r="AF100" s="989"/>
      <c r="AG100" s="989"/>
      <c r="AH100" s="989"/>
      <c r="AI100" s="989"/>
      <c r="AJ100" s="989"/>
      <c r="AK100" s="989"/>
      <c r="AL100" s="989"/>
      <c r="AM100" s="989"/>
      <c r="AN100" s="989"/>
      <c r="AO100" s="989"/>
      <c r="AP100" s="989"/>
      <c r="AQ100" s="989"/>
      <c r="AR100" s="989"/>
      <c r="AS100" s="989"/>
      <c r="AT100" s="989"/>
      <c r="AU100" s="989"/>
      <c r="AV100" s="989"/>
      <c r="AW100" s="989"/>
      <c r="AX100" s="989"/>
      <c r="AY100" s="989"/>
      <c r="AZ100" s="989"/>
      <c r="BA100" s="989"/>
      <c r="BB100" s="20"/>
      <c r="BC100" s="992"/>
      <c r="BD100" s="992"/>
      <c r="BE100" s="992"/>
      <c r="BF100" s="992"/>
      <c r="BG100" s="992"/>
      <c r="BH100" s="992"/>
      <c r="BI100" s="992"/>
      <c r="BJ100" s="992"/>
      <c r="BK100" s="992"/>
      <c r="BL100" s="992"/>
      <c r="BM100" s="992"/>
      <c r="BN100" s="992"/>
      <c r="BO100" s="992"/>
      <c r="BP100" s="992"/>
      <c r="BQ100" s="992"/>
      <c r="BR100" s="992"/>
      <c r="BS100" s="992"/>
      <c r="BT100" s="992"/>
      <c r="BU100" s="992"/>
      <c r="BV100" s="992"/>
      <c r="BW100" s="992"/>
      <c r="BX100" s="992"/>
      <c r="BY100" s="992"/>
      <c r="BZ100" s="992"/>
      <c r="CA100" s="992"/>
      <c r="CB100" s="992"/>
      <c r="CC100" s="992"/>
      <c r="CD100" s="992"/>
      <c r="CE100" s="992"/>
      <c r="CF100" s="992"/>
      <c r="CG100" s="992"/>
      <c r="CH100" s="992"/>
      <c r="CI100" s="992"/>
      <c r="CJ100" s="992"/>
      <c r="CK100" s="992"/>
      <c r="CL100" s="992"/>
      <c r="CM100" s="992"/>
      <c r="CN100" s="992"/>
      <c r="CO100" s="992"/>
      <c r="CP100" s="992"/>
      <c r="CQ100" s="992"/>
      <c r="CR100" s="992"/>
      <c r="CS100" s="992"/>
      <c r="CT100" s="992"/>
      <c r="CU100" s="992"/>
      <c r="CV100" s="992"/>
      <c r="CW100" s="992"/>
      <c r="CX100" s="992"/>
      <c r="CY100" s="992"/>
      <c r="CZ100" s="992"/>
    </row>
    <row r="101" spans="1:104" x14ac:dyDescent="0.35">
      <c r="A101" s="301" t="str">
        <f>Machine!A64</f>
        <v>Cotton Picker</v>
      </c>
      <c r="B101" s="993">
        <f t="shared" ref="B101:B118" si="217">IF(B$2=1,SUM(BC101:CZ101),"Error")</f>
        <v>0</v>
      </c>
      <c r="C101" s="990"/>
      <c r="D101" s="989">
        <v>0</v>
      </c>
      <c r="E101" s="989">
        <v>0</v>
      </c>
      <c r="F101" s="989">
        <v>0</v>
      </c>
      <c r="G101" s="989">
        <v>0</v>
      </c>
      <c r="H101" s="989">
        <v>0</v>
      </c>
      <c r="I101" s="989">
        <v>0</v>
      </c>
      <c r="J101" s="989">
        <v>0</v>
      </c>
      <c r="K101" s="989">
        <v>0</v>
      </c>
      <c r="L101" s="989">
        <v>0</v>
      </c>
      <c r="M101" s="989">
        <v>0</v>
      </c>
      <c r="N101" s="989">
        <v>0</v>
      </c>
      <c r="O101" s="989">
        <v>0</v>
      </c>
      <c r="P101" s="989">
        <v>0</v>
      </c>
      <c r="Q101" s="989">
        <v>0</v>
      </c>
      <c r="R101" s="989">
        <v>0</v>
      </c>
      <c r="S101" s="989">
        <v>0</v>
      </c>
      <c r="T101" s="989">
        <v>0</v>
      </c>
      <c r="U101" s="989">
        <v>0</v>
      </c>
      <c r="V101" s="989">
        <v>0</v>
      </c>
      <c r="W101" s="989">
        <v>0</v>
      </c>
      <c r="X101" s="989">
        <v>0</v>
      </c>
      <c r="Y101" s="989">
        <v>0</v>
      </c>
      <c r="Z101" s="989">
        <v>0</v>
      </c>
      <c r="AA101" s="989">
        <v>0</v>
      </c>
      <c r="AB101" s="989">
        <v>0</v>
      </c>
      <c r="AC101" s="989">
        <v>0</v>
      </c>
      <c r="AD101" s="989">
        <v>0</v>
      </c>
      <c r="AE101" s="989">
        <v>0</v>
      </c>
      <c r="AF101" s="989">
        <v>0</v>
      </c>
      <c r="AG101" s="989">
        <v>0</v>
      </c>
      <c r="AH101" s="989">
        <v>0</v>
      </c>
      <c r="AI101" s="989">
        <v>0</v>
      </c>
      <c r="AJ101" s="989">
        <v>0</v>
      </c>
      <c r="AK101" s="989">
        <v>0</v>
      </c>
      <c r="AL101" s="989">
        <v>0</v>
      </c>
      <c r="AM101" s="989">
        <v>0</v>
      </c>
      <c r="AN101" s="989">
        <v>0</v>
      </c>
      <c r="AO101" s="989">
        <v>1</v>
      </c>
      <c r="AP101" s="989"/>
      <c r="AQ101" s="989">
        <v>0</v>
      </c>
      <c r="AR101" s="989">
        <v>0</v>
      </c>
      <c r="AS101" s="989">
        <v>0</v>
      </c>
      <c r="AT101" s="989">
        <v>0</v>
      </c>
      <c r="AU101" s="989">
        <v>0</v>
      </c>
      <c r="AV101" s="989">
        <v>0</v>
      </c>
      <c r="AW101" s="989"/>
      <c r="AX101" s="989"/>
      <c r="AY101" s="989"/>
      <c r="AZ101" s="989"/>
      <c r="BA101" s="989"/>
      <c r="BB101" s="20"/>
      <c r="BC101" s="993">
        <f t="shared" ref="BC101:BC118" si="218">IF(D$2=1,D101,0)</f>
        <v>0</v>
      </c>
      <c r="BD101" s="993">
        <f t="shared" ref="BD101:BD118" si="219">IF(E$2=1,E101,0)</f>
        <v>0</v>
      </c>
      <c r="BE101" s="993">
        <f t="shared" ref="BE101:BE118" si="220">IF(F$2=1,F101,0)</f>
        <v>0</v>
      </c>
      <c r="BF101" s="993">
        <f t="shared" ref="BF101:BF118" si="221">IF(G$2=1,G101,0)</f>
        <v>0</v>
      </c>
      <c r="BG101" s="993">
        <f t="shared" ref="BG101:BG118" si="222">IF(H$2=1,H101,0)</f>
        <v>0</v>
      </c>
      <c r="BH101" s="993">
        <f t="shared" ref="BH101:BH118" si="223">IF(I$2=1,I101,0)</f>
        <v>0</v>
      </c>
      <c r="BI101" s="993">
        <f t="shared" ref="BI101:BI118" si="224">IF(J$2=1,J101,0)</f>
        <v>0</v>
      </c>
      <c r="BJ101" s="993">
        <f t="shared" ref="BJ101:BJ118" si="225">IF(K$2=1,K101,0)</f>
        <v>0</v>
      </c>
      <c r="BK101" s="993">
        <f t="shared" ref="BK101:BK118" si="226">IF(L$2=1,L101,0)</f>
        <v>0</v>
      </c>
      <c r="BL101" s="993">
        <f t="shared" ref="BL101:BL118" si="227">IF(M$2=1,M101,0)</f>
        <v>0</v>
      </c>
      <c r="BM101" s="993">
        <f t="shared" ref="BM101:BM118" si="228">IF(N$2=1,N101,0)</f>
        <v>0</v>
      </c>
      <c r="BN101" s="993">
        <f t="shared" ref="BN101:BN118" si="229">IF(O$2=1,O101,0)</f>
        <v>0</v>
      </c>
      <c r="BO101" s="993">
        <f t="shared" ref="BO101:BO118" si="230">IF(P$2=1,P101,0)</f>
        <v>0</v>
      </c>
      <c r="BP101" s="993">
        <f t="shared" ref="BP101:BP118" si="231">IF(Q$2=1,Q101,0)</f>
        <v>0</v>
      </c>
      <c r="BQ101" s="993">
        <f t="shared" ref="BQ101:BQ118" si="232">IF(R$2=1,R101,0)</f>
        <v>0</v>
      </c>
      <c r="BR101" s="993">
        <f t="shared" ref="BR101:BR118" si="233">IF(S$2=1,S101,0)</f>
        <v>0</v>
      </c>
      <c r="BS101" s="993">
        <f t="shared" ref="BS101:BS118" si="234">IF(T$2=1,T101,0)</f>
        <v>0</v>
      </c>
      <c r="BT101" s="993">
        <f t="shared" ref="BT101:BT118" si="235">IF(U$2=1,U101,0)</f>
        <v>0</v>
      </c>
      <c r="BU101" s="993">
        <f t="shared" ref="BU101:BU118" si="236">IF(V$2=1,V101,0)</f>
        <v>0</v>
      </c>
      <c r="BV101" s="993">
        <f t="shared" ref="BV101:BV118" si="237">IF(W$2=1,W101,0)</f>
        <v>0</v>
      </c>
      <c r="BW101" s="993">
        <f t="shared" ref="BW101:BW118" si="238">IF(X$2=1,X101,0)</f>
        <v>0</v>
      </c>
      <c r="BX101" s="993">
        <f t="shared" ref="BX101:BX118" si="239">IF(Y$2=1,Y101,0)</f>
        <v>0</v>
      </c>
      <c r="BY101" s="993">
        <f t="shared" ref="BY101:BY118" si="240">IF(Z$2=1,Z101,0)</f>
        <v>0</v>
      </c>
      <c r="BZ101" s="993">
        <f t="shared" ref="BZ101:BZ118" si="241">IF(AA$2=1,AA101,0)</f>
        <v>0</v>
      </c>
      <c r="CA101" s="993">
        <f t="shared" ref="CA101:CA118" si="242">IF(AB$2=1,AB101,0)</f>
        <v>0</v>
      </c>
      <c r="CB101" s="993">
        <f t="shared" ref="CB101:CD118" si="243">IF(AC$2=1,AC101,0)</f>
        <v>0</v>
      </c>
      <c r="CC101" s="993">
        <f t="shared" si="243"/>
        <v>0</v>
      </c>
      <c r="CD101" s="993">
        <f t="shared" si="243"/>
        <v>0</v>
      </c>
      <c r="CE101" s="993">
        <f t="shared" ref="CE101:CE118" si="244">IF(AF$2=1,AF101,0)</f>
        <v>0</v>
      </c>
      <c r="CF101" s="993">
        <f t="shared" ref="CF101:CF118" si="245">IF(AG$2=1,AG101,0)</f>
        <v>0</v>
      </c>
      <c r="CG101" s="993">
        <f t="shared" ref="CG101:CG118" si="246">IF(AH$2=1,AH101,0)</f>
        <v>0</v>
      </c>
      <c r="CH101" s="993">
        <f t="shared" ref="CH101:CH118" si="247">IF(AI$2=1,AI101,0)</f>
        <v>0</v>
      </c>
      <c r="CI101" s="993">
        <f t="shared" ref="CI101:CI118" si="248">IF(AJ$2=1,AJ101,0)</f>
        <v>0</v>
      </c>
      <c r="CJ101" s="993">
        <f t="shared" ref="CJ101:CJ118" si="249">IF(AK$2=1,AK101,0)</f>
        <v>0</v>
      </c>
      <c r="CK101" s="993">
        <f t="shared" ref="CK101:CK118" si="250">IF(AL$2=1,AL101,0)</f>
        <v>0</v>
      </c>
      <c r="CL101" s="993">
        <f t="shared" ref="CL101:CL118" si="251">IF(AM$2=1,AM101,0)</f>
        <v>0</v>
      </c>
      <c r="CM101" s="993">
        <f t="shared" ref="CM101:CM118" si="252">IF(AN$2=1,AN101,0)</f>
        <v>0</v>
      </c>
      <c r="CN101" s="993">
        <f t="shared" ref="CN101:CN118" si="253">IF(AO$2=1,AO101,0)</f>
        <v>0</v>
      </c>
      <c r="CO101" s="993">
        <f t="shared" ref="CO101:CO118" si="254">IF(AP$2=1,AP101,0)</f>
        <v>0</v>
      </c>
      <c r="CP101" s="993">
        <f t="shared" ref="CP101:CP118" si="255">IF(AQ$2=1,AQ101,0)</f>
        <v>0</v>
      </c>
      <c r="CQ101" s="993">
        <f t="shared" ref="CQ101:CQ118" si="256">IF(AR$2=1,AR101,0)</f>
        <v>0</v>
      </c>
      <c r="CR101" s="993">
        <f t="shared" ref="CR101:CR118" si="257">IF(AS$2=1,AS101,0)</f>
        <v>0</v>
      </c>
      <c r="CS101" s="993">
        <f t="shared" ref="CS101:CS118" si="258">IF(AT$2=1,AT101,0)</f>
        <v>0</v>
      </c>
      <c r="CT101" s="993">
        <f t="shared" ref="CT101:CT118" si="259">IF(AU$2=1,AU101,0)</f>
        <v>0</v>
      </c>
      <c r="CU101" s="993">
        <f t="shared" ref="CU101:CU118" si="260">IF(AV$2=1,AV101,0)</f>
        <v>0</v>
      </c>
      <c r="CV101" s="993">
        <f t="shared" ref="CV101:CV118" si="261">IF(AW$2=1,AW101,0)</f>
        <v>0</v>
      </c>
      <c r="CW101" s="993">
        <f t="shared" ref="CW101:CW118" si="262">IF(AX$2=1,AX101,0)</f>
        <v>0</v>
      </c>
      <c r="CX101" s="993">
        <f t="shared" ref="CX101:CX118" si="263">IF(AY$2=1,AY101,0)</f>
        <v>0</v>
      </c>
      <c r="CY101" s="993">
        <f t="shared" ref="CY101:CY118" si="264">IF(AZ$2=1,AZ101,0)</f>
        <v>0</v>
      </c>
      <c r="CZ101" s="993">
        <f t="shared" ref="CZ101:CZ118" si="265">IF(BA$2=1,BA101,0)</f>
        <v>0</v>
      </c>
    </row>
    <row r="102" spans="1:104" x14ac:dyDescent="0.35">
      <c r="A102" s="301" t="str">
        <f>Machine!A65</f>
        <v>Boll Buggy with Tractor</v>
      </c>
      <c r="B102" s="993">
        <f t="shared" si="217"/>
        <v>0</v>
      </c>
      <c r="C102" s="990"/>
      <c r="D102" s="989">
        <v>0</v>
      </c>
      <c r="E102" s="989">
        <v>0</v>
      </c>
      <c r="F102" s="989">
        <v>0</v>
      </c>
      <c r="G102" s="989">
        <v>0</v>
      </c>
      <c r="H102" s="989">
        <v>0</v>
      </c>
      <c r="I102" s="989">
        <v>0</v>
      </c>
      <c r="J102" s="989">
        <v>0</v>
      </c>
      <c r="K102" s="989">
        <v>0</v>
      </c>
      <c r="L102" s="989">
        <v>0</v>
      </c>
      <c r="M102" s="989">
        <v>0</v>
      </c>
      <c r="N102" s="989">
        <v>0</v>
      </c>
      <c r="O102" s="989">
        <v>0</v>
      </c>
      <c r="P102" s="989">
        <v>0</v>
      </c>
      <c r="Q102" s="989">
        <v>0</v>
      </c>
      <c r="R102" s="989">
        <v>0</v>
      </c>
      <c r="S102" s="989">
        <v>0</v>
      </c>
      <c r="T102" s="989">
        <v>0</v>
      </c>
      <c r="U102" s="989">
        <v>0</v>
      </c>
      <c r="V102" s="989">
        <v>0</v>
      </c>
      <c r="W102" s="989">
        <v>0</v>
      </c>
      <c r="X102" s="989">
        <v>0</v>
      </c>
      <c r="Y102" s="989">
        <v>0</v>
      </c>
      <c r="Z102" s="989">
        <v>0</v>
      </c>
      <c r="AA102" s="989">
        <v>0</v>
      </c>
      <c r="AB102" s="989">
        <v>0</v>
      </c>
      <c r="AC102" s="989">
        <v>0</v>
      </c>
      <c r="AD102" s="989">
        <v>0</v>
      </c>
      <c r="AE102" s="989">
        <v>0</v>
      </c>
      <c r="AF102" s="989">
        <v>0</v>
      </c>
      <c r="AG102" s="989">
        <v>0</v>
      </c>
      <c r="AH102" s="989">
        <v>0</v>
      </c>
      <c r="AI102" s="989">
        <v>0</v>
      </c>
      <c r="AJ102" s="989">
        <v>0</v>
      </c>
      <c r="AK102" s="989">
        <v>0</v>
      </c>
      <c r="AL102" s="989">
        <v>0</v>
      </c>
      <c r="AM102" s="989">
        <v>0</v>
      </c>
      <c r="AN102" s="989">
        <v>0</v>
      </c>
      <c r="AO102" s="989">
        <v>1</v>
      </c>
      <c r="AP102" s="989"/>
      <c r="AQ102" s="989">
        <v>0</v>
      </c>
      <c r="AR102" s="989">
        <v>0</v>
      </c>
      <c r="AS102" s="989">
        <v>0</v>
      </c>
      <c r="AT102" s="989">
        <v>0</v>
      </c>
      <c r="AU102" s="989">
        <v>0</v>
      </c>
      <c r="AV102" s="989">
        <v>0</v>
      </c>
      <c r="AW102" s="989"/>
      <c r="AX102" s="989"/>
      <c r="AY102" s="989"/>
      <c r="AZ102" s="989"/>
      <c r="BA102" s="989"/>
      <c r="BB102" s="20"/>
      <c r="BC102" s="993">
        <f t="shared" si="218"/>
        <v>0</v>
      </c>
      <c r="BD102" s="993">
        <f t="shared" si="219"/>
        <v>0</v>
      </c>
      <c r="BE102" s="993">
        <f t="shared" si="220"/>
        <v>0</v>
      </c>
      <c r="BF102" s="993">
        <f t="shared" si="221"/>
        <v>0</v>
      </c>
      <c r="BG102" s="993">
        <f t="shared" si="222"/>
        <v>0</v>
      </c>
      <c r="BH102" s="993">
        <f t="shared" si="223"/>
        <v>0</v>
      </c>
      <c r="BI102" s="993">
        <f t="shared" si="224"/>
        <v>0</v>
      </c>
      <c r="BJ102" s="993">
        <f t="shared" si="225"/>
        <v>0</v>
      </c>
      <c r="BK102" s="993">
        <f t="shared" si="226"/>
        <v>0</v>
      </c>
      <c r="BL102" s="993">
        <f t="shared" si="227"/>
        <v>0</v>
      </c>
      <c r="BM102" s="993">
        <f t="shared" si="228"/>
        <v>0</v>
      </c>
      <c r="BN102" s="993">
        <f t="shared" si="229"/>
        <v>0</v>
      </c>
      <c r="BO102" s="993">
        <f t="shared" si="230"/>
        <v>0</v>
      </c>
      <c r="BP102" s="993">
        <f t="shared" si="231"/>
        <v>0</v>
      </c>
      <c r="BQ102" s="993">
        <f t="shared" si="232"/>
        <v>0</v>
      </c>
      <c r="BR102" s="993">
        <f t="shared" si="233"/>
        <v>0</v>
      </c>
      <c r="BS102" s="993">
        <f t="shared" si="234"/>
        <v>0</v>
      </c>
      <c r="BT102" s="993">
        <f t="shared" si="235"/>
        <v>0</v>
      </c>
      <c r="BU102" s="993">
        <f t="shared" si="236"/>
        <v>0</v>
      </c>
      <c r="BV102" s="993">
        <f t="shared" si="237"/>
        <v>0</v>
      </c>
      <c r="BW102" s="993">
        <f t="shared" si="238"/>
        <v>0</v>
      </c>
      <c r="BX102" s="993">
        <f t="shared" si="239"/>
        <v>0</v>
      </c>
      <c r="BY102" s="993">
        <f t="shared" si="240"/>
        <v>0</v>
      </c>
      <c r="BZ102" s="993">
        <f t="shared" si="241"/>
        <v>0</v>
      </c>
      <c r="CA102" s="993">
        <f t="shared" si="242"/>
        <v>0</v>
      </c>
      <c r="CB102" s="993">
        <f t="shared" si="243"/>
        <v>0</v>
      </c>
      <c r="CC102" s="993">
        <f t="shared" si="243"/>
        <v>0</v>
      </c>
      <c r="CD102" s="993">
        <f t="shared" si="243"/>
        <v>0</v>
      </c>
      <c r="CE102" s="993">
        <f t="shared" si="244"/>
        <v>0</v>
      </c>
      <c r="CF102" s="993">
        <f t="shared" si="245"/>
        <v>0</v>
      </c>
      <c r="CG102" s="993">
        <f t="shared" si="246"/>
        <v>0</v>
      </c>
      <c r="CH102" s="993">
        <f t="shared" si="247"/>
        <v>0</v>
      </c>
      <c r="CI102" s="993">
        <f t="shared" si="248"/>
        <v>0</v>
      </c>
      <c r="CJ102" s="993">
        <f t="shared" si="249"/>
        <v>0</v>
      </c>
      <c r="CK102" s="993">
        <f t="shared" si="250"/>
        <v>0</v>
      </c>
      <c r="CL102" s="993">
        <f t="shared" si="251"/>
        <v>0</v>
      </c>
      <c r="CM102" s="993">
        <f t="shared" si="252"/>
        <v>0</v>
      </c>
      <c r="CN102" s="993">
        <f t="shared" si="253"/>
        <v>0</v>
      </c>
      <c r="CO102" s="993">
        <f t="shared" si="254"/>
        <v>0</v>
      </c>
      <c r="CP102" s="993">
        <f t="shared" si="255"/>
        <v>0</v>
      </c>
      <c r="CQ102" s="993">
        <f t="shared" si="256"/>
        <v>0</v>
      </c>
      <c r="CR102" s="993">
        <f t="shared" si="257"/>
        <v>0</v>
      </c>
      <c r="CS102" s="993">
        <f t="shared" si="258"/>
        <v>0</v>
      </c>
      <c r="CT102" s="993">
        <f t="shared" si="259"/>
        <v>0</v>
      </c>
      <c r="CU102" s="993">
        <f t="shared" si="260"/>
        <v>0</v>
      </c>
      <c r="CV102" s="993">
        <f t="shared" si="261"/>
        <v>0</v>
      </c>
      <c r="CW102" s="993">
        <f t="shared" si="262"/>
        <v>0</v>
      </c>
      <c r="CX102" s="993">
        <f t="shared" si="263"/>
        <v>0</v>
      </c>
      <c r="CY102" s="993">
        <f t="shared" si="264"/>
        <v>0</v>
      </c>
      <c r="CZ102" s="993">
        <f t="shared" si="265"/>
        <v>0</v>
      </c>
    </row>
    <row r="103" spans="1:104" x14ac:dyDescent="0.35">
      <c r="A103" s="301" t="str">
        <f>Machine!A66</f>
        <v>Module Builder with Tractor</v>
      </c>
      <c r="B103" s="993">
        <f t="shared" si="217"/>
        <v>0</v>
      </c>
      <c r="C103" s="990"/>
      <c r="D103" s="989">
        <v>0</v>
      </c>
      <c r="E103" s="989">
        <v>0</v>
      </c>
      <c r="F103" s="989">
        <v>0</v>
      </c>
      <c r="G103" s="989">
        <v>0</v>
      </c>
      <c r="H103" s="989">
        <v>0</v>
      </c>
      <c r="I103" s="989">
        <v>0</v>
      </c>
      <c r="J103" s="989">
        <v>0</v>
      </c>
      <c r="K103" s="989">
        <v>0</v>
      </c>
      <c r="L103" s="989">
        <v>0</v>
      </c>
      <c r="M103" s="989">
        <v>0</v>
      </c>
      <c r="N103" s="989">
        <v>0</v>
      </c>
      <c r="O103" s="989">
        <v>0</v>
      </c>
      <c r="P103" s="989">
        <v>0</v>
      </c>
      <c r="Q103" s="989">
        <v>0</v>
      </c>
      <c r="R103" s="989">
        <v>0</v>
      </c>
      <c r="S103" s="989">
        <v>0</v>
      </c>
      <c r="T103" s="989">
        <v>0</v>
      </c>
      <c r="U103" s="989">
        <v>0</v>
      </c>
      <c r="V103" s="989">
        <v>0</v>
      </c>
      <c r="W103" s="989">
        <v>0</v>
      </c>
      <c r="X103" s="989">
        <v>0</v>
      </c>
      <c r="Y103" s="989">
        <v>0</v>
      </c>
      <c r="Z103" s="989">
        <v>0</v>
      </c>
      <c r="AA103" s="989">
        <v>0</v>
      </c>
      <c r="AB103" s="989">
        <v>0</v>
      </c>
      <c r="AC103" s="989">
        <v>0</v>
      </c>
      <c r="AD103" s="989">
        <v>0</v>
      </c>
      <c r="AE103" s="989">
        <v>0</v>
      </c>
      <c r="AF103" s="989">
        <v>0</v>
      </c>
      <c r="AG103" s="989">
        <v>0</v>
      </c>
      <c r="AH103" s="989">
        <v>0</v>
      </c>
      <c r="AI103" s="989">
        <v>0</v>
      </c>
      <c r="AJ103" s="989">
        <v>0</v>
      </c>
      <c r="AK103" s="989">
        <v>0</v>
      </c>
      <c r="AL103" s="989">
        <v>0</v>
      </c>
      <c r="AM103" s="989">
        <v>0</v>
      </c>
      <c r="AN103" s="989">
        <v>0</v>
      </c>
      <c r="AO103" s="989">
        <v>1</v>
      </c>
      <c r="AP103" s="989"/>
      <c r="AQ103" s="989">
        <v>0</v>
      </c>
      <c r="AR103" s="989">
        <v>0</v>
      </c>
      <c r="AS103" s="989">
        <v>0</v>
      </c>
      <c r="AT103" s="989">
        <v>0</v>
      </c>
      <c r="AU103" s="989">
        <v>0</v>
      </c>
      <c r="AV103" s="989">
        <v>0</v>
      </c>
      <c r="AW103" s="989"/>
      <c r="AX103" s="989"/>
      <c r="AY103" s="989"/>
      <c r="AZ103" s="989"/>
      <c r="BA103" s="989"/>
      <c r="BB103" s="20"/>
      <c r="BC103" s="993">
        <f t="shared" si="218"/>
        <v>0</v>
      </c>
      <c r="BD103" s="993">
        <f t="shared" si="219"/>
        <v>0</v>
      </c>
      <c r="BE103" s="993">
        <f t="shared" si="220"/>
        <v>0</v>
      </c>
      <c r="BF103" s="993">
        <f t="shared" si="221"/>
        <v>0</v>
      </c>
      <c r="BG103" s="993">
        <f t="shared" si="222"/>
        <v>0</v>
      </c>
      <c r="BH103" s="993">
        <f t="shared" si="223"/>
        <v>0</v>
      </c>
      <c r="BI103" s="993">
        <f t="shared" si="224"/>
        <v>0</v>
      </c>
      <c r="BJ103" s="993">
        <f t="shared" si="225"/>
        <v>0</v>
      </c>
      <c r="BK103" s="993">
        <f t="shared" si="226"/>
        <v>0</v>
      </c>
      <c r="BL103" s="993">
        <f t="shared" si="227"/>
        <v>0</v>
      </c>
      <c r="BM103" s="993">
        <f t="shared" si="228"/>
        <v>0</v>
      </c>
      <c r="BN103" s="993">
        <f t="shared" si="229"/>
        <v>0</v>
      </c>
      <c r="BO103" s="993">
        <f t="shared" si="230"/>
        <v>0</v>
      </c>
      <c r="BP103" s="993">
        <f t="shared" si="231"/>
        <v>0</v>
      </c>
      <c r="BQ103" s="993">
        <f t="shared" si="232"/>
        <v>0</v>
      </c>
      <c r="BR103" s="993">
        <f t="shared" si="233"/>
        <v>0</v>
      </c>
      <c r="BS103" s="993">
        <f t="shared" si="234"/>
        <v>0</v>
      </c>
      <c r="BT103" s="993">
        <f t="shared" si="235"/>
        <v>0</v>
      </c>
      <c r="BU103" s="993">
        <f t="shared" si="236"/>
        <v>0</v>
      </c>
      <c r="BV103" s="993">
        <f t="shared" si="237"/>
        <v>0</v>
      </c>
      <c r="BW103" s="993">
        <f t="shared" si="238"/>
        <v>0</v>
      </c>
      <c r="BX103" s="993">
        <f t="shared" si="239"/>
        <v>0</v>
      </c>
      <c r="BY103" s="993">
        <f t="shared" si="240"/>
        <v>0</v>
      </c>
      <c r="BZ103" s="993">
        <f t="shared" si="241"/>
        <v>0</v>
      </c>
      <c r="CA103" s="993">
        <f t="shared" si="242"/>
        <v>0</v>
      </c>
      <c r="CB103" s="993">
        <f t="shared" si="243"/>
        <v>0</v>
      </c>
      <c r="CC103" s="993">
        <f t="shared" si="243"/>
        <v>0</v>
      </c>
      <c r="CD103" s="993">
        <f t="shared" si="243"/>
        <v>0</v>
      </c>
      <c r="CE103" s="993">
        <f t="shared" si="244"/>
        <v>0</v>
      </c>
      <c r="CF103" s="993">
        <f t="shared" si="245"/>
        <v>0</v>
      </c>
      <c r="CG103" s="993">
        <f t="shared" si="246"/>
        <v>0</v>
      </c>
      <c r="CH103" s="993">
        <f t="shared" si="247"/>
        <v>0</v>
      </c>
      <c r="CI103" s="993">
        <f t="shared" si="248"/>
        <v>0</v>
      </c>
      <c r="CJ103" s="993">
        <f t="shared" si="249"/>
        <v>0</v>
      </c>
      <c r="CK103" s="993">
        <f t="shared" si="250"/>
        <v>0</v>
      </c>
      <c r="CL103" s="993">
        <f t="shared" si="251"/>
        <v>0</v>
      </c>
      <c r="CM103" s="993">
        <f t="shared" si="252"/>
        <v>0</v>
      </c>
      <c r="CN103" s="993">
        <f t="shared" si="253"/>
        <v>0</v>
      </c>
      <c r="CO103" s="993">
        <f t="shared" si="254"/>
        <v>0</v>
      </c>
      <c r="CP103" s="993">
        <f t="shared" si="255"/>
        <v>0</v>
      </c>
      <c r="CQ103" s="993">
        <f t="shared" si="256"/>
        <v>0</v>
      </c>
      <c r="CR103" s="993">
        <f t="shared" si="257"/>
        <v>0</v>
      </c>
      <c r="CS103" s="993">
        <f t="shared" si="258"/>
        <v>0</v>
      </c>
      <c r="CT103" s="993">
        <f t="shared" si="259"/>
        <v>0</v>
      </c>
      <c r="CU103" s="993">
        <f t="shared" si="260"/>
        <v>0</v>
      </c>
      <c r="CV103" s="993">
        <f t="shared" si="261"/>
        <v>0</v>
      </c>
      <c r="CW103" s="993">
        <f t="shared" si="262"/>
        <v>0</v>
      </c>
      <c r="CX103" s="993">
        <f t="shared" si="263"/>
        <v>0</v>
      </c>
      <c r="CY103" s="993">
        <f t="shared" si="264"/>
        <v>0</v>
      </c>
      <c r="CZ103" s="993">
        <f t="shared" si="265"/>
        <v>0</v>
      </c>
    </row>
    <row r="104" spans="1:104" x14ac:dyDescent="0.35">
      <c r="A104" s="301" t="str">
        <f>Machine!A67</f>
        <v>Cotton Picker: Module-Building</v>
      </c>
      <c r="B104" s="993">
        <f t="shared" si="217"/>
        <v>0</v>
      </c>
      <c r="C104" s="990"/>
      <c r="D104" s="989">
        <v>0</v>
      </c>
      <c r="E104" s="989">
        <v>0</v>
      </c>
      <c r="F104" s="989">
        <v>0</v>
      </c>
      <c r="G104" s="989">
        <v>1</v>
      </c>
      <c r="H104" s="989">
        <v>1</v>
      </c>
      <c r="I104" s="989">
        <v>1</v>
      </c>
      <c r="J104" s="989">
        <v>1</v>
      </c>
      <c r="K104" s="989">
        <v>1</v>
      </c>
      <c r="L104" s="989">
        <v>1</v>
      </c>
      <c r="M104" s="989">
        <v>1</v>
      </c>
      <c r="N104" s="989">
        <v>0</v>
      </c>
      <c r="O104" s="989">
        <v>0</v>
      </c>
      <c r="P104" s="989">
        <v>0</v>
      </c>
      <c r="Q104" s="989">
        <v>0</v>
      </c>
      <c r="R104" s="989">
        <v>0</v>
      </c>
      <c r="S104" s="989">
        <v>0</v>
      </c>
      <c r="T104" s="989">
        <v>0</v>
      </c>
      <c r="U104" s="989">
        <v>0</v>
      </c>
      <c r="V104" s="989">
        <v>0</v>
      </c>
      <c r="W104" s="989">
        <v>0</v>
      </c>
      <c r="X104" s="989">
        <v>0</v>
      </c>
      <c r="Y104" s="989">
        <v>0</v>
      </c>
      <c r="Z104" s="989">
        <v>0</v>
      </c>
      <c r="AA104" s="989">
        <v>0</v>
      </c>
      <c r="AB104" s="989">
        <v>0</v>
      </c>
      <c r="AC104" s="989">
        <v>0</v>
      </c>
      <c r="AD104" s="989">
        <v>0</v>
      </c>
      <c r="AE104" s="989">
        <v>0</v>
      </c>
      <c r="AF104" s="989">
        <v>0</v>
      </c>
      <c r="AG104" s="989">
        <v>0</v>
      </c>
      <c r="AH104" s="989">
        <v>0</v>
      </c>
      <c r="AI104" s="989">
        <v>0</v>
      </c>
      <c r="AJ104" s="989">
        <v>0</v>
      </c>
      <c r="AK104" s="989">
        <v>0</v>
      </c>
      <c r="AL104" s="989">
        <v>0</v>
      </c>
      <c r="AM104" s="989">
        <v>0</v>
      </c>
      <c r="AN104" s="989">
        <v>0</v>
      </c>
      <c r="AO104" s="989">
        <v>0</v>
      </c>
      <c r="AP104" s="989"/>
      <c r="AQ104" s="989">
        <v>0</v>
      </c>
      <c r="AR104" s="989">
        <v>0</v>
      </c>
      <c r="AS104" s="989">
        <v>0</v>
      </c>
      <c r="AT104" s="989">
        <v>0</v>
      </c>
      <c r="AU104" s="989">
        <v>0</v>
      </c>
      <c r="AV104" s="989">
        <v>0</v>
      </c>
      <c r="AW104" s="989"/>
      <c r="AX104" s="989"/>
      <c r="AY104" s="989"/>
      <c r="AZ104" s="989"/>
      <c r="BA104" s="989"/>
      <c r="BB104" s="20"/>
      <c r="BC104" s="993">
        <f t="shared" si="218"/>
        <v>0</v>
      </c>
      <c r="BD104" s="993">
        <f t="shared" si="219"/>
        <v>0</v>
      </c>
      <c r="BE104" s="993">
        <f t="shared" si="220"/>
        <v>0</v>
      </c>
      <c r="BF104" s="993">
        <f t="shared" si="221"/>
        <v>0</v>
      </c>
      <c r="BG104" s="993">
        <f t="shared" si="222"/>
        <v>0</v>
      </c>
      <c r="BH104" s="993">
        <f t="shared" si="223"/>
        <v>0</v>
      </c>
      <c r="BI104" s="993">
        <f t="shared" si="224"/>
        <v>0</v>
      </c>
      <c r="BJ104" s="993">
        <f t="shared" si="225"/>
        <v>0</v>
      </c>
      <c r="BK104" s="993">
        <f t="shared" si="226"/>
        <v>0</v>
      </c>
      <c r="BL104" s="993">
        <f t="shared" si="227"/>
        <v>0</v>
      </c>
      <c r="BM104" s="993">
        <f t="shared" si="228"/>
        <v>0</v>
      </c>
      <c r="BN104" s="993">
        <f t="shared" si="229"/>
        <v>0</v>
      </c>
      <c r="BO104" s="993">
        <f t="shared" si="230"/>
        <v>0</v>
      </c>
      <c r="BP104" s="993">
        <f t="shared" si="231"/>
        <v>0</v>
      </c>
      <c r="BQ104" s="993">
        <f t="shared" si="232"/>
        <v>0</v>
      </c>
      <c r="BR104" s="993">
        <f t="shared" si="233"/>
        <v>0</v>
      </c>
      <c r="BS104" s="993">
        <f t="shared" si="234"/>
        <v>0</v>
      </c>
      <c r="BT104" s="993">
        <f t="shared" si="235"/>
        <v>0</v>
      </c>
      <c r="BU104" s="993">
        <f t="shared" si="236"/>
        <v>0</v>
      </c>
      <c r="BV104" s="993">
        <f t="shared" si="237"/>
        <v>0</v>
      </c>
      <c r="BW104" s="993">
        <f t="shared" si="238"/>
        <v>0</v>
      </c>
      <c r="BX104" s="993">
        <f t="shared" si="239"/>
        <v>0</v>
      </c>
      <c r="BY104" s="993">
        <f t="shared" si="240"/>
        <v>0</v>
      </c>
      <c r="BZ104" s="993">
        <f t="shared" si="241"/>
        <v>0</v>
      </c>
      <c r="CA104" s="993">
        <f t="shared" si="242"/>
        <v>0</v>
      </c>
      <c r="CB104" s="993">
        <f t="shared" si="243"/>
        <v>0</v>
      </c>
      <c r="CC104" s="993">
        <f t="shared" si="243"/>
        <v>0</v>
      </c>
      <c r="CD104" s="993">
        <f t="shared" si="243"/>
        <v>0</v>
      </c>
      <c r="CE104" s="993">
        <f t="shared" si="244"/>
        <v>0</v>
      </c>
      <c r="CF104" s="993">
        <f t="shared" si="245"/>
        <v>0</v>
      </c>
      <c r="CG104" s="993">
        <f t="shared" si="246"/>
        <v>0</v>
      </c>
      <c r="CH104" s="993">
        <f t="shared" si="247"/>
        <v>0</v>
      </c>
      <c r="CI104" s="993">
        <f t="shared" si="248"/>
        <v>0</v>
      </c>
      <c r="CJ104" s="993">
        <f t="shared" si="249"/>
        <v>0</v>
      </c>
      <c r="CK104" s="993">
        <f t="shared" si="250"/>
        <v>0</v>
      </c>
      <c r="CL104" s="993">
        <f t="shared" si="251"/>
        <v>0</v>
      </c>
      <c r="CM104" s="993">
        <f t="shared" si="252"/>
        <v>0</v>
      </c>
      <c r="CN104" s="993">
        <f t="shared" si="253"/>
        <v>0</v>
      </c>
      <c r="CO104" s="993">
        <f t="shared" si="254"/>
        <v>0</v>
      </c>
      <c r="CP104" s="993">
        <f t="shared" si="255"/>
        <v>0</v>
      </c>
      <c r="CQ104" s="993">
        <f t="shared" si="256"/>
        <v>0</v>
      </c>
      <c r="CR104" s="993">
        <f t="shared" si="257"/>
        <v>0</v>
      </c>
      <c r="CS104" s="993">
        <f t="shared" si="258"/>
        <v>0</v>
      </c>
      <c r="CT104" s="993">
        <f t="shared" si="259"/>
        <v>0</v>
      </c>
      <c r="CU104" s="993">
        <f t="shared" si="260"/>
        <v>0</v>
      </c>
      <c r="CV104" s="993">
        <f t="shared" si="261"/>
        <v>0</v>
      </c>
      <c r="CW104" s="993">
        <f t="shared" si="262"/>
        <v>0</v>
      </c>
      <c r="CX104" s="993">
        <f t="shared" si="263"/>
        <v>0</v>
      </c>
      <c r="CY104" s="993">
        <f t="shared" si="264"/>
        <v>0</v>
      </c>
      <c r="CZ104" s="993">
        <f t="shared" si="265"/>
        <v>0</v>
      </c>
    </row>
    <row r="105" spans="1:104" x14ac:dyDescent="0.35">
      <c r="A105" s="301" t="str">
        <f>Machine!A68</f>
        <v>Module Handler with Tractor</v>
      </c>
      <c r="B105" s="993">
        <f t="shared" si="217"/>
        <v>0</v>
      </c>
      <c r="C105" s="990"/>
      <c r="D105" s="989">
        <v>0</v>
      </c>
      <c r="E105" s="989">
        <v>0</v>
      </c>
      <c r="F105" s="989">
        <v>0</v>
      </c>
      <c r="G105" s="989">
        <v>1</v>
      </c>
      <c r="H105" s="989">
        <v>1</v>
      </c>
      <c r="I105" s="989">
        <v>1</v>
      </c>
      <c r="J105" s="989">
        <v>1</v>
      </c>
      <c r="K105" s="989">
        <v>1</v>
      </c>
      <c r="L105" s="989">
        <v>1</v>
      </c>
      <c r="M105" s="989">
        <v>1</v>
      </c>
      <c r="N105" s="989">
        <v>0</v>
      </c>
      <c r="O105" s="989">
        <v>0</v>
      </c>
      <c r="P105" s="989">
        <v>0</v>
      </c>
      <c r="Q105" s="989">
        <v>0</v>
      </c>
      <c r="R105" s="989">
        <v>0</v>
      </c>
      <c r="S105" s="989">
        <v>0</v>
      </c>
      <c r="T105" s="989">
        <v>0</v>
      </c>
      <c r="U105" s="989">
        <v>0</v>
      </c>
      <c r="V105" s="989">
        <v>0</v>
      </c>
      <c r="W105" s="989">
        <v>0</v>
      </c>
      <c r="X105" s="989">
        <v>0</v>
      </c>
      <c r="Y105" s="989">
        <v>0</v>
      </c>
      <c r="Z105" s="989">
        <v>0</v>
      </c>
      <c r="AA105" s="989">
        <v>0</v>
      </c>
      <c r="AB105" s="989">
        <v>0</v>
      </c>
      <c r="AC105" s="989">
        <v>0</v>
      </c>
      <c r="AD105" s="989">
        <v>0</v>
      </c>
      <c r="AE105" s="989">
        <v>0</v>
      </c>
      <c r="AF105" s="989">
        <v>0</v>
      </c>
      <c r="AG105" s="989">
        <v>0</v>
      </c>
      <c r="AH105" s="989">
        <v>0</v>
      </c>
      <c r="AI105" s="989">
        <v>0</v>
      </c>
      <c r="AJ105" s="989">
        <v>0</v>
      </c>
      <c r="AK105" s="989">
        <v>0</v>
      </c>
      <c r="AL105" s="989">
        <v>0</v>
      </c>
      <c r="AM105" s="989">
        <v>0</v>
      </c>
      <c r="AN105" s="989">
        <v>0</v>
      </c>
      <c r="AO105" s="989">
        <v>0</v>
      </c>
      <c r="AP105" s="989"/>
      <c r="AQ105" s="989">
        <v>0</v>
      </c>
      <c r="AR105" s="989">
        <v>0</v>
      </c>
      <c r="AS105" s="989">
        <v>0</v>
      </c>
      <c r="AT105" s="989">
        <v>0</v>
      </c>
      <c r="AU105" s="989">
        <v>0</v>
      </c>
      <c r="AV105" s="989">
        <v>0</v>
      </c>
      <c r="AW105" s="989"/>
      <c r="AX105" s="989"/>
      <c r="AY105" s="989"/>
      <c r="AZ105" s="989"/>
      <c r="BA105" s="989"/>
      <c r="BB105" s="20"/>
      <c r="BC105" s="993">
        <f t="shared" si="218"/>
        <v>0</v>
      </c>
      <c r="BD105" s="993">
        <f t="shared" si="219"/>
        <v>0</v>
      </c>
      <c r="BE105" s="993">
        <f t="shared" si="220"/>
        <v>0</v>
      </c>
      <c r="BF105" s="993">
        <f t="shared" si="221"/>
        <v>0</v>
      </c>
      <c r="BG105" s="993">
        <f t="shared" si="222"/>
        <v>0</v>
      </c>
      <c r="BH105" s="993">
        <f t="shared" si="223"/>
        <v>0</v>
      </c>
      <c r="BI105" s="993">
        <f t="shared" si="224"/>
        <v>0</v>
      </c>
      <c r="BJ105" s="993">
        <f t="shared" si="225"/>
        <v>0</v>
      </c>
      <c r="BK105" s="993">
        <f t="shared" si="226"/>
        <v>0</v>
      </c>
      <c r="BL105" s="993">
        <f t="shared" si="227"/>
        <v>0</v>
      </c>
      <c r="BM105" s="993">
        <f t="shared" si="228"/>
        <v>0</v>
      </c>
      <c r="BN105" s="993">
        <f t="shared" si="229"/>
        <v>0</v>
      </c>
      <c r="BO105" s="993">
        <f t="shared" si="230"/>
        <v>0</v>
      </c>
      <c r="BP105" s="993">
        <f t="shared" si="231"/>
        <v>0</v>
      </c>
      <c r="BQ105" s="993">
        <f t="shared" si="232"/>
        <v>0</v>
      </c>
      <c r="BR105" s="993">
        <f t="shared" si="233"/>
        <v>0</v>
      </c>
      <c r="BS105" s="993">
        <f t="shared" si="234"/>
        <v>0</v>
      </c>
      <c r="BT105" s="993">
        <f t="shared" si="235"/>
        <v>0</v>
      </c>
      <c r="BU105" s="993">
        <f t="shared" si="236"/>
        <v>0</v>
      </c>
      <c r="BV105" s="993">
        <f t="shared" si="237"/>
        <v>0</v>
      </c>
      <c r="BW105" s="993">
        <f t="shared" si="238"/>
        <v>0</v>
      </c>
      <c r="BX105" s="993">
        <f t="shared" si="239"/>
        <v>0</v>
      </c>
      <c r="BY105" s="993">
        <f t="shared" si="240"/>
        <v>0</v>
      </c>
      <c r="BZ105" s="993">
        <f t="shared" si="241"/>
        <v>0</v>
      </c>
      <c r="CA105" s="993">
        <f t="shared" si="242"/>
        <v>0</v>
      </c>
      <c r="CB105" s="993">
        <f t="shared" si="243"/>
        <v>0</v>
      </c>
      <c r="CC105" s="993">
        <f t="shared" si="243"/>
        <v>0</v>
      </c>
      <c r="CD105" s="993">
        <f t="shared" si="243"/>
        <v>0</v>
      </c>
      <c r="CE105" s="993">
        <f t="shared" si="244"/>
        <v>0</v>
      </c>
      <c r="CF105" s="993">
        <f t="shared" si="245"/>
        <v>0</v>
      </c>
      <c r="CG105" s="993">
        <f t="shared" si="246"/>
        <v>0</v>
      </c>
      <c r="CH105" s="993">
        <f t="shared" si="247"/>
        <v>0</v>
      </c>
      <c r="CI105" s="993">
        <f t="shared" si="248"/>
        <v>0</v>
      </c>
      <c r="CJ105" s="993">
        <f t="shared" si="249"/>
        <v>0</v>
      </c>
      <c r="CK105" s="993">
        <f t="shared" si="250"/>
        <v>0</v>
      </c>
      <c r="CL105" s="993">
        <f t="shared" si="251"/>
        <v>0</v>
      </c>
      <c r="CM105" s="993">
        <f t="shared" si="252"/>
        <v>0</v>
      </c>
      <c r="CN105" s="993">
        <f t="shared" si="253"/>
        <v>0</v>
      </c>
      <c r="CO105" s="993">
        <f t="shared" si="254"/>
        <v>0</v>
      </c>
      <c r="CP105" s="993">
        <f t="shared" si="255"/>
        <v>0</v>
      </c>
      <c r="CQ105" s="993">
        <f t="shared" si="256"/>
        <v>0</v>
      </c>
      <c r="CR105" s="993">
        <f t="shared" si="257"/>
        <v>0</v>
      </c>
      <c r="CS105" s="993">
        <f t="shared" si="258"/>
        <v>0</v>
      </c>
      <c r="CT105" s="993">
        <f t="shared" si="259"/>
        <v>0</v>
      </c>
      <c r="CU105" s="993">
        <f t="shared" si="260"/>
        <v>0</v>
      </c>
      <c r="CV105" s="993">
        <f t="shared" si="261"/>
        <v>0</v>
      </c>
      <c r="CW105" s="993">
        <f t="shared" si="262"/>
        <v>0</v>
      </c>
      <c r="CX105" s="993">
        <f t="shared" si="263"/>
        <v>0</v>
      </c>
      <c r="CY105" s="993">
        <f t="shared" si="264"/>
        <v>0</v>
      </c>
      <c r="CZ105" s="993">
        <f t="shared" si="265"/>
        <v>0</v>
      </c>
    </row>
    <row r="106" spans="1:104" x14ac:dyDescent="0.35">
      <c r="A106" s="301" t="str">
        <f>Machine!A69</f>
        <v>Combine</v>
      </c>
      <c r="B106" s="993">
        <f t="shared" si="217"/>
        <v>1</v>
      </c>
      <c r="C106" s="990"/>
      <c r="D106" s="989">
        <v>1</v>
      </c>
      <c r="E106" s="989">
        <v>1</v>
      </c>
      <c r="F106" s="989">
        <v>1</v>
      </c>
      <c r="G106" s="989">
        <v>0</v>
      </c>
      <c r="H106" s="989">
        <v>0</v>
      </c>
      <c r="I106" s="989">
        <v>0</v>
      </c>
      <c r="J106" s="989">
        <v>0</v>
      </c>
      <c r="K106" s="989">
        <v>0</v>
      </c>
      <c r="L106" s="989">
        <v>0</v>
      </c>
      <c r="M106" s="989">
        <v>0</v>
      </c>
      <c r="N106" s="989">
        <v>1</v>
      </c>
      <c r="O106" s="989">
        <v>1</v>
      </c>
      <c r="P106" s="989">
        <v>1</v>
      </c>
      <c r="Q106" s="989">
        <v>1</v>
      </c>
      <c r="R106" s="989">
        <v>1</v>
      </c>
      <c r="S106" s="989">
        <v>1</v>
      </c>
      <c r="T106" s="989">
        <v>1</v>
      </c>
      <c r="U106" s="989">
        <v>1</v>
      </c>
      <c r="V106" s="989">
        <v>1</v>
      </c>
      <c r="W106" s="989">
        <v>1</v>
      </c>
      <c r="X106" s="989">
        <v>1</v>
      </c>
      <c r="Y106" s="989">
        <v>1</v>
      </c>
      <c r="Z106" s="989">
        <v>1</v>
      </c>
      <c r="AA106" s="989">
        <v>1</v>
      </c>
      <c r="AB106" s="989">
        <v>1</v>
      </c>
      <c r="AC106" s="989">
        <v>1</v>
      </c>
      <c r="AD106" s="989">
        <v>1</v>
      </c>
      <c r="AE106" s="989">
        <v>1</v>
      </c>
      <c r="AF106" s="989">
        <v>0</v>
      </c>
      <c r="AG106" s="989">
        <v>0</v>
      </c>
      <c r="AH106" s="989">
        <v>0</v>
      </c>
      <c r="AI106" s="989">
        <v>1</v>
      </c>
      <c r="AJ106" s="989">
        <v>1</v>
      </c>
      <c r="AK106" s="989">
        <v>1</v>
      </c>
      <c r="AL106" s="989">
        <v>1</v>
      </c>
      <c r="AM106" s="989">
        <v>1</v>
      </c>
      <c r="AN106" s="989">
        <v>1</v>
      </c>
      <c r="AO106" s="989">
        <v>0</v>
      </c>
      <c r="AP106" s="989"/>
      <c r="AQ106" s="989">
        <v>1</v>
      </c>
      <c r="AR106" s="989">
        <v>1</v>
      </c>
      <c r="AS106" s="989">
        <v>1</v>
      </c>
      <c r="AT106" s="989">
        <v>1</v>
      </c>
      <c r="AU106" s="989">
        <v>1</v>
      </c>
      <c r="AV106" s="989">
        <v>1</v>
      </c>
      <c r="AW106" s="989"/>
      <c r="AX106" s="989"/>
      <c r="AY106" s="989"/>
      <c r="AZ106" s="989"/>
      <c r="BA106" s="989"/>
      <c r="BB106" s="20"/>
      <c r="BC106" s="993">
        <f t="shared" si="218"/>
        <v>0</v>
      </c>
      <c r="BD106" s="993">
        <f t="shared" si="219"/>
        <v>0</v>
      </c>
      <c r="BE106" s="993">
        <f t="shared" si="220"/>
        <v>0</v>
      </c>
      <c r="BF106" s="993">
        <f t="shared" si="221"/>
        <v>0</v>
      </c>
      <c r="BG106" s="993">
        <f t="shared" si="222"/>
        <v>0</v>
      </c>
      <c r="BH106" s="993">
        <f t="shared" si="223"/>
        <v>0</v>
      </c>
      <c r="BI106" s="993">
        <f t="shared" si="224"/>
        <v>0</v>
      </c>
      <c r="BJ106" s="993">
        <f t="shared" si="225"/>
        <v>0</v>
      </c>
      <c r="BK106" s="993">
        <f t="shared" si="226"/>
        <v>0</v>
      </c>
      <c r="BL106" s="993">
        <f t="shared" si="227"/>
        <v>0</v>
      </c>
      <c r="BM106" s="993">
        <f t="shared" si="228"/>
        <v>1</v>
      </c>
      <c r="BN106" s="993">
        <f t="shared" si="229"/>
        <v>0</v>
      </c>
      <c r="BO106" s="993">
        <f t="shared" si="230"/>
        <v>0</v>
      </c>
      <c r="BP106" s="993">
        <f t="shared" si="231"/>
        <v>0</v>
      </c>
      <c r="BQ106" s="993">
        <f t="shared" si="232"/>
        <v>0</v>
      </c>
      <c r="BR106" s="993">
        <f t="shared" si="233"/>
        <v>0</v>
      </c>
      <c r="BS106" s="993">
        <f t="shared" si="234"/>
        <v>0</v>
      </c>
      <c r="BT106" s="993">
        <f t="shared" si="235"/>
        <v>0</v>
      </c>
      <c r="BU106" s="993">
        <f t="shared" si="236"/>
        <v>0</v>
      </c>
      <c r="BV106" s="993">
        <f t="shared" si="237"/>
        <v>0</v>
      </c>
      <c r="BW106" s="993">
        <f t="shared" si="238"/>
        <v>0</v>
      </c>
      <c r="BX106" s="993">
        <f t="shared" si="239"/>
        <v>0</v>
      </c>
      <c r="BY106" s="993">
        <f t="shared" si="240"/>
        <v>0</v>
      </c>
      <c r="BZ106" s="993">
        <f t="shared" si="241"/>
        <v>0</v>
      </c>
      <c r="CA106" s="993">
        <f t="shared" si="242"/>
        <v>0</v>
      </c>
      <c r="CB106" s="993">
        <f t="shared" si="243"/>
        <v>0</v>
      </c>
      <c r="CC106" s="993">
        <f t="shared" si="243"/>
        <v>0</v>
      </c>
      <c r="CD106" s="993">
        <f t="shared" si="243"/>
        <v>0</v>
      </c>
      <c r="CE106" s="993">
        <f t="shared" si="244"/>
        <v>0</v>
      </c>
      <c r="CF106" s="993">
        <f t="shared" si="245"/>
        <v>0</v>
      </c>
      <c r="CG106" s="993">
        <f t="shared" si="246"/>
        <v>0</v>
      </c>
      <c r="CH106" s="993">
        <f t="shared" si="247"/>
        <v>0</v>
      </c>
      <c r="CI106" s="993">
        <f t="shared" si="248"/>
        <v>0</v>
      </c>
      <c r="CJ106" s="993">
        <f t="shared" si="249"/>
        <v>0</v>
      </c>
      <c r="CK106" s="993">
        <f t="shared" si="250"/>
        <v>0</v>
      </c>
      <c r="CL106" s="993">
        <f t="shared" si="251"/>
        <v>0</v>
      </c>
      <c r="CM106" s="993">
        <f t="shared" si="252"/>
        <v>0</v>
      </c>
      <c r="CN106" s="993">
        <f t="shared" si="253"/>
        <v>0</v>
      </c>
      <c r="CO106" s="993">
        <f t="shared" si="254"/>
        <v>0</v>
      </c>
      <c r="CP106" s="993">
        <f t="shared" si="255"/>
        <v>0</v>
      </c>
      <c r="CQ106" s="993">
        <f t="shared" si="256"/>
        <v>0</v>
      </c>
      <c r="CR106" s="993">
        <f t="shared" si="257"/>
        <v>0</v>
      </c>
      <c r="CS106" s="993">
        <f t="shared" si="258"/>
        <v>0</v>
      </c>
      <c r="CT106" s="993">
        <f t="shared" si="259"/>
        <v>0</v>
      </c>
      <c r="CU106" s="993">
        <f t="shared" si="260"/>
        <v>0</v>
      </c>
      <c r="CV106" s="993">
        <f t="shared" si="261"/>
        <v>0</v>
      </c>
      <c r="CW106" s="993">
        <f t="shared" si="262"/>
        <v>0</v>
      </c>
      <c r="CX106" s="993">
        <f t="shared" si="263"/>
        <v>0</v>
      </c>
      <c r="CY106" s="993">
        <f t="shared" si="264"/>
        <v>0</v>
      </c>
      <c r="CZ106" s="993">
        <f t="shared" si="265"/>
        <v>0</v>
      </c>
    </row>
    <row r="107" spans="1:104" x14ac:dyDescent="0.35">
      <c r="A107" s="301" t="str">
        <f>Machine!A70</f>
        <v>Corn Head</v>
      </c>
      <c r="B107" s="993">
        <f t="shared" si="217"/>
        <v>0</v>
      </c>
      <c r="C107" s="990"/>
      <c r="D107" s="989">
        <v>1</v>
      </c>
      <c r="E107" s="989">
        <v>1</v>
      </c>
      <c r="F107" s="989">
        <v>1</v>
      </c>
      <c r="G107" s="989">
        <v>0</v>
      </c>
      <c r="H107" s="989">
        <v>0</v>
      </c>
      <c r="I107" s="989">
        <v>0</v>
      </c>
      <c r="J107" s="989">
        <v>0</v>
      </c>
      <c r="K107" s="989">
        <v>0</v>
      </c>
      <c r="L107" s="989">
        <v>0</v>
      </c>
      <c r="M107" s="989">
        <v>0</v>
      </c>
      <c r="N107" s="989">
        <v>0</v>
      </c>
      <c r="O107" s="989">
        <v>0</v>
      </c>
      <c r="P107" s="989">
        <v>0</v>
      </c>
      <c r="Q107" s="989">
        <v>0</v>
      </c>
      <c r="R107" s="989">
        <v>0</v>
      </c>
      <c r="S107" s="989">
        <v>0</v>
      </c>
      <c r="T107" s="989">
        <v>0</v>
      </c>
      <c r="U107" s="989">
        <v>0</v>
      </c>
      <c r="V107" s="989">
        <v>0</v>
      </c>
      <c r="W107" s="989">
        <v>0</v>
      </c>
      <c r="X107" s="989">
        <v>0</v>
      </c>
      <c r="Y107" s="989">
        <v>0</v>
      </c>
      <c r="Z107" s="989">
        <v>0</v>
      </c>
      <c r="AA107" s="989">
        <v>0</v>
      </c>
      <c r="AB107" s="989">
        <v>0</v>
      </c>
      <c r="AC107" s="989">
        <v>0</v>
      </c>
      <c r="AD107" s="989">
        <v>0</v>
      </c>
      <c r="AE107" s="989">
        <v>0</v>
      </c>
      <c r="AF107" s="989">
        <v>0</v>
      </c>
      <c r="AG107" s="989">
        <v>0</v>
      </c>
      <c r="AH107" s="989">
        <v>0</v>
      </c>
      <c r="AI107" s="989">
        <v>1</v>
      </c>
      <c r="AJ107" s="989">
        <v>1</v>
      </c>
      <c r="AK107" s="989">
        <v>1</v>
      </c>
      <c r="AL107" s="989">
        <v>0</v>
      </c>
      <c r="AM107" s="989">
        <v>0</v>
      </c>
      <c r="AN107" s="989">
        <v>0</v>
      </c>
      <c r="AO107" s="989">
        <v>0</v>
      </c>
      <c r="AP107" s="989"/>
      <c r="AQ107" s="989">
        <v>0</v>
      </c>
      <c r="AR107" s="989">
        <v>0</v>
      </c>
      <c r="AS107" s="989">
        <v>0</v>
      </c>
      <c r="AT107" s="989">
        <v>0</v>
      </c>
      <c r="AU107" s="989">
        <v>0</v>
      </c>
      <c r="AV107" s="989">
        <v>0</v>
      </c>
      <c r="AW107" s="989"/>
      <c r="AX107" s="989"/>
      <c r="AY107" s="989"/>
      <c r="AZ107" s="989"/>
      <c r="BA107" s="989"/>
      <c r="BB107" s="20"/>
      <c r="BC107" s="993">
        <f t="shared" si="218"/>
        <v>0</v>
      </c>
      <c r="BD107" s="993">
        <f t="shared" si="219"/>
        <v>0</v>
      </c>
      <c r="BE107" s="993">
        <f t="shared" si="220"/>
        <v>0</v>
      </c>
      <c r="BF107" s="993">
        <f t="shared" si="221"/>
        <v>0</v>
      </c>
      <c r="BG107" s="993">
        <f t="shared" si="222"/>
        <v>0</v>
      </c>
      <c r="BH107" s="993">
        <f t="shared" si="223"/>
        <v>0</v>
      </c>
      <c r="BI107" s="993">
        <f t="shared" si="224"/>
        <v>0</v>
      </c>
      <c r="BJ107" s="993">
        <f t="shared" si="225"/>
        <v>0</v>
      </c>
      <c r="BK107" s="993">
        <f t="shared" si="226"/>
        <v>0</v>
      </c>
      <c r="BL107" s="993">
        <f t="shared" si="227"/>
        <v>0</v>
      </c>
      <c r="BM107" s="993">
        <f t="shared" si="228"/>
        <v>0</v>
      </c>
      <c r="BN107" s="993">
        <f t="shared" si="229"/>
        <v>0</v>
      </c>
      <c r="BO107" s="993">
        <f t="shared" si="230"/>
        <v>0</v>
      </c>
      <c r="BP107" s="993">
        <f t="shared" si="231"/>
        <v>0</v>
      </c>
      <c r="BQ107" s="993">
        <f t="shared" si="232"/>
        <v>0</v>
      </c>
      <c r="BR107" s="993">
        <f t="shared" si="233"/>
        <v>0</v>
      </c>
      <c r="BS107" s="993">
        <f t="shared" si="234"/>
        <v>0</v>
      </c>
      <c r="BT107" s="993">
        <f t="shared" si="235"/>
        <v>0</v>
      </c>
      <c r="BU107" s="993">
        <f t="shared" si="236"/>
        <v>0</v>
      </c>
      <c r="BV107" s="993">
        <f t="shared" si="237"/>
        <v>0</v>
      </c>
      <c r="BW107" s="993">
        <f t="shared" si="238"/>
        <v>0</v>
      </c>
      <c r="BX107" s="993">
        <f t="shared" si="239"/>
        <v>0</v>
      </c>
      <c r="BY107" s="993">
        <f t="shared" si="240"/>
        <v>0</v>
      </c>
      <c r="BZ107" s="993">
        <f t="shared" si="241"/>
        <v>0</v>
      </c>
      <c r="CA107" s="993">
        <f t="shared" si="242"/>
        <v>0</v>
      </c>
      <c r="CB107" s="993">
        <f t="shared" si="243"/>
        <v>0</v>
      </c>
      <c r="CC107" s="993">
        <f t="shared" si="243"/>
        <v>0</v>
      </c>
      <c r="CD107" s="993">
        <f t="shared" si="243"/>
        <v>0</v>
      </c>
      <c r="CE107" s="993">
        <f t="shared" si="244"/>
        <v>0</v>
      </c>
      <c r="CF107" s="993">
        <f t="shared" si="245"/>
        <v>0</v>
      </c>
      <c r="CG107" s="993">
        <f t="shared" si="246"/>
        <v>0</v>
      </c>
      <c r="CH107" s="993">
        <f t="shared" si="247"/>
        <v>0</v>
      </c>
      <c r="CI107" s="993">
        <f t="shared" si="248"/>
        <v>0</v>
      </c>
      <c r="CJ107" s="993">
        <f t="shared" si="249"/>
        <v>0</v>
      </c>
      <c r="CK107" s="993">
        <f t="shared" si="250"/>
        <v>0</v>
      </c>
      <c r="CL107" s="993">
        <f t="shared" si="251"/>
        <v>0</v>
      </c>
      <c r="CM107" s="993">
        <f t="shared" si="252"/>
        <v>0</v>
      </c>
      <c r="CN107" s="993">
        <f t="shared" si="253"/>
        <v>0</v>
      </c>
      <c r="CO107" s="993">
        <f t="shared" si="254"/>
        <v>0</v>
      </c>
      <c r="CP107" s="993">
        <f t="shared" si="255"/>
        <v>0</v>
      </c>
      <c r="CQ107" s="993">
        <f t="shared" si="256"/>
        <v>0</v>
      </c>
      <c r="CR107" s="993">
        <f t="shared" si="257"/>
        <v>0</v>
      </c>
      <c r="CS107" s="993">
        <f t="shared" si="258"/>
        <v>0</v>
      </c>
      <c r="CT107" s="993">
        <f t="shared" si="259"/>
        <v>0</v>
      </c>
      <c r="CU107" s="993">
        <f t="shared" si="260"/>
        <v>0</v>
      </c>
      <c r="CV107" s="993">
        <f t="shared" si="261"/>
        <v>0</v>
      </c>
      <c r="CW107" s="993">
        <f t="shared" si="262"/>
        <v>0</v>
      </c>
      <c r="CX107" s="993">
        <f t="shared" si="263"/>
        <v>0</v>
      </c>
      <c r="CY107" s="993">
        <f t="shared" si="264"/>
        <v>0</v>
      </c>
      <c r="CZ107" s="993">
        <f t="shared" si="265"/>
        <v>0</v>
      </c>
    </row>
    <row r="108" spans="1:104" x14ac:dyDescent="0.35">
      <c r="A108" s="301" t="str">
        <f>Machine!A71</f>
        <v>Soybean Head</v>
      </c>
      <c r="B108" s="993">
        <f t="shared" si="217"/>
        <v>0</v>
      </c>
      <c r="C108" s="990"/>
      <c r="D108" s="989">
        <v>0</v>
      </c>
      <c r="E108" s="989">
        <v>0</v>
      </c>
      <c r="F108" s="989">
        <v>0</v>
      </c>
      <c r="G108" s="989">
        <v>0</v>
      </c>
      <c r="H108" s="989">
        <v>0</v>
      </c>
      <c r="I108" s="989">
        <v>0</v>
      </c>
      <c r="J108" s="989">
        <v>0</v>
      </c>
      <c r="K108" s="989">
        <v>0</v>
      </c>
      <c r="L108" s="989">
        <v>0</v>
      </c>
      <c r="M108" s="989">
        <v>0</v>
      </c>
      <c r="N108" s="989">
        <v>0</v>
      </c>
      <c r="O108" s="989">
        <v>0</v>
      </c>
      <c r="P108" s="989">
        <v>0</v>
      </c>
      <c r="Q108" s="989">
        <v>0</v>
      </c>
      <c r="R108" s="989">
        <v>0</v>
      </c>
      <c r="S108" s="989">
        <v>0</v>
      </c>
      <c r="T108" s="989">
        <v>0</v>
      </c>
      <c r="U108" s="989">
        <v>0</v>
      </c>
      <c r="V108" s="989">
        <v>1</v>
      </c>
      <c r="W108" s="989">
        <v>1</v>
      </c>
      <c r="X108" s="989">
        <v>1</v>
      </c>
      <c r="Y108" s="989">
        <v>1</v>
      </c>
      <c r="Z108" s="989">
        <v>1</v>
      </c>
      <c r="AA108" s="989">
        <v>1</v>
      </c>
      <c r="AB108" s="989">
        <v>1</v>
      </c>
      <c r="AC108" s="989">
        <v>1</v>
      </c>
      <c r="AD108" s="989">
        <v>1</v>
      </c>
      <c r="AE108" s="989">
        <v>0</v>
      </c>
      <c r="AF108" s="989">
        <v>0</v>
      </c>
      <c r="AG108" s="989">
        <v>0</v>
      </c>
      <c r="AH108" s="989">
        <v>0</v>
      </c>
      <c r="AI108" s="989">
        <v>0</v>
      </c>
      <c r="AJ108" s="989">
        <v>0</v>
      </c>
      <c r="AK108" s="989">
        <v>0</v>
      </c>
      <c r="AL108" s="989">
        <v>1</v>
      </c>
      <c r="AM108" s="989">
        <v>1</v>
      </c>
      <c r="AN108" s="989">
        <v>1</v>
      </c>
      <c r="AO108" s="989">
        <v>0</v>
      </c>
      <c r="AP108" s="989"/>
      <c r="AQ108" s="989">
        <v>0</v>
      </c>
      <c r="AR108" s="989">
        <v>0</v>
      </c>
      <c r="AS108" s="989">
        <v>0</v>
      </c>
      <c r="AT108" s="989">
        <v>0</v>
      </c>
      <c r="AU108" s="989">
        <v>0</v>
      </c>
      <c r="AV108" s="989">
        <v>0</v>
      </c>
      <c r="AW108" s="989"/>
      <c r="AX108" s="989"/>
      <c r="AY108" s="989"/>
      <c r="AZ108" s="989"/>
      <c r="BA108" s="989"/>
      <c r="BB108" s="20"/>
      <c r="BC108" s="993">
        <f t="shared" si="218"/>
        <v>0</v>
      </c>
      <c r="BD108" s="993">
        <f t="shared" si="219"/>
        <v>0</v>
      </c>
      <c r="BE108" s="993">
        <f t="shared" si="220"/>
        <v>0</v>
      </c>
      <c r="BF108" s="993">
        <f t="shared" si="221"/>
        <v>0</v>
      </c>
      <c r="BG108" s="993">
        <f t="shared" si="222"/>
        <v>0</v>
      </c>
      <c r="BH108" s="993">
        <f t="shared" si="223"/>
        <v>0</v>
      </c>
      <c r="BI108" s="993">
        <f t="shared" si="224"/>
        <v>0</v>
      </c>
      <c r="BJ108" s="993">
        <f t="shared" si="225"/>
        <v>0</v>
      </c>
      <c r="BK108" s="993">
        <f t="shared" si="226"/>
        <v>0</v>
      </c>
      <c r="BL108" s="993">
        <f t="shared" si="227"/>
        <v>0</v>
      </c>
      <c r="BM108" s="993">
        <f t="shared" si="228"/>
        <v>0</v>
      </c>
      <c r="BN108" s="993">
        <f t="shared" si="229"/>
        <v>0</v>
      </c>
      <c r="BO108" s="993">
        <f t="shared" si="230"/>
        <v>0</v>
      </c>
      <c r="BP108" s="993">
        <f t="shared" si="231"/>
        <v>0</v>
      </c>
      <c r="BQ108" s="993">
        <f t="shared" si="232"/>
        <v>0</v>
      </c>
      <c r="BR108" s="993">
        <f t="shared" si="233"/>
        <v>0</v>
      </c>
      <c r="BS108" s="993">
        <f t="shared" si="234"/>
        <v>0</v>
      </c>
      <c r="BT108" s="993">
        <f t="shared" si="235"/>
        <v>0</v>
      </c>
      <c r="BU108" s="993">
        <f t="shared" si="236"/>
        <v>0</v>
      </c>
      <c r="BV108" s="993">
        <f t="shared" si="237"/>
        <v>0</v>
      </c>
      <c r="BW108" s="993">
        <f t="shared" si="238"/>
        <v>0</v>
      </c>
      <c r="BX108" s="993">
        <f t="shared" si="239"/>
        <v>0</v>
      </c>
      <c r="BY108" s="993">
        <f t="shared" si="240"/>
        <v>0</v>
      </c>
      <c r="BZ108" s="993">
        <f t="shared" si="241"/>
        <v>0</v>
      </c>
      <c r="CA108" s="993">
        <f t="shared" si="242"/>
        <v>0</v>
      </c>
      <c r="CB108" s="993">
        <f t="shared" si="243"/>
        <v>0</v>
      </c>
      <c r="CC108" s="993">
        <f t="shared" si="243"/>
        <v>0</v>
      </c>
      <c r="CD108" s="993">
        <f t="shared" si="243"/>
        <v>0</v>
      </c>
      <c r="CE108" s="993">
        <f t="shared" si="244"/>
        <v>0</v>
      </c>
      <c r="CF108" s="993">
        <f t="shared" si="245"/>
        <v>0</v>
      </c>
      <c r="CG108" s="993">
        <f t="shared" si="246"/>
        <v>0</v>
      </c>
      <c r="CH108" s="993">
        <f t="shared" si="247"/>
        <v>0</v>
      </c>
      <c r="CI108" s="993">
        <f t="shared" si="248"/>
        <v>0</v>
      </c>
      <c r="CJ108" s="993">
        <f t="shared" si="249"/>
        <v>0</v>
      </c>
      <c r="CK108" s="993">
        <f t="shared" si="250"/>
        <v>0</v>
      </c>
      <c r="CL108" s="993">
        <f t="shared" si="251"/>
        <v>0</v>
      </c>
      <c r="CM108" s="993">
        <f t="shared" si="252"/>
        <v>0</v>
      </c>
      <c r="CN108" s="993">
        <f t="shared" si="253"/>
        <v>0</v>
      </c>
      <c r="CO108" s="993">
        <f t="shared" si="254"/>
        <v>0</v>
      </c>
      <c r="CP108" s="993">
        <f t="shared" si="255"/>
        <v>0</v>
      </c>
      <c r="CQ108" s="993">
        <f t="shared" si="256"/>
        <v>0</v>
      </c>
      <c r="CR108" s="993">
        <f t="shared" si="257"/>
        <v>0</v>
      </c>
      <c r="CS108" s="993">
        <f t="shared" si="258"/>
        <v>0</v>
      </c>
      <c r="CT108" s="993">
        <f t="shared" si="259"/>
        <v>0</v>
      </c>
      <c r="CU108" s="993">
        <f t="shared" si="260"/>
        <v>0</v>
      </c>
      <c r="CV108" s="993">
        <f t="shared" si="261"/>
        <v>0</v>
      </c>
      <c r="CW108" s="993">
        <f t="shared" si="262"/>
        <v>0</v>
      </c>
      <c r="CX108" s="993">
        <f t="shared" si="263"/>
        <v>0</v>
      </c>
      <c r="CY108" s="993">
        <f t="shared" si="264"/>
        <v>0</v>
      </c>
      <c r="CZ108" s="993">
        <f t="shared" si="265"/>
        <v>0</v>
      </c>
    </row>
    <row r="109" spans="1:104" x14ac:dyDescent="0.35">
      <c r="A109" s="301" t="str">
        <f>Machine!A72</f>
        <v>Rice Head</v>
      </c>
      <c r="B109" s="993">
        <f t="shared" si="217"/>
        <v>0</v>
      </c>
      <c r="C109" s="990"/>
      <c r="D109" s="989">
        <v>0</v>
      </c>
      <c r="E109" s="989">
        <v>0</v>
      </c>
      <c r="F109" s="989">
        <v>0</v>
      </c>
      <c r="G109" s="989">
        <v>0</v>
      </c>
      <c r="H109" s="989">
        <v>0</v>
      </c>
      <c r="I109" s="989">
        <v>0</v>
      </c>
      <c r="J109" s="989">
        <v>0</v>
      </c>
      <c r="K109" s="989">
        <v>0</v>
      </c>
      <c r="L109" s="989">
        <v>0</v>
      </c>
      <c r="M109" s="989">
        <v>0</v>
      </c>
      <c r="N109" s="989">
        <v>0</v>
      </c>
      <c r="O109" s="989">
        <v>0</v>
      </c>
      <c r="P109" s="989">
        <v>0</v>
      </c>
      <c r="Q109" s="989">
        <v>1</v>
      </c>
      <c r="R109" s="989">
        <v>1</v>
      </c>
      <c r="S109" s="989">
        <v>1</v>
      </c>
      <c r="T109" s="989">
        <v>1</v>
      </c>
      <c r="U109" s="989">
        <v>1</v>
      </c>
      <c r="V109" s="989">
        <v>0</v>
      </c>
      <c r="W109" s="989">
        <v>0</v>
      </c>
      <c r="X109" s="989">
        <v>0</v>
      </c>
      <c r="Y109" s="989">
        <v>0</v>
      </c>
      <c r="Z109" s="989">
        <v>0</v>
      </c>
      <c r="AA109" s="989">
        <v>0</v>
      </c>
      <c r="AB109" s="989">
        <v>0</v>
      </c>
      <c r="AC109" s="989">
        <v>0</v>
      </c>
      <c r="AD109" s="989">
        <v>0</v>
      </c>
      <c r="AE109" s="989">
        <v>0</v>
      </c>
      <c r="AF109" s="989">
        <v>0</v>
      </c>
      <c r="AG109" s="989">
        <v>0</v>
      </c>
      <c r="AH109" s="989">
        <v>0</v>
      </c>
      <c r="AI109" s="989">
        <v>0</v>
      </c>
      <c r="AJ109" s="989">
        <v>0</v>
      </c>
      <c r="AK109" s="989">
        <v>0</v>
      </c>
      <c r="AL109" s="989">
        <v>0</v>
      </c>
      <c r="AM109" s="989">
        <v>0</v>
      </c>
      <c r="AN109" s="989">
        <v>0</v>
      </c>
      <c r="AO109" s="989">
        <v>0</v>
      </c>
      <c r="AP109" s="989"/>
      <c r="AQ109" s="989">
        <v>1</v>
      </c>
      <c r="AR109" s="989">
        <v>1</v>
      </c>
      <c r="AS109" s="989">
        <v>1</v>
      </c>
      <c r="AT109" s="989">
        <v>1</v>
      </c>
      <c r="AU109" s="989">
        <v>1</v>
      </c>
      <c r="AV109" s="989">
        <v>1</v>
      </c>
      <c r="AW109" s="989"/>
      <c r="AX109" s="989"/>
      <c r="AY109" s="989"/>
      <c r="AZ109" s="989"/>
      <c r="BA109" s="989"/>
      <c r="BB109" s="20"/>
      <c r="BC109" s="993">
        <f t="shared" si="218"/>
        <v>0</v>
      </c>
      <c r="BD109" s="993">
        <f t="shared" si="219"/>
        <v>0</v>
      </c>
      <c r="BE109" s="993">
        <f t="shared" si="220"/>
        <v>0</v>
      </c>
      <c r="BF109" s="993">
        <f t="shared" si="221"/>
        <v>0</v>
      </c>
      <c r="BG109" s="993">
        <f t="shared" si="222"/>
        <v>0</v>
      </c>
      <c r="BH109" s="993">
        <f t="shared" si="223"/>
        <v>0</v>
      </c>
      <c r="BI109" s="993">
        <f t="shared" si="224"/>
        <v>0</v>
      </c>
      <c r="BJ109" s="993">
        <f t="shared" si="225"/>
        <v>0</v>
      </c>
      <c r="BK109" s="993">
        <f t="shared" si="226"/>
        <v>0</v>
      </c>
      <c r="BL109" s="993">
        <f t="shared" si="227"/>
        <v>0</v>
      </c>
      <c r="BM109" s="993">
        <f t="shared" si="228"/>
        <v>0</v>
      </c>
      <c r="BN109" s="993">
        <f t="shared" si="229"/>
        <v>0</v>
      </c>
      <c r="BO109" s="993">
        <f t="shared" si="230"/>
        <v>0</v>
      </c>
      <c r="BP109" s="993">
        <f t="shared" si="231"/>
        <v>0</v>
      </c>
      <c r="BQ109" s="993">
        <f t="shared" si="232"/>
        <v>0</v>
      </c>
      <c r="BR109" s="993">
        <f t="shared" si="233"/>
        <v>0</v>
      </c>
      <c r="BS109" s="993">
        <f t="shared" si="234"/>
        <v>0</v>
      </c>
      <c r="BT109" s="993">
        <f t="shared" si="235"/>
        <v>0</v>
      </c>
      <c r="BU109" s="993">
        <f t="shared" si="236"/>
        <v>0</v>
      </c>
      <c r="BV109" s="993">
        <f t="shared" si="237"/>
        <v>0</v>
      </c>
      <c r="BW109" s="993">
        <f t="shared" si="238"/>
        <v>0</v>
      </c>
      <c r="BX109" s="993">
        <f t="shared" si="239"/>
        <v>0</v>
      </c>
      <c r="BY109" s="993">
        <f t="shared" si="240"/>
        <v>0</v>
      </c>
      <c r="BZ109" s="993">
        <f t="shared" si="241"/>
        <v>0</v>
      </c>
      <c r="CA109" s="993">
        <f t="shared" si="242"/>
        <v>0</v>
      </c>
      <c r="CB109" s="993">
        <f t="shared" si="243"/>
        <v>0</v>
      </c>
      <c r="CC109" s="993">
        <f t="shared" si="243"/>
        <v>0</v>
      </c>
      <c r="CD109" s="993">
        <f t="shared" si="243"/>
        <v>0</v>
      </c>
      <c r="CE109" s="993">
        <f t="shared" si="244"/>
        <v>0</v>
      </c>
      <c r="CF109" s="993">
        <f t="shared" si="245"/>
        <v>0</v>
      </c>
      <c r="CG109" s="993">
        <f t="shared" si="246"/>
        <v>0</v>
      </c>
      <c r="CH109" s="993">
        <f t="shared" si="247"/>
        <v>0</v>
      </c>
      <c r="CI109" s="993">
        <f t="shared" si="248"/>
        <v>0</v>
      </c>
      <c r="CJ109" s="993">
        <f t="shared" si="249"/>
        <v>0</v>
      </c>
      <c r="CK109" s="993">
        <f t="shared" si="250"/>
        <v>0</v>
      </c>
      <c r="CL109" s="993">
        <f t="shared" si="251"/>
        <v>0</v>
      </c>
      <c r="CM109" s="993">
        <f t="shared" si="252"/>
        <v>0</v>
      </c>
      <c r="CN109" s="993">
        <f t="shared" si="253"/>
        <v>0</v>
      </c>
      <c r="CO109" s="993">
        <f t="shared" si="254"/>
        <v>0</v>
      </c>
      <c r="CP109" s="993">
        <f t="shared" si="255"/>
        <v>0</v>
      </c>
      <c r="CQ109" s="993">
        <f t="shared" si="256"/>
        <v>0</v>
      </c>
      <c r="CR109" s="993">
        <f t="shared" si="257"/>
        <v>0</v>
      </c>
      <c r="CS109" s="993">
        <f t="shared" si="258"/>
        <v>0</v>
      </c>
      <c r="CT109" s="993">
        <f t="shared" si="259"/>
        <v>0</v>
      </c>
      <c r="CU109" s="993">
        <f t="shared" si="260"/>
        <v>0</v>
      </c>
      <c r="CV109" s="993">
        <f t="shared" si="261"/>
        <v>0</v>
      </c>
      <c r="CW109" s="993">
        <f t="shared" si="262"/>
        <v>0</v>
      </c>
      <c r="CX109" s="993">
        <f t="shared" si="263"/>
        <v>0</v>
      </c>
      <c r="CY109" s="993">
        <f t="shared" si="264"/>
        <v>0</v>
      </c>
      <c r="CZ109" s="993">
        <f t="shared" si="265"/>
        <v>0</v>
      </c>
    </row>
    <row r="110" spans="1:104" x14ac:dyDescent="0.35">
      <c r="A110" s="301" t="str">
        <f>Machine!A73</f>
        <v>Wheat/Sorghum Head</v>
      </c>
      <c r="B110" s="993">
        <f t="shared" si="217"/>
        <v>1</v>
      </c>
      <c r="C110" s="990"/>
      <c r="D110" s="989">
        <v>0</v>
      </c>
      <c r="E110" s="989">
        <v>0</v>
      </c>
      <c r="F110" s="989">
        <v>0</v>
      </c>
      <c r="G110" s="989">
        <v>0</v>
      </c>
      <c r="H110" s="989">
        <v>0</v>
      </c>
      <c r="I110" s="989">
        <v>0</v>
      </c>
      <c r="J110" s="989">
        <v>0</v>
      </c>
      <c r="K110" s="989">
        <v>0</v>
      </c>
      <c r="L110" s="989">
        <v>0</v>
      </c>
      <c r="M110" s="989">
        <v>0</v>
      </c>
      <c r="N110" s="989">
        <v>1</v>
      </c>
      <c r="O110" s="989">
        <v>1</v>
      </c>
      <c r="P110" s="989">
        <v>1</v>
      </c>
      <c r="Q110" s="989">
        <v>0</v>
      </c>
      <c r="R110" s="989">
        <v>0</v>
      </c>
      <c r="S110" s="989">
        <v>0</v>
      </c>
      <c r="T110" s="989">
        <v>0</v>
      </c>
      <c r="U110" s="989">
        <v>0</v>
      </c>
      <c r="V110" s="989">
        <v>0</v>
      </c>
      <c r="W110" s="989">
        <v>0</v>
      </c>
      <c r="X110" s="989">
        <v>0</v>
      </c>
      <c r="Y110" s="989">
        <v>0</v>
      </c>
      <c r="Z110" s="989">
        <v>0</v>
      </c>
      <c r="AA110" s="989">
        <v>0</v>
      </c>
      <c r="AB110" s="989">
        <v>0</v>
      </c>
      <c r="AC110" s="989">
        <v>0</v>
      </c>
      <c r="AD110" s="989">
        <v>0</v>
      </c>
      <c r="AE110" s="989">
        <v>1</v>
      </c>
      <c r="AF110" s="989">
        <v>0</v>
      </c>
      <c r="AG110" s="989">
        <v>0</v>
      </c>
      <c r="AH110" s="989">
        <v>0</v>
      </c>
      <c r="AI110" s="989">
        <v>0</v>
      </c>
      <c r="AJ110" s="989">
        <v>0</v>
      </c>
      <c r="AK110" s="989">
        <v>0</v>
      </c>
      <c r="AL110" s="989">
        <v>0</v>
      </c>
      <c r="AM110" s="989">
        <v>0</v>
      </c>
      <c r="AN110" s="989">
        <v>0</v>
      </c>
      <c r="AO110" s="989">
        <v>0</v>
      </c>
      <c r="AP110" s="989"/>
      <c r="AQ110" s="989">
        <v>0</v>
      </c>
      <c r="AR110" s="989">
        <v>0</v>
      </c>
      <c r="AS110" s="989">
        <v>0</v>
      </c>
      <c r="AT110" s="989">
        <v>0</v>
      </c>
      <c r="AU110" s="989">
        <v>0</v>
      </c>
      <c r="AV110" s="989">
        <v>0</v>
      </c>
      <c r="AW110" s="989"/>
      <c r="AX110" s="989"/>
      <c r="AY110" s="989"/>
      <c r="AZ110" s="989"/>
      <c r="BA110" s="989"/>
      <c r="BB110" s="20"/>
      <c r="BC110" s="993">
        <f t="shared" si="218"/>
        <v>0</v>
      </c>
      <c r="BD110" s="993">
        <f t="shared" si="219"/>
        <v>0</v>
      </c>
      <c r="BE110" s="993">
        <f t="shared" si="220"/>
        <v>0</v>
      </c>
      <c r="BF110" s="993">
        <f t="shared" si="221"/>
        <v>0</v>
      </c>
      <c r="BG110" s="993">
        <f t="shared" si="222"/>
        <v>0</v>
      </c>
      <c r="BH110" s="993">
        <f t="shared" si="223"/>
        <v>0</v>
      </c>
      <c r="BI110" s="993">
        <f t="shared" si="224"/>
        <v>0</v>
      </c>
      <c r="BJ110" s="993">
        <f t="shared" si="225"/>
        <v>0</v>
      </c>
      <c r="BK110" s="993">
        <f t="shared" si="226"/>
        <v>0</v>
      </c>
      <c r="BL110" s="993">
        <f t="shared" si="227"/>
        <v>0</v>
      </c>
      <c r="BM110" s="993">
        <f t="shared" si="228"/>
        <v>1</v>
      </c>
      <c r="BN110" s="993">
        <f t="shared" si="229"/>
        <v>0</v>
      </c>
      <c r="BO110" s="993">
        <f t="shared" si="230"/>
        <v>0</v>
      </c>
      <c r="BP110" s="993">
        <f t="shared" si="231"/>
        <v>0</v>
      </c>
      <c r="BQ110" s="993">
        <f t="shared" si="232"/>
        <v>0</v>
      </c>
      <c r="BR110" s="993">
        <f t="shared" si="233"/>
        <v>0</v>
      </c>
      <c r="BS110" s="993">
        <f t="shared" si="234"/>
        <v>0</v>
      </c>
      <c r="BT110" s="993">
        <f t="shared" si="235"/>
        <v>0</v>
      </c>
      <c r="BU110" s="993">
        <f t="shared" si="236"/>
        <v>0</v>
      </c>
      <c r="BV110" s="993">
        <f t="shared" si="237"/>
        <v>0</v>
      </c>
      <c r="BW110" s="993">
        <f t="shared" si="238"/>
        <v>0</v>
      </c>
      <c r="BX110" s="993">
        <f t="shared" si="239"/>
        <v>0</v>
      </c>
      <c r="BY110" s="993">
        <f t="shared" si="240"/>
        <v>0</v>
      </c>
      <c r="BZ110" s="993">
        <f t="shared" si="241"/>
        <v>0</v>
      </c>
      <c r="CA110" s="993">
        <f t="shared" si="242"/>
        <v>0</v>
      </c>
      <c r="CB110" s="993">
        <f t="shared" si="243"/>
        <v>0</v>
      </c>
      <c r="CC110" s="993">
        <f t="shared" si="243"/>
        <v>0</v>
      </c>
      <c r="CD110" s="993">
        <f t="shared" si="243"/>
        <v>0</v>
      </c>
      <c r="CE110" s="993">
        <f t="shared" si="244"/>
        <v>0</v>
      </c>
      <c r="CF110" s="993">
        <f t="shared" si="245"/>
        <v>0</v>
      </c>
      <c r="CG110" s="993">
        <f t="shared" si="246"/>
        <v>0</v>
      </c>
      <c r="CH110" s="993">
        <f t="shared" si="247"/>
        <v>0</v>
      </c>
      <c r="CI110" s="993">
        <f t="shared" si="248"/>
        <v>0</v>
      </c>
      <c r="CJ110" s="993">
        <f t="shared" si="249"/>
        <v>0</v>
      </c>
      <c r="CK110" s="993">
        <f t="shared" si="250"/>
        <v>0</v>
      </c>
      <c r="CL110" s="993">
        <f t="shared" si="251"/>
        <v>0</v>
      </c>
      <c r="CM110" s="993">
        <f t="shared" si="252"/>
        <v>0</v>
      </c>
      <c r="CN110" s="993">
        <f t="shared" si="253"/>
        <v>0</v>
      </c>
      <c r="CO110" s="993">
        <f t="shared" si="254"/>
        <v>0</v>
      </c>
      <c r="CP110" s="993">
        <f t="shared" si="255"/>
        <v>0</v>
      </c>
      <c r="CQ110" s="993">
        <f t="shared" si="256"/>
        <v>0</v>
      </c>
      <c r="CR110" s="993">
        <f t="shared" si="257"/>
        <v>0</v>
      </c>
      <c r="CS110" s="993">
        <f t="shared" si="258"/>
        <v>0</v>
      </c>
      <c r="CT110" s="993">
        <f t="shared" si="259"/>
        <v>0</v>
      </c>
      <c r="CU110" s="993">
        <f t="shared" si="260"/>
        <v>0</v>
      </c>
      <c r="CV110" s="993">
        <f t="shared" si="261"/>
        <v>0</v>
      </c>
      <c r="CW110" s="993">
        <f t="shared" si="262"/>
        <v>0</v>
      </c>
      <c r="CX110" s="993">
        <f t="shared" si="263"/>
        <v>0</v>
      </c>
      <c r="CY110" s="993">
        <f t="shared" si="264"/>
        <v>0</v>
      </c>
      <c r="CZ110" s="993">
        <f t="shared" si="265"/>
        <v>0</v>
      </c>
    </row>
    <row r="111" spans="1:104" x14ac:dyDescent="0.35">
      <c r="A111" s="301" t="str">
        <f>Machine!A74</f>
        <v>Grain Cart with Tractor</v>
      </c>
      <c r="B111" s="993">
        <f t="shared" si="217"/>
        <v>1</v>
      </c>
      <c r="C111" s="990"/>
      <c r="D111" s="989">
        <v>1</v>
      </c>
      <c r="E111" s="989">
        <v>1</v>
      </c>
      <c r="F111" s="989">
        <v>1</v>
      </c>
      <c r="G111" s="989">
        <v>0</v>
      </c>
      <c r="H111" s="989">
        <v>0</v>
      </c>
      <c r="I111" s="989">
        <v>0</v>
      </c>
      <c r="J111" s="989">
        <v>0</v>
      </c>
      <c r="K111" s="989">
        <v>0</v>
      </c>
      <c r="L111" s="989">
        <v>0</v>
      </c>
      <c r="M111" s="989">
        <v>0</v>
      </c>
      <c r="N111" s="989">
        <v>1</v>
      </c>
      <c r="O111" s="989">
        <v>1</v>
      </c>
      <c r="P111" s="989">
        <v>1</v>
      </c>
      <c r="Q111" s="989">
        <v>1</v>
      </c>
      <c r="R111" s="989">
        <v>1</v>
      </c>
      <c r="S111" s="989">
        <v>1</v>
      </c>
      <c r="T111" s="989">
        <v>1</v>
      </c>
      <c r="U111" s="989">
        <v>1</v>
      </c>
      <c r="V111" s="989">
        <v>1</v>
      </c>
      <c r="W111" s="989">
        <v>1</v>
      </c>
      <c r="X111" s="989">
        <v>1</v>
      </c>
      <c r="Y111" s="989">
        <v>1</v>
      </c>
      <c r="Z111" s="989">
        <v>1</v>
      </c>
      <c r="AA111" s="989">
        <v>1</v>
      </c>
      <c r="AB111" s="989">
        <v>1</v>
      </c>
      <c r="AC111" s="989">
        <v>1</v>
      </c>
      <c r="AD111" s="989">
        <v>1</v>
      </c>
      <c r="AE111" s="989">
        <v>1</v>
      </c>
      <c r="AF111" s="989">
        <v>0</v>
      </c>
      <c r="AG111" s="989">
        <v>0</v>
      </c>
      <c r="AH111" s="989">
        <v>0</v>
      </c>
      <c r="AI111" s="989">
        <v>1</v>
      </c>
      <c r="AJ111" s="989">
        <v>1</v>
      </c>
      <c r="AK111" s="989">
        <v>1</v>
      </c>
      <c r="AL111" s="989">
        <v>1</v>
      </c>
      <c r="AM111" s="989">
        <v>1</v>
      </c>
      <c r="AN111" s="989">
        <v>1</v>
      </c>
      <c r="AO111" s="989">
        <v>0</v>
      </c>
      <c r="AP111" s="989"/>
      <c r="AQ111" s="989">
        <v>1</v>
      </c>
      <c r="AR111" s="989">
        <v>1</v>
      </c>
      <c r="AS111" s="989">
        <v>1</v>
      </c>
      <c r="AT111" s="989">
        <v>1</v>
      </c>
      <c r="AU111" s="989">
        <v>1</v>
      </c>
      <c r="AV111" s="989">
        <v>1</v>
      </c>
      <c r="AW111" s="989"/>
      <c r="AX111" s="989"/>
      <c r="AY111" s="989"/>
      <c r="AZ111" s="989"/>
      <c r="BA111" s="989"/>
      <c r="BB111" s="20"/>
      <c r="BC111" s="993">
        <f t="shared" si="218"/>
        <v>0</v>
      </c>
      <c r="BD111" s="993">
        <f t="shared" si="219"/>
        <v>0</v>
      </c>
      <c r="BE111" s="993">
        <f t="shared" si="220"/>
        <v>0</v>
      </c>
      <c r="BF111" s="993">
        <f t="shared" si="221"/>
        <v>0</v>
      </c>
      <c r="BG111" s="993">
        <f t="shared" si="222"/>
        <v>0</v>
      </c>
      <c r="BH111" s="993">
        <f t="shared" si="223"/>
        <v>0</v>
      </c>
      <c r="BI111" s="993">
        <f t="shared" si="224"/>
        <v>0</v>
      </c>
      <c r="BJ111" s="993">
        <f t="shared" si="225"/>
        <v>0</v>
      </c>
      <c r="BK111" s="993">
        <f t="shared" si="226"/>
        <v>0</v>
      </c>
      <c r="BL111" s="993">
        <f t="shared" si="227"/>
        <v>0</v>
      </c>
      <c r="BM111" s="993">
        <f t="shared" si="228"/>
        <v>1</v>
      </c>
      <c r="BN111" s="993">
        <f t="shared" si="229"/>
        <v>0</v>
      </c>
      <c r="BO111" s="993">
        <f t="shared" si="230"/>
        <v>0</v>
      </c>
      <c r="BP111" s="993">
        <f t="shared" si="231"/>
        <v>0</v>
      </c>
      <c r="BQ111" s="993">
        <f t="shared" si="232"/>
        <v>0</v>
      </c>
      <c r="BR111" s="993">
        <f t="shared" si="233"/>
        <v>0</v>
      </c>
      <c r="BS111" s="993">
        <f t="shared" si="234"/>
        <v>0</v>
      </c>
      <c r="BT111" s="993">
        <f t="shared" si="235"/>
        <v>0</v>
      </c>
      <c r="BU111" s="993">
        <f t="shared" si="236"/>
        <v>0</v>
      </c>
      <c r="BV111" s="993">
        <f t="shared" si="237"/>
        <v>0</v>
      </c>
      <c r="BW111" s="993">
        <f t="shared" si="238"/>
        <v>0</v>
      </c>
      <c r="BX111" s="993">
        <f t="shared" si="239"/>
        <v>0</v>
      </c>
      <c r="BY111" s="993">
        <f t="shared" si="240"/>
        <v>0</v>
      </c>
      <c r="BZ111" s="993">
        <f t="shared" si="241"/>
        <v>0</v>
      </c>
      <c r="CA111" s="993">
        <f t="shared" si="242"/>
        <v>0</v>
      </c>
      <c r="CB111" s="993">
        <f t="shared" si="243"/>
        <v>0</v>
      </c>
      <c r="CC111" s="993">
        <f t="shared" si="243"/>
        <v>0</v>
      </c>
      <c r="CD111" s="993">
        <f t="shared" si="243"/>
        <v>0</v>
      </c>
      <c r="CE111" s="993">
        <f t="shared" si="244"/>
        <v>0</v>
      </c>
      <c r="CF111" s="993">
        <f t="shared" si="245"/>
        <v>0</v>
      </c>
      <c r="CG111" s="993">
        <f t="shared" si="246"/>
        <v>0</v>
      </c>
      <c r="CH111" s="993">
        <f t="shared" si="247"/>
        <v>0</v>
      </c>
      <c r="CI111" s="993">
        <f t="shared" si="248"/>
        <v>0</v>
      </c>
      <c r="CJ111" s="993">
        <f t="shared" si="249"/>
        <v>0</v>
      </c>
      <c r="CK111" s="993">
        <f t="shared" si="250"/>
        <v>0</v>
      </c>
      <c r="CL111" s="993">
        <f t="shared" si="251"/>
        <v>0</v>
      </c>
      <c r="CM111" s="993">
        <f t="shared" si="252"/>
        <v>0</v>
      </c>
      <c r="CN111" s="993">
        <f t="shared" si="253"/>
        <v>0</v>
      </c>
      <c r="CO111" s="993">
        <f t="shared" si="254"/>
        <v>0</v>
      </c>
      <c r="CP111" s="993">
        <f t="shared" si="255"/>
        <v>0</v>
      </c>
      <c r="CQ111" s="993">
        <f t="shared" si="256"/>
        <v>0</v>
      </c>
      <c r="CR111" s="993">
        <f t="shared" si="257"/>
        <v>0</v>
      </c>
      <c r="CS111" s="993">
        <f t="shared" si="258"/>
        <v>0</v>
      </c>
      <c r="CT111" s="993">
        <f t="shared" si="259"/>
        <v>0</v>
      </c>
      <c r="CU111" s="993">
        <f t="shared" si="260"/>
        <v>0</v>
      </c>
      <c r="CV111" s="993">
        <f t="shared" si="261"/>
        <v>0</v>
      </c>
      <c r="CW111" s="993">
        <f t="shared" si="262"/>
        <v>0</v>
      </c>
      <c r="CX111" s="993">
        <f t="shared" si="263"/>
        <v>0</v>
      </c>
      <c r="CY111" s="993">
        <f t="shared" si="264"/>
        <v>0</v>
      </c>
      <c r="CZ111" s="993">
        <f t="shared" si="265"/>
        <v>0</v>
      </c>
    </row>
    <row r="112" spans="1:104" x14ac:dyDescent="0.35">
      <c r="A112" s="301" t="str">
        <f>Machine!A75</f>
        <v>Other Harvest</v>
      </c>
      <c r="B112" s="993">
        <f t="shared" si="217"/>
        <v>0</v>
      </c>
      <c r="C112" s="990"/>
      <c r="D112" s="989">
        <v>0</v>
      </c>
      <c r="E112" s="989">
        <v>0</v>
      </c>
      <c r="F112" s="989">
        <v>0</v>
      </c>
      <c r="G112" s="989">
        <v>0</v>
      </c>
      <c r="H112" s="989">
        <v>0</v>
      </c>
      <c r="I112" s="989">
        <v>0</v>
      </c>
      <c r="J112" s="989">
        <v>0</v>
      </c>
      <c r="K112" s="989">
        <v>0</v>
      </c>
      <c r="L112" s="989">
        <v>0</v>
      </c>
      <c r="M112" s="989">
        <v>0</v>
      </c>
      <c r="N112" s="989">
        <v>0</v>
      </c>
      <c r="O112" s="989">
        <v>0</v>
      </c>
      <c r="P112" s="989">
        <v>0</v>
      </c>
      <c r="Q112" s="989">
        <v>0</v>
      </c>
      <c r="R112" s="989">
        <v>0</v>
      </c>
      <c r="S112" s="989">
        <v>0</v>
      </c>
      <c r="T112" s="989">
        <v>0</v>
      </c>
      <c r="U112" s="989">
        <v>0</v>
      </c>
      <c r="V112" s="989">
        <v>0</v>
      </c>
      <c r="W112" s="989">
        <v>0</v>
      </c>
      <c r="X112" s="989">
        <v>0</v>
      </c>
      <c r="Y112" s="989">
        <v>0</v>
      </c>
      <c r="Z112" s="989">
        <v>0</v>
      </c>
      <c r="AA112" s="989">
        <v>0</v>
      </c>
      <c r="AB112" s="989">
        <v>0</v>
      </c>
      <c r="AC112" s="989">
        <v>0</v>
      </c>
      <c r="AD112" s="989">
        <v>0</v>
      </c>
      <c r="AE112" s="989">
        <v>0</v>
      </c>
      <c r="AF112" s="989">
        <v>0</v>
      </c>
      <c r="AG112" s="989">
        <v>0</v>
      </c>
      <c r="AH112" s="989">
        <v>0</v>
      </c>
      <c r="AI112" s="989">
        <v>0</v>
      </c>
      <c r="AJ112" s="989">
        <v>0</v>
      </c>
      <c r="AK112" s="989">
        <v>0</v>
      </c>
      <c r="AL112" s="989">
        <v>0</v>
      </c>
      <c r="AM112" s="989">
        <v>0</v>
      </c>
      <c r="AN112" s="989">
        <v>0</v>
      </c>
      <c r="AO112" s="989">
        <v>0</v>
      </c>
      <c r="AP112" s="989"/>
      <c r="AQ112" s="989">
        <v>0</v>
      </c>
      <c r="AR112" s="989">
        <v>0</v>
      </c>
      <c r="AS112" s="989">
        <v>0</v>
      </c>
      <c r="AT112" s="989">
        <v>0</v>
      </c>
      <c r="AU112" s="989">
        <v>0</v>
      </c>
      <c r="AV112" s="989">
        <v>0</v>
      </c>
      <c r="AW112" s="989"/>
      <c r="AX112" s="989"/>
      <c r="AY112" s="989"/>
      <c r="AZ112" s="989"/>
      <c r="BA112" s="989"/>
      <c r="BB112" s="20"/>
      <c r="BC112" s="993">
        <f t="shared" si="218"/>
        <v>0</v>
      </c>
      <c r="BD112" s="993">
        <f t="shared" si="219"/>
        <v>0</v>
      </c>
      <c r="BE112" s="993">
        <f t="shared" si="220"/>
        <v>0</v>
      </c>
      <c r="BF112" s="993">
        <f t="shared" si="221"/>
        <v>0</v>
      </c>
      <c r="BG112" s="993">
        <f t="shared" si="222"/>
        <v>0</v>
      </c>
      <c r="BH112" s="993">
        <f t="shared" si="223"/>
        <v>0</v>
      </c>
      <c r="BI112" s="993">
        <f t="shared" si="224"/>
        <v>0</v>
      </c>
      <c r="BJ112" s="993">
        <f t="shared" si="225"/>
        <v>0</v>
      </c>
      <c r="BK112" s="993">
        <f t="shared" si="226"/>
        <v>0</v>
      </c>
      <c r="BL112" s="993">
        <f t="shared" si="227"/>
        <v>0</v>
      </c>
      <c r="BM112" s="993">
        <f t="shared" si="228"/>
        <v>0</v>
      </c>
      <c r="BN112" s="993">
        <f t="shared" si="229"/>
        <v>0</v>
      </c>
      <c r="BO112" s="993">
        <f t="shared" si="230"/>
        <v>0</v>
      </c>
      <c r="BP112" s="993">
        <f t="shared" si="231"/>
        <v>0</v>
      </c>
      <c r="BQ112" s="993">
        <f t="shared" si="232"/>
        <v>0</v>
      </c>
      <c r="BR112" s="993">
        <f t="shared" si="233"/>
        <v>0</v>
      </c>
      <c r="BS112" s="993">
        <f t="shared" si="234"/>
        <v>0</v>
      </c>
      <c r="BT112" s="993">
        <f t="shared" si="235"/>
        <v>0</v>
      </c>
      <c r="BU112" s="993">
        <f t="shared" si="236"/>
        <v>0</v>
      </c>
      <c r="BV112" s="993">
        <f t="shared" si="237"/>
        <v>0</v>
      </c>
      <c r="BW112" s="993">
        <f t="shared" si="238"/>
        <v>0</v>
      </c>
      <c r="BX112" s="993">
        <f t="shared" si="239"/>
        <v>0</v>
      </c>
      <c r="BY112" s="993">
        <f t="shared" si="240"/>
        <v>0</v>
      </c>
      <c r="BZ112" s="993">
        <f t="shared" si="241"/>
        <v>0</v>
      </c>
      <c r="CA112" s="993">
        <f t="shared" si="242"/>
        <v>0</v>
      </c>
      <c r="CB112" s="993">
        <f t="shared" si="243"/>
        <v>0</v>
      </c>
      <c r="CC112" s="993">
        <f t="shared" si="243"/>
        <v>0</v>
      </c>
      <c r="CD112" s="993">
        <f t="shared" si="243"/>
        <v>0</v>
      </c>
      <c r="CE112" s="993">
        <f t="shared" si="244"/>
        <v>0</v>
      </c>
      <c r="CF112" s="993">
        <f t="shared" si="245"/>
        <v>0</v>
      </c>
      <c r="CG112" s="993">
        <f t="shared" si="246"/>
        <v>0</v>
      </c>
      <c r="CH112" s="993">
        <f t="shared" si="247"/>
        <v>0</v>
      </c>
      <c r="CI112" s="993">
        <f t="shared" si="248"/>
        <v>0</v>
      </c>
      <c r="CJ112" s="993">
        <f t="shared" si="249"/>
        <v>0</v>
      </c>
      <c r="CK112" s="993">
        <f t="shared" si="250"/>
        <v>0</v>
      </c>
      <c r="CL112" s="993">
        <f t="shared" si="251"/>
        <v>0</v>
      </c>
      <c r="CM112" s="993">
        <f t="shared" si="252"/>
        <v>0</v>
      </c>
      <c r="CN112" s="993">
        <f t="shared" si="253"/>
        <v>0</v>
      </c>
      <c r="CO112" s="993">
        <f t="shared" si="254"/>
        <v>0</v>
      </c>
      <c r="CP112" s="993">
        <f t="shared" si="255"/>
        <v>0</v>
      </c>
      <c r="CQ112" s="993">
        <f t="shared" si="256"/>
        <v>0</v>
      </c>
      <c r="CR112" s="993">
        <f t="shared" si="257"/>
        <v>0</v>
      </c>
      <c r="CS112" s="993">
        <f t="shared" si="258"/>
        <v>0</v>
      </c>
      <c r="CT112" s="993">
        <f t="shared" si="259"/>
        <v>0</v>
      </c>
      <c r="CU112" s="993">
        <f t="shared" si="260"/>
        <v>0</v>
      </c>
      <c r="CV112" s="993">
        <f t="shared" si="261"/>
        <v>0</v>
      </c>
      <c r="CW112" s="993">
        <f t="shared" si="262"/>
        <v>0</v>
      </c>
      <c r="CX112" s="993">
        <f t="shared" si="263"/>
        <v>0</v>
      </c>
      <c r="CY112" s="993">
        <f t="shared" si="264"/>
        <v>0</v>
      </c>
      <c r="CZ112" s="993">
        <f t="shared" si="265"/>
        <v>0</v>
      </c>
    </row>
    <row r="113" spans="1:104" x14ac:dyDescent="0.35">
      <c r="A113" s="301" t="str">
        <f>Machine!A76</f>
        <v>Peanut Harvester, with Tractor</v>
      </c>
      <c r="B113" s="993">
        <f t="shared" si="217"/>
        <v>0</v>
      </c>
      <c r="C113" s="990"/>
      <c r="D113" s="989">
        <v>0</v>
      </c>
      <c r="E113" s="989">
        <v>0</v>
      </c>
      <c r="F113" s="989">
        <v>0</v>
      </c>
      <c r="G113" s="989">
        <v>0</v>
      </c>
      <c r="H113" s="989">
        <v>0</v>
      </c>
      <c r="I113" s="989">
        <v>0</v>
      </c>
      <c r="J113" s="989">
        <v>0</v>
      </c>
      <c r="K113" s="989">
        <v>0</v>
      </c>
      <c r="L113" s="989">
        <v>0</v>
      </c>
      <c r="M113" s="989">
        <v>0</v>
      </c>
      <c r="N113" s="989">
        <v>0</v>
      </c>
      <c r="O113" s="989">
        <v>0</v>
      </c>
      <c r="P113" s="989">
        <v>0</v>
      </c>
      <c r="Q113" s="989">
        <v>0</v>
      </c>
      <c r="R113" s="989">
        <v>0</v>
      </c>
      <c r="S113" s="989">
        <v>0</v>
      </c>
      <c r="T113" s="989">
        <v>0</v>
      </c>
      <c r="U113" s="989">
        <v>0</v>
      </c>
      <c r="V113" s="989">
        <v>0</v>
      </c>
      <c r="W113" s="989">
        <v>0</v>
      </c>
      <c r="X113" s="989">
        <v>0</v>
      </c>
      <c r="Y113" s="989">
        <v>0</v>
      </c>
      <c r="Z113" s="989">
        <v>0</v>
      </c>
      <c r="AA113" s="989">
        <v>0</v>
      </c>
      <c r="AB113" s="989">
        <v>0</v>
      </c>
      <c r="AC113" s="989">
        <v>0</v>
      </c>
      <c r="AD113" s="989">
        <v>0</v>
      </c>
      <c r="AE113" s="989">
        <v>0</v>
      </c>
      <c r="AF113" s="989">
        <v>1</v>
      </c>
      <c r="AG113" s="989">
        <v>1</v>
      </c>
      <c r="AH113" s="989">
        <v>1</v>
      </c>
      <c r="AI113" s="989">
        <v>0</v>
      </c>
      <c r="AJ113" s="989">
        <v>0</v>
      </c>
      <c r="AK113" s="989">
        <v>0</v>
      </c>
      <c r="AL113" s="989">
        <v>0</v>
      </c>
      <c r="AM113" s="989">
        <v>0</v>
      </c>
      <c r="AN113" s="989">
        <v>0</v>
      </c>
      <c r="AO113" s="989">
        <v>0</v>
      </c>
      <c r="AP113" s="989"/>
      <c r="AQ113" s="989">
        <v>0</v>
      </c>
      <c r="AR113" s="989">
        <v>0</v>
      </c>
      <c r="AS113" s="989">
        <v>0</v>
      </c>
      <c r="AT113" s="989">
        <v>0</v>
      </c>
      <c r="AU113" s="989">
        <v>0</v>
      </c>
      <c r="AV113" s="989">
        <v>0</v>
      </c>
      <c r="AW113" s="989"/>
      <c r="AX113" s="989"/>
      <c r="AY113" s="989"/>
      <c r="AZ113" s="989"/>
      <c r="BA113" s="989"/>
      <c r="BB113" s="20"/>
      <c r="BC113" s="993">
        <f t="shared" si="218"/>
        <v>0</v>
      </c>
      <c r="BD113" s="993">
        <f t="shared" si="219"/>
        <v>0</v>
      </c>
      <c r="BE113" s="993">
        <f t="shared" si="220"/>
        <v>0</v>
      </c>
      <c r="BF113" s="993">
        <f t="shared" si="221"/>
        <v>0</v>
      </c>
      <c r="BG113" s="993">
        <f t="shared" si="222"/>
        <v>0</v>
      </c>
      <c r="BH113" s="993">
        <f t="shared" si="223"/>
        <v>0</v>
      </c>
      <c r="BI113" s="993">
        <f t="shared" si="224"/>
        <v>0</v>
      </c>
      <c r="BJ113" s="993">
        <f t="shared" si="225"/>
        <v>0</v>
      </c>
      <c r="BK113" s="993">
        <f t="shared" si="226"/>
        <v>0</v>
      </c>
      <c r="BL113" s="993">
        <f t="shared" si="227"/>
        <v>0</v>
      </c>
      <c r="BM113" s="993">
        <f t="shared" si="228"/>
        <v>0</v>
      </c>
      <c r="BN113" s="993">
        <f t="shared" si="229"/>
        <v>0</v>
      </c>
      <c r="BO113" s="993">
        <f t="shared" si="230"/>
        <v>0</v>
      </c>
      <c r="BP113" s="993">
        <f t="shared" si="231"/>
        <v>0</v>
      </c>
      <c r="BQ113" s="993">
        <f t="shared" si="232"/>
        <v>0</v>
      </c>
      <c r="BR113" s="993">
        <f t="shared" si="233"/>
        <v>0</v>
      </c>
      <c r="BS113" s="993">
        <f t="shared" si="234"/>
        <v>0</v>
      </c>
      <c r="BT113" s="993">
        <f t="shared" si="235"/>
        <v>0</v>
      </c>
      <c r="BU113" s="993">
        <f t="shared" si="236"/>
        <v>0</v>
      </c>
      <c r="BV113" s="993">
        <f t="shared" si="237"/>
        <v>0</v>
      </c>
      <c r="BW113" s="993">
        <f t="shared" si="238"/>
        <v>0</v>
      </c>
      <c r="BX113" s="993">
        <f t="shared" si="239"/>
        <v>0</v>
      </c>
      <c r="BY113" s="993">
        <f t="shared" si="240"/>
        <v>0</v>
      </c>
      <c r="BZ113" s="993">
        <f t="shared" si="241"/>
        <v>0</v>
      </c>
      <c r="CA113" s="993">
        <f t="shared" si="242"/>
        <v>0</v>
      </c>
      <c r="CB113" s="993">
        <f t="shared" si="243"/>
        <v>0</v>
      </c>
      <c r="CC113" s="993">
        <f t="shared" si="243"/>
        <v>0</v>
      </c>
      <c r="CD113" s="993">
        <f t="shared" si="243"/>
        <v>0</v>
      </c>
      <c r="CE113" s="993">
        <f t="shared" si="244"/>
        <v>0</v>
      </c>
      <c r="CF113" s="993">
        <f t="shared" si="245"/>
        <v>0</v>
      </c>
      <c r="CG113" s="993">
        <f t="shared" si="246"/>
        <v>0</v>
      </c>
      <c r="CH113" s="993">
        <f t="shared" si="247"/>
        <v>0</v>
      </c>
      <c r="CI113" s="993">
        <f t="shared" si="248"/>
        <v>0</v>
      </c>
      <c r="CJ113" s="993">
        <f t="shared" si="249"/>
        <v>0</v>
      </c>
      <c r="CK113" s="993">
        <f t="shared" si="250"/>
        <v>0</v>
      </c>
      <c r="CL113" s="993">
        <f t="shared" si="251"/>
        <v>0</v>
      </c>
      <c r="CM113" s="993">
        <f t="shared" si="252"/>
        <v>0</v>
      </c>
      <c r="CN113" s="993">
        <f t="shared" si="253"/>
        <v>0</v>
      </c>
      <c r="CO113" s="993">
        <f t="shared" si="254"/>
        <v>0</v>
      </c>
      <c r="CP113" s="993">
        <f t="shared" si="255"/>
        <v>0</v>
      </c>
      <c r="CQ113" s="993">
        <f t="shared" si="256"/>
        <v>0</v>
      </c>
      <c r="CR113" s="993">
        <f t="shared" si="257"/>
        <v>0</v>
      </c>
      <c r="CS113" s="993">
        <f t="shared" si="258"/>
        <v>0</v>
      </c>
      <c r="CT113" s="993">
        <f t="shared" si="259"/>
        <v>0</v>
      </c>
      <c r="CU113" s="993">
        <f t="shared" si="260"/>
        <v>0</v>
      </c>
      <c r="CV113" s="993">
        <f t="shared" si="261"/>
        <v>0</v>
      </c>
      <c r="CW113" s="993">
        <f t="shared" si="262"/>
        <v>0</v>
      </c>
      <c r="CX113" s="993">
        <f t="shared" si="263"/>
        <v>0</v>
      </c>
      <c r="CY113" s="993">
        <f t="shared" si="264"/>
        <v>0</v>
      </c>
      <c r="CZ113" s="993">
        <f t="shared" si="265"/>
        <v>0</v>
      </c>
    </row>
    <row r="114" spans="1:104" x14ac:dyDescent="0.35">
      <c r="A114" s="301" t="str">
        <f>Machine!A77</f>
        <v>Peanut Dump Cart with Tractor</v>
      </c>
      <c r="B114" s="993">
        <f t="shared" si="217"/>
        <v>0</v>
      </c>
      <c r="C114" s="990"/>
      <c r="D114" s="989">
        <v>0</v>
      </c>
      <c r="E114" s="989">
        <v>0</v>
      </c>
      <c r="F114" s="989">
        <v>0</v>
      </c>
      <c r="G114" s="989">
        <v>0</v>
      </c>
      <c r="H114" s="989">
        <v>0</v>
      </c>
      <c r="I114" s="989">
        <v>0</v>
      </c>
      <c r="J114" s="989">
        <v>0</v>
      </c>
      <c r="K114" s="989">
        <v>0</v>
      </c>
      <c r="L114" s="989">
        <v>0</v>
      </c>
      <c r="M114" s="989">
        <v>0</v>
      </c>
      <c r="N114" s="989">
        <v>0</v>
      </c>
      <c r="O114" s="989">
        <v>0</v>
      </c>
      <c r="P114" s="989">
        <v>0</v>
      </c>
      <c r="Q114" s="989">
        <v>0</v>
      </c>
      <c r="R114" s="989">
        <v>0</v>
      </c>
      <c r="S114" s="989">
        <v>0</v>
      </c>
      <c r="T114" s="989">
        <v>0</v>
      </c>
      <c r="U114" s="989">
        <v>0</v>
      </c>
      <c r="V114" s="989">
        <v>0</v>
      </c>
      <c r="W114" s="989">
        <v>0</v>
      </c>
      <c r="X114" s="989">
        <v>0</v>
      </c>
      <c r="Y114" s="989">
        <v>0</v>
      </c>
      <c r="Z114" s="989">
        <v>0</v>
      </c>
      <c r="AA114" s="989">
        <v>0</v>
      </c>
      <c r="AB114" s="989">
        <v>0</v>
      </c>
      <c r="AC114" s="989">
        <v>0</v>
      </c>
      <c r="AD114" s="989">
        <v>0</v>
      </c>
      <c r="AE114" s="989">
        <v>0</v>
      </c>
      <c r="AF114" s="989">
        <v>1</v>
      </c>
      <c r="AG114" s="989">
        <v>1</v>
      </c>
      <c r="AH114" s="989">
        <v>1</v>
      </c>
      <c r="AI114" s="989">
        <v>0</v>
      </c>
      <c r="AJ114" s="989">
        <v>0</v>
      </c>
      <c r="AK114" s="989">
        <v>0</v>
      </c>
      <c r="AL114" s="989">
        <v>0</v>
      </c>
      <c r="AM114" s="989">
        <v>0</v>
      </c>
      <c r="AN114" s="989">
        <v>0</v>
      </c>
      <c r="AO114" s="989">
        <v>0</v>
      </c>
      <c r="AP114" s="989"/>
      <c r="AQ114" s="989">
        <v>0</v>
      </c>
      <c r="AR114" s="989">
        <v>0</v>
      </c>
      <c r="AS114" s="989">
        <v>0</v>
      </c>
      <c r="AT114" s="989">
        <v>0</v>
      </c>
      <c r="AU114" s="989">
        <v>0</v>
      </c>
      <c r="AV114" s="989">
        <v>0</v>
      </c>
      <c r="AW114" s="989"/>
      <c r="AX114" s="989"/>
      <c r="AY114" s="989"/>
      <c r="AZ114" s="989"/>
      <c r="BA114" s="989"/>
      <c r="BB114" s="20"/>
      <c r="BC114" s="993">
        <f t="shared" si="218"/>
        <v>0</v>
      </c>
      <c r="BD114" s="993">
        <f t="shared" si="219"/>
        <v>0</v>
      </c>
      <c r="BE114" s="993">
        <f t="shared" si="220"/>
        <v>0</v>
      </c>
      <c r="BF114" s="993">
        <f t="shared" si="221"/>
        <v>0</v>
      </c>
      <c r="BG114" s="993">
        <f t="shared" si="222"/>
        <v>0</v>
      </c>
      <c r="BH114" s="993">
        <f t="shared" si="223"/>
        <v>0</v>
      </c>
      <c r="BI114" s="993">
        <f t="shared" si="224"/>
        <v>0</v>
      </c>
      <c r="BJ114" s="993">
        <f t="shared" si="225"/>
        <v>0</v>
      </c>
      <c r="BK114" s="993">
        <f t="shared" si="226"/>
        <v>0</v>
      </c>
      <c r="BL114" s="993">
        <f t="shared" si="227"/>
        <v>0</v>
      </c>
      <c r="BM114" s="993">
        <f t="shared" si="228"/>
        <v>0</v>
      </c>
      <c r="BN114" s="993">
        <f t="shared" si="229"/>
        <v>0</v>
      </c>
      <c r="BO114" s="993">
        <f t="shared" si="230"/>
        <v>0</v>
      </c>
      <c r="BP114" s="993">
        <f t="shared" si="231"/>
        <v>0</v>
      </c>
      <c r="BQ114" s="993">
        <f t="shared" si="232"/>
        <v>0</v>
      </c>
      <c r="BR114" s="993">
        <f t="shared" si="233"/>
        <v>0</v>
      </c>
      <c r="BS114" s="993">
        <f t="shared" si="234"/>
        <v>0</v>
      </c>
      <c r="BT114" s="993">
        <f t="shared" si="235"/>
        <v>0</v>
      </c>
      <c r="BU114" s="993">
        <f t="shared" si="236"/>
        <v>0</v>
      </c>
      <c r="BV114" s="993">
        <f t="shared" si="237"/>
        <v>0</v>
      </c>
      <c r="BW114" s="993">
        <f t="shared" si="238"/>
        <v>0</v>
      </c>
      <c r="BX114" s="993">
        <f t="shared" si="239"/>
        <v>0</v>
      </c>
      <c r="BY114" s="993">
        <f t="shared" si="240"/>
        <v>0</v>
      </c>
      <c r="BZ114" s="993">
        <f t="shared" si="241"/>
        <v>0</v>
      </c>
      <c r="CA114" s="993">
        <f t="shared" si="242"/>
        <v>0</v>
      </c>
      <c r="CB114" s="993">
        <f t="shared" si="243"/>
        <v>0</v>
      </c>
      <c r="CC114" s="993">
        <f t="shared" si="243"/>
        <v>0</v>
      </c>
      <c r="CD114" s="993">
        <f t="shared" si="243"/>
        <v>0</v>
      </c>
      <c r="CE114" s="993">
        <f t="shared" si="244"/>
        <v>0</v>
      </c>
      <c r="CF114" s="993">
        <f t="shared" si="245"/>
        <v>0</v>
      </c>
      <c r="CG114" s="993">
        <f t="shared" si="246"/>
        <v>0</v>
      </c>
      <c r="CH114" s="993">
        <f t="shared" si="247"/>
        <v>0</v>
      </c>
      <c r="CI114" s="993">
        <f t="shared" si="248"/>
        <v>0</v>
      </c>
      <c r="CJ114" s="993">
        <f t="shared" si="249"/>
        <v>0</v>
      </c>
      <c r="CK114" s="993">
        <f t="shared" si="250"/>
        <v>0</v>
      </c>
      <c r="CL114" s="993">
        <f t="shared" si="251"/>
        <v>0</v>
      </c>
      <c r="CM114" s="993">
        <f t="shared" si="252"/>
        <v>0</v>
      </c>
      <c r="CN114" s="993">
        <f t="shared" si="253"/>
        <v>0</v>
      </c>
      <c r="CO114" s="993">
        <f t="shared" si="254"/>
        <v>0</v>
      </c>
      <c r="CP114" s="993">
        <f t="shared" si="255"/>
        <v>0</v>
      </c>
      <c r="CQ114" s="993">
        <f t="shared" si="256"/>
        <v>0</v>
      </c>
      <c r="CR114" s="993">
        <f t="shared" si="257"/>
        <v>0</v>
      </c>
      <c r="CS114" s="993">
        <f t="shared" si="258"/>
        <v>0</v>
      </c>
      <c r="CT114" s="993">
        <f t="shared" si="259"/>
        <v>0</v>
      </c>
      <c r="CU114" s="993">
        <f t="shared" si="260"/>
        <v>0</v>
      </c>
      <c r="CV114" s="993">
        <f t="shared" si="261"/>
        <v>0</v>
      </c>
      <c r="CW114" s="993">
        <f t="shared" si="262"/>
        <v>0</v>
      </c>
      <c r="CX114" s="993">
        <f t="shared" si="263"/>
        <v>0</v>
      </c>
      <c r="CY114" s="993">
        <f t="shared" si="264"/>
        <v>0</v>
      </c>
      <c r="CZ114" s="993">
        <f t="shared" si="265"/>
        <v>0</v>
      </c>
    </row>
    <row r="115" spans="1:104" x14ac:dyDescent="0.35">
      <c r="A115" s="301" t="str">
        <f>Machine!A78</f>
        <v>Peanut Wagon, 28 ft., with Tractor</v>
      </c>
      <c r="B115" s="993">
        <f t="shared" si="217"/>
        <v>0</v>
      </c>
      <c r="C115" s="990"/>
      <c r="D115" s="989">
        <v>0</v>
      </c>
      <c r="E115" s="989">
        <v>0</v>
      </c>
      <c r="F115" s="989">
        <v>0</v>
      </c>
      <c r="G115" s="989">
        <v>0</v>
      </c>
      <c r="H115" s="989">
        <v>0</v>
      </c>
      <c r="I115" s="989">
        <v>0</v>
      </c>
      <c r="J115" s="989">
        <v>0</v>
      </c>
      <c r="K115" s="989">
        <v>0</v>
      </c>
      <c r="L115" s="989">
        <v>0</v>
      </c>
      <c r="M115" s="989">
        <v>0</v>
      </c>
      <c r="N115" s="989">
        <v>0</v>
      </c>
      <c r="O115" s="989">
        <v>0</v>
      </c>
      <c r="P115" s="989">
        <v>0</v>
      </c>
      <c r="Q115" s="989">
        <v>0</v>
      </c>
      <c r="R115" s="989">
        <v>0</v>
      </c>
      <c r="S115" s="989">
        <v>0</v>
      </c>
      <c r="T115" s="989">
        <v>0</v>
      </c>
      <c r="U115" s="989">
        <v>0</v>
      </c>
      <c r="V115" s="989">
        <v>0</v>
      </c>
      <c r="W115" s="989">
        <v>0</v>
      </c>
      <c r="X115" s="989">
        <v>0</v>
      </c>
      <c r="Y115" s="989">
        <v>0</v>
      </c>
      <c r="Z115" s="989">
        <v>0</v>
      </c>
      <c r="AA115" s="989">
        <v>0</v>
      </c>
      <c r="AB115" s="989">
        <v>0</v>
      </c>
      <c r="AC115" s="989">
        <v>0</v>
      </c>
      <c r="AD115" s="989">
        <v>0</v>
      </c>
      <c r="AE115" s="989">
        <v>0</v>
      </c>
      <c r="AF115" s="989">
        <v>0</v>
      </c>
      <c r="AG115" s="989">
        <v>0</v>
      </c>
      <c r="AH115" s="989">
        <v>0</v>
      </c>
      <c r="AI115" s="989">
        <v>0</v>
      </c>
      <c r="AJ115" s="989">
        <v>0</v>
      </c>
      <c r="AK115" s="989">
        <v>0</v>
      </c>
      <c r="AL115" s="989">
        <v>0</v>
      </c>
      <c r="AM115" s="989">
        <v>0</v>
      </c>
      <c r="AN115" s="989">
        <v>0</v>
      </c>
      <c r="AO115" s="989">
        <v>0</v>
      </c>
      <c r="AP115" s="989"/>
      <c r="AQ115" s="989">
        <v>0</v>
      </c>
      <c r="AR115" s="989">
        <v>0</v>
      </c>
      <c r="AS115" s="989">
        <v>0</v>
      </c>
      <c r="AT115" s="989">
        <v>0</v>
      </c>
      <c r="AU115" s="989">
        <v>0</v>
      </c>
      <c r="AV115" s="989">
        <v>0</v>
      </c>
      <c r="AW115" s="989"/>
      <c r="AX115" s="989"/>
      <c r="AY115" s="989"/>
      <c r="AZ115" s="989"/>
      <c r="BA115" s="989"/>
      <c r="BB115" s="20"/>
      <c r="BC115" s="993">
        <f t="shared" si="218"/>
        <v>0</v>
      </c>
      <c r="BD115" s="993">
        <f t="shared" si="219"/>
        <v>0</v>
      </c>
      <c r="BE115" s="993">
        <f t="shared" si="220"/>
        <v>0</v>
      </c>
      <c r="BF115" s="993">
        <f t="shared" si="221"/>
        <v>0</v>
      </c>
      <c r="BG115" s="993">
        <f t="shared" si="222"/>
        <v>0</v>
      </c>
      <c r="BH115" s="993">
        <f t="shared" si="223"/>
        <v>0</v>
      </c>
      <c r="BI115" s="993">
        <f t="shared" si="224"/>
        <v>0</v>
      </c>
      <c r="BJ115" s="993">
        <f t="shared" si="225"/>
        <v>0</v>
      </c>
      <c r="BK115" s="993">
        <f t="shared" si="226"/>
        <v>0</v>
      </c>
      <c r="BL115" s="993">
        <f t="shared" si="227"/>
        <v>0</v>
      </c>
      <c r="BM115" s="993">
        <f t="shared" si="228"/>
        <v>0</v>
      </c>
      <c r="BN115" s="993">
        <f t="shared" si="229"/>
        <v>0</v>
      </c>
      <c r="BO115" s="993">
        <f t="shared" si="230"/>
        <v>0</v>
      </c>
      <c r="BP115" s="993">
        <f t="shared" si="231"/>
        <v>0</v>
      </c>
      <c r="BQ115" s="993">
        <f t="shared" si="232"/>
        <v>0</v>
      </c>
      <c r="BR115" s="993">
        <f t="shared" si="233"/>
        <v>0</v>
      </c>
      <c r="BS115" s="993">
        <f t="shared" si="234"/>
        <v>0</v>
      </c>
      <c r="BT115" s="993">
        <f t="shared" si="235"/>
        <v>0</v>
      </c>
      <c r="BU115" s="993">
        <f t="shared" si="236"/>
        <v>0</v>
      </c>
      <c r="BV115" s="993">
        <f t="shared" si="237"/>
        <v>0</v>
      </c>
      <c r="BW115" s="993">
        <f t="shared" si="238"/>
        <v>0</v>
      </c>
      <c r="BX115" s="993">
        <f t="shared" si="239"/>
        <v>0</v>
      </c>
      <c r="BY115" s="993">
        <f t="shared" si="240"/>
        <v>0</v>
      </c>
      <c r="BZ115" s="993">
        <f t="shared" si="241"/>
        <v>0</v>
      </c>
      <c r="CA115" s="993">
        <f t="shared" si="242"/>
        <v>0</v>
      </c>
      <c r="CB115" s="993">
        <f t="shared" si="243"/>
        <v>0</v>
      </c>
      <c r="CC115" s="993">
        <f t="shared" si="243"/>
        <v>0</v>
      </c>
      <c r="CD115" s="993">
        <f t="shared" si="243"/>
        <v>0</v>
      </c>
      <c r="CE115" s="993">
        <f t="shared" si="244"/>
        <v>0</v>
      </c>
      <c r="CF115" s="993">
        <f t="shared" si="245"/>
        <v>0</v>
      </c>
      <c r="CG115" s="993">
        <f t="shared" si="246"/>
        <v>0</v>
      </c>
      <c r="CH115" s="993">
        <f t="shared" si="247"/>
        <v>0</v>
      </c>
      <c r="CI115" s="993">
        <f t="shared" si="248"/>
        <v>0</v>
      </c>
      <c r="CJ115" s="993">
        <f t="shared" si="249"/>
        <v>0</v>
      </c>
      <c r="CK115" s="993">
        <f t="shared" si="250"/>
        <v>0</v>
      </c>
      <c r="CL115" s="993">
        <f t="shared" si="251"/>
        <v>0</v>
      </c>
      <c r="CM115" s="993">
        <f t="shared" si="252"/>
        <v>0</v>
      </c>
      <c r="CN115" s="993">
        <f t="shared" si="253"/>
        <v>0</v>
      </c>
      <c r="CO115" s="993">
        <f t="shared" si="254"/>
        <v>0</v>
      </c>
      <c r="CP115" s="993">
        <f t="shared" si="255"/>
        <v>0</v>
      </c>
      <c r="CQ115" s="993">
        <f t="shared" si="256"/>
        <v>0</v>
      </c>
      <c r="CR115" s="993">
        <f t="shared" si="257"/>
        <v>0</v>
      </c>
      <c r="CS115" s="993">
        <f t="shared" si="258"/>
        <v>0</v>
      </c>
      <c r="CT115" s="993">
        <f t="shared" si="259"/>
        <v>0</v>
      </c>
      <c r="CU115" s="993">
        <f t="shared" si="260"/>
        <v>0</v>
      </c>
      <c r="CV115" s="993">
        <f t="shared" si="261"/>
        <v>0</v>
      </c>
      <c r="CW115" s="993">
        <f t="shared" si="262"/>
        <v>0</v>
      </c>
      <c r="CX115" s="993">
        <f t="shared" si="263"/>
        <v>0</v>
      </c>
      <c r="CY115" s="993">
        <f t="shared" si="264"/>
        <v>0</v>
      </c>
      <c r="CZ115" s="993">
        <f t="shared" si="265"/>
        <v>0</v>
      </c>
    </row>
    <row r="116" spans="1:104" x14ac:dyDescent="0.35">
      <c r="A116" s="301" t="str">
        <f>Machine!A79</f>
        <v>Other Harvest</v>
      </c>
      <c r="B116" s="993">
        <f t="shared" si="217"/>
        <v>0</v>
      </c>
      <c r="C116" s="990"/>
      <c r="D116" s="989">
        <v>0</v>
      </c>
      <c r="E116" s="989">
        <v>0</v>
      </c>
      <c r="F116" s="989">
        <v>0</v>
      </c>
      <c r="G116" s="989">
        <v>0</v>
      </c>
      <c r="H116" s="989">
        <v>0</v>
      </c>
      <c r="I116" s="989">
        <v>0</v>
      </c>
      <c r="J116" s="989">
        <v>0</v>
      </c>
      <c r="K116" s="989">
        <v>0</v>
      </c>
      <c r="L116" s="989">
        <v>0</v>
      </c>
      <c r="M116" s="989">
        <v>0</v>
      </c>
      <c r="N116" s="989">
        <v>0</v>
      </c>
      <c r="O116" s="989">
        <v>0</v>
      </c>
      <c r="P116" s="989">
        <v>0</v>
      </c>
      <c r="Q116" s="989">
        <v>0</v>
      </c>
      <c r="R116" s="989">
        <v>0</v>
      </c>
      <c r="S116" s="989">
        <v>0</v>
      </c>
      <c r="T116" s="989">
        <v>0</v>
      </c>
      <c r="U116" s="989">
        <v>0</v>
      </c>
      <c r="V116" s="989">
        <v>0</v>
      </c>
      <c r="W116" s="989">
        <v>0</v>
      </c>
      <c r="X116" s="989">
        <v>0</v>
      </c>
      <c r="Y116" s="989">
        <v>0</v>
      </c>
      <c r="Z116" s="989">
        <v>0</v>
      </c>
      <c r="AA116" s="989">
        <v>0</v>
      </c>
      <c r="AB116" s="989">
        <v>0</v>
      </c>
      <c r="AC116" s="989">
        <v>0</v>
      </c>
      <c r="AD116" s="989">
        <v>0</v>
      </c>
      <c r="AE116" s="989">
        <v>0</v>
      </c>
      <c r="AF116" s="989">
        <v>0</v>
      </c>
      <c r="AG116" s="989">
        <v>0</v>
      </c>
      <c r="AH116" s="989">
        <v>0</v>
      </c>
      <c r="AI116" s="989">
        <v>0</v>
      </c>
      <c r="AJ116" s="989">
        <v>0</v>
      </c>
      <c r="AK116" s="989">
        <v>0</v>
      </c>
      <c r="AL116" s="989">
        <v>0</v>
      </c>
      <c r="AM116" s="989">
        <v>0</v>
      </c>
      <c r="AN116" s="989">
        <v>0</v>
      </c>
      <c r="AO116" s="989">
        <v>0</v>
      </c>
      <c r="AP116" s="989"/>
      <c r="AQ116" s="989">
        <v>0</v>
      </c>
      <c r="AR116" s="989">
        <v>0</v>
      </c>
      <c r="AS116" s="989">
        <v>0</v>
      </c>
      <c r="AT116" s="989">
        <v>0</v>
      </c>
      <c r="AU116" s="989">
        <v>0</v>
      </c>
      <c r="AV116" s="989">
        <v>0</v>
      </c>
      <c r="AW116" s="989"/>
      <c r="AX116" s="989"/>
      <c r="AY116" s="989"/>
      <c r="AZ116" s="989"/>
      <c r="BA116" s="989"/>
      <c r="BB116" s="20"/>
      <c r="BC116" s="993">
        <f t="shared" si="218"/>
        <v>0</v>
      </c>
      <c r="BD116" s="993">
        <f t="shared" si="219"/>
        <v>0</v>
      </c>
      <c r="BE116" s="993">
        <f t="shared" si="220"/>
        <v>0</v>
      </c>
      <c r="BF116" s="993">
        <f t="shared" si="221"/>
        <v>0</v>
      </c>
      <c r="BG116" s="993">
        <f t="shared" si="222"/>
        <v>0</v>
      </c>
      <c r="BH116" s="993">
        <f t="shared" si="223"/>
        <v>0</v>
      </c>
      <c r="BI116" s="993">
        <f t="shared" si="224"/>
        <v>0</v>
      </c>
      <c r="BJ116" s="993">
        <f t="shared" si="225"/>
        <v>0</v>
      </c>
      <c r="BK116" s="993">
        <f t="shared" si="226"/>
        <v>0</v>
      </c>
      <c r="BL116" s="993">
        <f t="shared" si="227"/>
        <v>0</v>
      </c>
      <c r="BM116" s="993">
        <f t="shared" si="228"/>
        <v>0</v>
      </c>
      <c r="BN116" s="993">
        <f t="shared" si="229"/>
        <v>0</v>
      </c>
      <c r="BO116" s="993">
        <f t="shared" si="230"/>
        <v>0</v>
      </c>
      <c r="BP116" s="993">
        <f t="shared" si="231"/>
        <v>0</v>
      </c>
      <c r="BQ116" s="993">
        <f t="shared" si="232"/>
        <v>0</v>
      </c>
      <c r="BR116" s="993">
        <f t="shared" si="233"/>
        <v>0</v>
      </c>
      <c r="BS116" s="993">
        <f t="shared" si="234"/>
        <v>0</v>
      </c>
      <c r="BT116" s="993">
        <f t="shared" si="235"/>
        <v>0</v>
      </c>
      <c r="BU116" s="993">
        <f t="shared" si="236"/>
        <v>0</v>
      </c>
      <c r="BV116" s="993">
        <f t="shared" si="237"/>
        <v>0</v>
      </c>
      <c r="BW116" s="993">
        <f t="shared" si="238"/>
        <v>0</v>
      </c>
      <c r="BX116" s="993">
        <f t="shared" si="239"/>
        <v>0</v>
      </c>
      <c r="BY116" s="993">
        <f t="shared" si="240"/>
        <v>0</v>
      </c>
      <c r="BZ116" s="993">
        <f t="shared" si="241"/>
        <v>0</v>
      </c>
      <c r="CA116" s="993">
        <f t="shared" si="242"/>
        <v>0</v>
      </c>
      <c r="CB116" s="993">
        <f t="shared" si="243"/>
        <v>0</v>
      </c>
      <c r="CC116" s="993">
        <f t="shared" si="243"/>
        <v>0</v>
      </c>
      <c r="CD116" s="993">
        <f t="shared" si="243"/>
        <v>0</v>
      </c>
      <c r="CE116" s="993">
        <f t="shared" si="244"/>
        <v>0</v>
      </c>
      <c r="CF116" s="993">
        <f t="shared" si="245"/>
        <v>0</v>
      </c>
      <c r="CG116" s="993">
        <f t="shared" si="246"/>
        <v>0</v>
      </c>
      <c r="CH116" s="993">
        <f t="shared" si="247"/>
        <v>0</v>
      </c>
      <c r="CI116" s="993">
        <f t="shared" si="248"/>
        <v>0</v>
      </c>
      <c r="CJ116" s="993">
        <f t="shared" si="249"/>
        <v>0</v>
      </c>
      <c r="CK116" s="993">
        <f t="shared" si="250"/>
        <v>0</v>
      </c>
      <c r="CL116" s="993">
        <f t="shared" si="251"/>
        <v>0</v>
      </c>
      <c r="CM116" s="993">
        <f t="shared" si="252"/>
        <v>0</v>
      </c>
      <c r="CN116" s="993">
        <f t="shared" si="253"/>
        <v>0</v>
      </c>
      <c r="CO116" s="993">
        <f t="shared" si="254"/>
        <v>0</v>
      </c>
      <c r="CP116" s="993">
        <f t="shared" si="255"/>
        <v>0</v>
      </c>
      <c r="CQ116" s="993">
        <f t="shared" si="256"/>
        <v>0</v>
      </c>
      <c r="CR116" s="993">
        <f t="shared" si="257"/>
        <v>0</v>
      </c>
      <c r="CS116" s="993">
        <f t="shared" si="258"/>
        <v>0</v>
      </c>
      <c r="CT116" s="993">
        <f t="shared" si="259"/>
        <v>0</v>
      </c>
      <c r="CU116" s="993">
        <f t="shared" si="260"/>
        <v>0</v>
      </c>
      <c r="CV116" s="993">
        <f t="shared" si="261"/>
        <v>0</v>
      </c>
      <c r="CW116" s="993">
        <f t="shared" si="262"/>
        <v>0</v>
      </c>
      <c r="CX116" s="993">
        <f t="shared" si="263"/>
        <v>0</v>
      </c>
      <c r="CY116" s="993">
        <f t="shared" si="264"/>
        <v>0</v>
      </c>
      <c r="CZ116" s="993">
        <f t="shared" si="265"/>
        <v>0</v>
      </c>
    </row>
    <row r="117" spans="1:104" x14ac:dyDescent="0.35">
      <c r="A117" s="301" t="str">
        <f>Machine!A80</f>
        <v>Other Harvest</v>
      </c>
      <c r="B117" s="993">
        <f t="shared" si="217"/>
        <v>0</v>
      </c>
      <c r="C117" s="990"/>
      <c r="D117" s="989">
        <v>0</v>
      </c>
      <c r="E117" s="989">
        <v>0</v>
      </c>
      <c r="F117" s="989">
        <v>0</v>
      </c>
      <c r="G117" s="989">
        <v>0</v>
      </c>
      <c r="H117" s="989">
        <v>0</v>
      </c>
      <c r="I117" s="989">
        <v>0</v>
      </c>
      <c r="J117" s="989">
        <v>0</v>
      </c>
      <c r="K117" s="989">
        <v>0</v>
      </c>
      <c r="L117" s="989">
        <v>0</v>
      </c>
      <c r="M117" s="989">
        <v>0</v>
      </c>
      <c r="N117" s="989">
        <v>0</v>
      </c>
      <c r="O117" s="989">
        <v>0</v>
      </c>
      <c r="P117" s="989">
        <v>0</v>
      </c>
      <c r="Q117" s="989">
        <v>0</v>
      </c>
      <c r="R117" s="989">
        <v>0</v>
      </c>
      <c r="S117" s="989">
        <v>0</v>
      </c>
      <c r="T117" s="989">
        <v>0</v>
      </c>
      <c r="U117" s="989">
        <v>0</v>
      </c>
      <c r="V117" s="989">
        <v>0</v>
      </c>
      <c r="W117" s="989">
        <v>0</v>
      </c>
      <c r="X117" s="989">
        <v>0</v>
      </c>
      <c r="Y117" s="989">
        <v>0</v>
      </c>
      <c r="Z117" s="989">
        <v>0</v>
      </c>
      <c r="AA117" s="989">
        <v>0</v>
      </c>
      <c r="AB117" s="989">
        <v>0</v>
      </c>
      <c r="AC117" s="989">
        <v>0</v>
      </c>
      <c r="AD117" s="989">
        <v>0</v>
      </c>
      <c r="AE117" s="989">
        <v>0</v>
      </c>
      <c r="AF117" s="989">
        <v>0</v>
      </c>
      <c r="AG117" s="989">
        <v>0</v>
      </c>
      <c r="AH117" s="989">
        <v>0</v>
      </c>
      <c r="AI117" s="989">
        <v>0</v>
      </c>
      <c r="AJ117" s="989">
        <v>0</v>
      </c>
      <c r="AK117" s="989">
        <v>0</v>
      </c>
      <c r="AL117" s="989">
        <v>0</v>
      </c>
      <c r="AM117" s="989">
        <v>0</v>
      </c>
      <c r="AN117" s="989">
        <v>0</v>
      </c>
      <c r="AO117" s="989">
        <v>0</v>
      </c>
      <c r="AP117" s="989"/>
      <c r="AQ117" s="989">
        <v>0</v>
      </c>
      <c r="AR117" s="989">
        <v>0</v>
      </c>
      <c r="AS117" s="989">
        <v>0</v>
      </c>
      <c r="AT117" s="989">
        <v>0</v>
      </c>
      <c r="AU117" s="989">
        <v>0</v>
      </c>
      <c r="AV117" s="989">
        <v>0</v>
      </c>
      <c r="AW117" s="989"/>
      <c r="AX117" s="989"/>
      <c r="AY117" s="989"/>
      <c r="AZ117" s="989"/>
      <c r="BA117" s="989"/>
      <c r="BB117" s="20"/>
      <c r="BC117" s="993">
        <f t="shared" si="218"/>
        <v>0</v>
      </c>
      <c r="BD117" s="993">
        <f t="shared" si="219"/>
        <v>0</v>
      </c>
      <c r="BE117" s="993">
        <f t="shared" si="220"/>
        <v>0</v>
      </c>
      <c r="BF117" s="993">
        <f t="shared" si="221"/>
        <v>0</v>
      </c>
      <c r="BG117" s="993">
        <f t="shared" si="222"/>
        <v>0</v>
      </c>
      <c r="BH117" s="993">
        <f t="shared" si="223"/>
        <v>0</v>
      </c>
      <c r="BI117" s="993">
        <f t="shared" si="224"/>
        <v>0</v>
      </c>
      <c r="BJ117" s="993">
        <f t="shared" si="225"/>
        <v>0</v>
      </c>
      <c r="BK117" s="993">
        <f t="shared" si="226"/>
        <v>0</v>
      </c>
      <c r="BL117" s="993">
        <f t="shared" si="227"/>
        <v>0</v>
      </c>
      <c r="BM117" s="993">
        <f t="shared" si="228"/>
        <v>0</v>
      </c>
      <c r="BN117" s="993">
        <f t="shared" si="229"/>
        <v>0</v>
      </c>
      <c r="BO117" s="993">
        <f t="shared" si="230"/>
        <v>0</v>
      </c>
      <c r="BP117" s="993">
        <f t="shared" si="231"/>
        <v>0</v>
      </c>
      <c r="BQ117" s="993">
        <f t="shared" si="232"/>
        <v>0</v>
      </c>
      <c r="BR117" s="993">
        <f t="shared" si="233"/>
        <v>0</v>
      </c>
      <c r="BS117" s="993">
        <f t="shared" si="234"/>
        <v>0</v>
      </c>
      <c r="BT117" s="993">
        <f t="shared" si="235"/>
        <v>0</v>
      </c>
      <c r="BU117" s="993">
        <f t="shared" si="236"/>
        <v>0</v>
      </c>
      <c r="BV117" s="993">
        <f t="shared" si="237"/>
        <v>0</v>
      </c>
      <c r="BW117" s="993">
        <f t="shared" si="238"/>
        <v>0</v>
      </c>
      <c r="BX117" s="993">
        <f t="shared" si="239"/>
        <v>0</v>
      </c>
      <c r="BY117" s="993">
        <f t="shared" si="240"/>
        <v>0</v>
      </c>
      <c r="BZ117" s="993">
        <f t="shared" si="241"/>
        <v>0</v>
      </c>
      <c r="CA117" s="993">
        <f t="shared" si="242"/>
        <v>0</v>
      </c>
      <c r="CB117" s="993">
        <f t="shared" si="243"/>
        <v>0</v>
      </c>
      <c r="CC117" s="993">
        <f t="shared" si="243"/>
        <v>0</v>
      </c>
      <c r="CD117" s="993">
        <f t="shared" si="243"/>
        <v>0</v>
      </c>
      <c r="CE117" s="993">
        <f t="shared" si="244"/>
        <v>0</v>
      </c>
      <c r="CF117" s="993">
        <f t="shared" si="245"/>
        <v>0</v>
      </c>
      <c r="CG117" s="993">
        <f t="shared" si="246"/>
        <v>0</v>
      </c>
      <c r="CH117" s="993">
        <f t="shared" si="247"/>
        <v>0</v>
      </c>
      <c r="CI117" s="993">
        <f t="shared" si="248"/>
        <v>0</v>
      </c>
      <c r="CJ117" s="993">
        <f t="shared" si="249"/>
        <v>0</v>
      </c>
      <c r="CK117" s="993">
        <f t="shared" si="250"/>
        <v>0</v>
      </c>
      <c r="CL117" s="993">
        <f t="shared" si="251"/>
        <v>0</v>
      </c>
      <c r="CM117" s="993">
        <f t="shared" si="252"/>
        <v>0</v>
      </c>
      <c r="CN117" s="993">
        <f t="shared" si="253"/>
        <v>0</v>
      </c>
      <c r="CO117" s="993">
        <f t="shared" si="254"/>
        <v>0</v>
      </c>
      <c r="CP117" s="993">
        <f t="shared" si="255"/>
        <v>0</v>
      </c>
      <c r="CQ117" s="993">
        <f t="shared" si="256"/>
        <v>0</v>
      </c>
      <c r="CR117" s="993">
        <f t="shared" si="257"/>
        <v>0</v>
      </c>
      <c r="CS117" s="993">
        <f t="shared" si="258"/>
        <v>0</v>
      </c>
      <c r="CT117" s="993">
        <f t="shared" si="259"/>
        <v>0</v>
      </c>
      <c r="CU117" s="993">
        <f t="shared" si="260"/>
        <v>0</v>
      </c>
      <c r="CV117" s="993">
        <f t="shared" si="261"/>
        <v>0</v>
      </c>
      <c r="CW117" s="993">
        <f t="shared" si="262"/>
        <v>0</v>
      </c>
      <c r="CX117" s="993">
        <f t="shared" si="263"/>
        <v>0</v>
      </c>
      <c r="CY117" s="993">
        <f t="shared" si="264"/>
        <v>0</v>
      </c>
      <c r="CZ117" s="993">
        <f t="shared" si="265"/>
        <v>0</v>
      </c>
    </row>
    <row r="118" spans="1:104" x14ac:dyDescent="0.35">
      <c r="A118" s="301" t="str">
        <f>Machine!A81</f>
        <v>Other Harvest</v>
      </c>
      <c r="B118" s="993">
        <f t="shared" si="217"/>
        <v>0</v>
      </c>
      <c r="C118" s="990"/>
      <c r="D118" s="989">
        <v>0</v>
      </c>
      <c r="E118" s="989">
        <v>0</v>
      </c>
      <c r="F118" s="989">
        <v>0</v>
      </c>
      <c r="G118" s="989">
        <v>0</v>
      </c>
      <c r="H118" s="989">
        <v>0</v>
      </c>
      <c r="I118" s="989">
        <v>0</v>
      </c>
      <c r="J118" s="989">
        <v>0</v>
      </c>
      <c r="K118" s="989">
        <v>0</v>
      </c>
      <c r="L118" s="989">
        <v>0</v>
      </c>
      <c r="M118" s="989">
        <v>0</v>
      </c>
      <c r="N118" s="989">
        <v>0</v>
      </c>
      <c r="O118" s="989">
        <v>0</v>
      </c>
      <c r="P118" s="989">
        <v>0</v>
      </c>
      <c r="Q118" s="989">
        <v>0</v>
      </c>
      <c r="R118" s="989">
        <v>0</v>
      </c>
      <c r="S118" s="989">
        <v>0</v>
      </c>
      <c r="T118" s="989">
        <v>0</v>
      </c>
      <c r="U118" s="989">
        <v>0</v>
      </c>
      <c r="V118" s="989">
        <v>0</v>
      </c>
      <c r="W118" s="989">
        <v>0</v>
      </c>
      <c r="X118" s="989">
        <v>0</v>
      </c>
      <c r="Y118" s="989">
        <v>0</v>
      </c>
      <c r="Z118" s="989">
        <v>0</v>
      </c>
      <c r="AA118" s="989">
        <v>0</v>
      </c>
      <c r="AB118" s="989">
        <v>0</v>
      </c>
      <c r="AC118" s="989">
        <v>0</v>
      </c>
      <c r="AD118" s="989">
        <v>0</v>
      </c>
      <c r="AE118" s="989">
        <v>0</v>
      </c>
      <c r="AF118" s="989">
        <v>0</v>
      </c>
      <c r="AG118" s="989">
        <v>0</v>
      </c>
      <c r="AH118" s="989">
        <v>0</v>
      </c>
      <c r="AI118" s="989">
        <v>0</v>
      </c>
      <c r="AJ118" s="989">
        <v>0</v>
      </c>
      <c r="AK118" s="989">
        <v>0</v>
      </c>
      <c r="AL118" s="989">
        <v>0</v>
      </c>
      <c r="AM118" s="989">
        <v>0</v>
      </c>
      <c r="AN118" s="989">
        <v>0</v>
      </c>
      <c r="AO118" s="989">
        <v>0</v>
      </c>
      <c r="AP118" s="989"/>
      <c r="AQ118" s="989">
        <v>0</v>
      </c>
      <c r="AR118" s="989">
        <v>0</v>
      </c>
      <c r="AS118" s="989">
        <v>0</v>
      </c>
      <c r="AT118" s="989">
        <v>0</v>
      </c>
      <c r="AU118" s="989">
        <v>0</v>
      </c>
      <c r="AV118" s="989">
        <v>0</v>
      </c>
      <c r="AW118" s="989"/>
      <c r="AX118" s="989"/>
      <c r="AY118" s="989"/>
      <c r="AZ118" s="989"/>
      <c r="BA118" s="989"/>
      <c r="BB118" s="20"/>
      <c r="BC118" s="993">
        <f t="shared" si="218"/>
        <v>0</v>
      </c>
      <c r="BD118" s="993">
        <f t="shared" si="219"/>
        <v>0</v>
      </c>
      <c r="BE118" s="993">
        <f t="shared" si="220"/>
        <v>0</v>
      </c>
      <c r="BF118" s="993">
        <f t="shared" si="221"/>
        <v>0</v>
      </c>
      <c r="BG118" s="993">
        <f t="shared" si="222"/>
        <v>0</v>
      </c>
      <c r="BH118" s="993">
        <f t="shared" si="223"/>
        <v>0</v>
      </c>
      <c r="BI118" s="993">
        <f t="shared" si="224"/>
        <v>0</v>
      </c>
      <c r="BJ118" s="993">
        <f t="shared" si="225"/>
        <v>0</v>
      </c>
      <c r="BK118" s="993">
        <f t="shared" si="226"/>
        <v>0</v>
      </c>
      <c r="BL118" s="993">
        <f t="shared" si="227"/>
        <v>0</v>
      </c>
      <c r="BM118" s="993">
        <f t="shared" si="228"/>
        <v>0</v>
      </c>
      <c r="BN118" s="993">
        <f t="shared" si="229"/>
        <v>0</v>
      </c>
      <c r="BO118" s="993">
        <f t="shared" si="230"/>
        <v>0</v>
      </c>
      <c r="BP118" s="993">
        <f t="shared" si="231"/>
        <v>0</v>
      </c>
      <c r="BQ118" s="993">
        <f t="shared" si="232"/>
        <v>0</v>
      </c>
      <c r="BR118" s="993">
        <f t="shared" si="233"/>
        <v>0</v>
      </c>
      <c r="BS118" s="993">
        <f t="shared" si="234"/>
        <v>0</v>
      </c>
      <c r="BT118" s="993">
        <f t="shared" si="235"/>
        <v>0</v>
      </c>
      <c r="BU118" s="993">
        <f t="shared" si="236"/>
        <v>0</v>
      </c>
      <c r="BV118" s="993">
        <f t="shared" si="237"/>
        <v>0</v>
      </c>
      <c r="BW118" s="993">
        <f t="shared" si="238"/>
        <v>0</v>
      </c>
      <c r="BX118" s="993">
        <f t="shared" si="239"/>
        <v>0</v>
      </c>
      <c r="BY118" s="993">
        <f t="shared" si="240"/>
        <v>0</v>
      </c>
      <c r="BZ118" s="993">
        <f t="shared" si="241"/>
        <v>0</v>
      </c>
      <c r="CA118" s="993">
        <f t="shared" si="242"/>
        <v>0</v>
      </c>
      <c r="CB118" s="993">
        <f t="shared" si="243"/>
        <v>0</v>
      </c>
      <c r="CC118" s="993">
        <f t="shared" si="243"/>
        <v>0</v>
      </c>
      <c r="CD118" s="993">
        <f t="shared" si="243"/>
        <v>0</v>
      </c>
      <c r="CE118" s="993">
        <f t="shared" si="244"/>
        <v>0</v>
      </c>
      <c r="CF118" s="993">
        <f t="shared" si="245"/>
        <v>0</v>
      </c>
      <c r="CG118" s="993">
        <f t="shared" si="246"/>
        <v>0</v>
      </c>
      <c r="CH118" s="993">
        <f t="shared" si="247"/>
        <v>0</v>
      </c>
      <c r="CI118" s="993">
        <f t="shared" si="248"/>
        <v>0</v>
      </c>
      <c r="CJ118" s="993">
        <f t="shared" si="249"/>
        <v>0</v>
      </c>
      <c r="CK118" s="993">
        <f t="shared" si="250"/>
        <v>0</v>
      </c>
      <c r="CL118" s="993">
        <f t="shared" si="251"/>
        <v>0</v>
      </c>
      <c r="CM118" s="993">
        <f t="shared" si="252"/>
        <v>0</v>
      </c>
      <c r="CN118" s="993">
        <f t="shared" si="253"/>
        <v>0</v>
      </c>
      <c r="CO118" s="993">
        <f t="shared" si="254"/>
        <v>0</v>
      </c>
      <c r="CP118" s="993">
        <f t="shared" si="255"/>
        <v>0</v>
      </c>
      <c r="CQ118" s="993">
        <f t="shared" si="256"/>
        <v>0</v>
      </c>
      <c r="CR118" s="993">
        <f t="shared" si="257"/>
        <v>0</v>
      </c>
      <c r="CS118" s="993">
        <f t="shared" si="258"/>
        <v>0</v>
      </c>
      <c r="CT118" s="993">
        <f t="shared" si="259"/>
        <v>0</v>
      </c>
      <c r="CU118" s="993">
        <f t="shared" si="260"/>
        <v>0</v>
      </c>
      <c r="CV118" s="993">
        <f t="shared" si="261"/>
        <v>0</v>
      </c>
      <c r="CW118" s="993">
        <f t="shared" si="262"/>
        <v>0</v>
      </c>
      <c r="CX118" s="993">
        <f t="shared" si="263"/>
        <v>0</v>
      </c>
      <c r="CY118" s="993">
        <f t="shared" si="264"/>
        <v>0</v>
      </c>
      <c r="CZ118" s="993">
        <f t="shared" si="265"/>
        <v>0</v>
      </c>
    </row>
    <row r="119" spans="1:104" x14ac:dyDescent="0.35">
      <c r="A119" s="301"/>
      <c r="B119" s="992"/>
      <c r="C119" s="990"/>
      <c r="BB119" s="20"/>
      <c r="BC119" s="992"/>
      <c r="BD119" s="992"/>
      <c r="BE119" s="992"/>
      <c r="BF119" s="992"/>
      <c r="BG119" s="992"/>
      <c r="BH119" s="992"/>
      <c r="BI119" s="992"/>
      <c r="BJ119" s="992"/>
      <c r="BK119" s="992"/>
      <c r="BL119" s="992"/>
      <c r="BM119" s="992"/>
      <c r="BN119" s="992"/>
      <c r="BO119" s="992"/>
      <c r="BP119" s="992"/>
      <c r="BQ119" s="992"/>
      <c r="BR119" s="992"/>
      <c r="BS119" s="992"/>
      <c r="BT119" s="992"/>
      <c r="BU119" s="992"/>
      <c r="BV119" s="992"/>
      <c r="BW119" s="992"/>
      <c r="BX119" s="992"/>
      <c r="BY119" s="992"/>
      <c r="BZ119" s="992"/>
      <c r="CA119" s="992"/>
      <c r="CB119" s="992"/>
      <c r="CC119" s="992"/>
      <c r="CD119" s="992"/>
      <c r="CE119" s="992"/>
      <c r="CF119" s="992"/>
      <c r="CG119" s="992"/>
      <c r="CH119" s="992"/>
      <c r="CI119" s="992"/>
      <c r="CJ119" s="992"/>
      <c r="CK119" s="992"/>
      <c r="CL119" s="992"/>
      <c r="CM119" s="992"/>
      <c r="CN119" s="992"/>
      <c r="CO119" s="992"/>
      <c r="CP119" s="992"/>
      <c r="CQ119" s="992"/>
      <c r="CR119" s="992"/>
      <c r="CS119" s="992"/>
      <c r="CT119" s="992"/>
      <c r="CU119" s="992"/>
      <c r="CV119" s="992"/>
      <c r="CW119" s="992"/>
      <c r="CX119" s="992"/>
      <c r="CY119" s="992"/>
      <c r="CZ119" s="992"/>
    </row>
    <row r="120" spans="1:104" x14ac:dyDescent="0.35">
      <c r="A120" s="301"/>
      <c r="B120" s="992"/>
      <c r="C120" s="990"/>
      <c r="BB120" s="20"/>
      <c r="BC120" s="992"/>
      <c r="BD120" s="992"/>
      <c r="BE120" s="992"/>
      <c r="BF120" s="992"/>
      <c r="BG120" s="992"/>
      <c r="BH120" s="992"/>
      <c r="BI120" s="992"/>
      <c r="BJ120" s="992"/>
      <c r="BK120" s="992"/>
      <c r="BL120" s="992"/>
      <c r="BM120" s="992"/>
      <c r="BN120" s="992"/>
      <c r="BO120" s="992"/>
      <c r="BP120" s="992"/>
      <c r="BQ120" s="992"/>
      <c r="BR120" s="992"/>
      <c r="BS120" s="992"/>
      <c r="BT120" s="992"/>
      <c r="BU120" s="992"/>
      <c r="BV120" s="992"/>
      <c r="BW120" s="992"/>
      <c r="BX120" s="992"/>
      <c r="BY120" s="992"/>
      <c r="BZ120" s="992"/>
      <c r="CA120" s="992"/>
      <c r="CB120" s="992"/>
      <c r="CC120" s="992"/>
      <c r="CD120" s="992"/>
      <c r="CE120" s="992"/>
      <c r="CF120" s="992"/>
      <c r="CG120" s="992"/>
      <c r="CH120" s="992"/>
      <c r="CI120" s="992"/>
      <c r="CJ120" s="992"/>
      <c r="CK120" s="992"/>
      <c r="CL120" s="992"/>
      <c r="CM120" s="992"/>
      <c r="CN120" s="992"/>
      <c r="CO120" s="992"/>
      <c r="CP120" s="992"/>
      <c r="CQ120" s="992"/>
      <c r="CR120" s="992"/>
      <c r="CS120" s="992"/>
      <c r="CT120" s="992"/>
      <c r="CU120" s="992"/>
      <c r="CV120" s="992"/>
      <c r="CW120" s="992"/>
      <c r="CX120" s="992"/>
      <c r="CY120" s="992"/>
      <c r="CZ120" s="992"/>
    </row>
    <row r="121" spans="1:104" x14ac:dyDescent="0.35">
      <c r="A121" s="301"/>
      <c r="B121" s="301"/>
      <c r="C121" s="301"/>
      <c r="D121" s="301"/>
      <c r="E121" s="301"/>
      <c r="F121" s="301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  <c r="AJ121" s="301"/>
      <c r="AK121" s="301"/>
      <c r="AL121" s="301"/>
      <c r="AM121" s="301"/>
      <c r="AN121" s="301"/>
      <c r="AO121" s="301"/>
      <c r="AP121" s="301"/>
      <c r="AQ121" s="301"/>
      <c r="AR121" s="301"/>
      <c r="AS121" s="301"/>
      <c r="AT121" s="301"/>
      <c r="AU121" s="301"/>
      <c r="AV121" s="301"/>
      <c r="AW121" s="301"/>
      <c r="AX121" s="301"/>
      <c r="AY121" s="301"/>
      <c r="AZ121" s="301"/>
      <c r="BA121" s="301"/>
      <c r="BB121" s="301"/>
      <c r="BC121" s="301"/>
      <c r="BD121" s="301"/>
      <c r="BE121" s="301"/>
      <c r="BF121" s="301"/>
      <c r="BG121" s="301"/>
      <c r="BH121" s="301"/>
      <c r="BI121" s="301"/>
      <c r="BJ121" s="301"/>
      <c r="BK121" s="301"/>
      <c r="BL121" s="301"/>
      <c r="BM121" s="301"/>
      <c r="BN121" s="301"/>
      <c r="BO121" s="301"/>
      <c r="BP121" s="301"/>
      <c r="BQ121" s="301"/>
      <c r="BR121" s="301"/>
      <c r="BS121" s="301"/>
      <c r="BT121" s="301"/>
      <c r="BU121" s="301"/>
      <c r="BV121" s="301"/>
      <c r="BW121" s="301"/>
      <c r="BX121" s="301"/>
      <c r="BY121" s="301"/>
      <c r="BZ121" s="301"/>
      <c r="CA121" s="301"/>
      <c r="CB121" s="301"/>
      <c r="CC121" s="301"/>
      <c r="CD121" s="301"/>
      <c r="CE121" s="301"/>
      <c r="CF121" s="301"/>
      <c r="CG121" s="301"/>
      <c r="CH121" s="301"/>
      <c r="CI121" s="301"/>
      <c r="CJ121" s="301"/>
      <c r="CK121" s="301"/>
      <c r="CL121" s="301"/>
      <c r="CM121" s="301"/>
      <c r="CN121" s="301"/>
      <c r="CO121" s="301"/>
      <c r="CP121" s="301"/>
      <c r="CQ121" s="301"/>
      <c r="CR121" s="301"/>
      <c r="CS121" s="301"/>
      <c r="CT121" s="301"/>
      <c r="CU121" s="301"/>
      <c r="CV121" s="301"/>
      <c r="CW121" s="301"/>
      <c r="CX121" s="301"/>
      <c r="CY121" s="301"/>
      <c r="CZ121" s="301"/>
    </row>
    <row r="122" spans="1:104" x14ac:dyDescent="0.35">
      <c r="A122" s="3"/>
      <c r="B122" s="3"/>
      <c r="C122" s="3"/>
      <c r="D122" s="3">
        <v>1</v>
      </c>
      <c r="E122" s="3">
        <f>D122+1</f>
        <v>2</v>
      </c>
      <c r="F122" s="3">
        <f t="shared" ref="F122:AL122" si="266">E122+1</f>
        <v>3</v>
      </c>
      <c r="G122" s="3">
        <f t="shared" si="266"/>
        <v>4</v>
      </c>
      <c r="H122" s="3">
        <f t="shared" si="266"/>
        <v>5</v>
      </c>
      <c r="I122" s="3">
        <f t="shared" si="266"/>
        <v>6</v>
      </c>
      <c r="J122" s="3">
        <f t="shared" si="266"/>
        <v>7</v>
      </c>
      <c r="K122" s="3">
        <f t="shared" si="266"/>
        <v>8</v>
      </c>
      <c r="L122" s="3">
        <f t="shared" si="266"/>
        <v>9</v>
      </c>
      <c r="M122" s="3">
        <f t="shared" si="266"/>
        <v>10</v>
      </c>
      <c r="N122" s="3">
        <f t="shared" si="266"/>
        <v>11</v>
      </c>
      <c r="O122" s="3">
        <f t="shared" si="266"/>
        <v>12</v>
      </c>
      <c r="P122" s="3">
        <f t="shared" si="266"/>
        <v>13</v>
      </c>
      <c r="Q122" s="3">
        <f t="shared" si="266"/>
        <v>14</v>
      </c>
      <c r="R122" s="3">
        <f t="shared" si="266"/>
        <v>15</v>
      </c>
      <c r="S122" s="3">
        <f t="shared" si="266"/>
        <v>16</v>
      </c>
      <c r="T122" s="3">
        <f t="shared" si="266"/>
        <v>17</v>
      </c>
      <c r="U122" s="3">
        <f t="shared" si="266"/>
        <v>18</v>
      </c>
      <c r="V122" s="3">
        <f t="shared" si="266"/>
        <v>19</v>
      </c>
      <c r="W122" s="3">
        <f t="shared" si="266"/>
        <v>20</v>
      </c>
      <c r="X122" s="3">
        <f t="shared" si="266"/>
        <v>21</v>
      </c>
      <c r="Y122" s="3">
        <f t="shared" si="266"/>
        <v>22</v>
      </c>
      <c r="Z122" s="3">
        <f t="shared" si="266"/>
        <v>23</v>
      </c>
      <c r="AA122" s="3">
        <f t="shared" si="266"/>
        <v>24</v>
      </c>
      <c r="AB122" s="3">
        <f t="shared" si="266"/>
        <v>25</v>
      </c>
      <c r="AC122" s="3">
        <f t="shared" si="266"/>
        <v>26</v>
      </c>
      <c r="AD122" s="3">
        <f t="shared" si="266"/>
        <v>27</v>
      </c>
      <c r="AE122" s="3">
        <f t="shared" si="266"/>
        <v>28</v>
      </c>
      <c r="AF122" s="3">
        <f t="shared" si="266"/>
        <v>29</v>
      </c>
      <c r="AG122" s="3">
        <f t="shared" si="266"/>
        <v>30</v>
      </c>
      <c r="AH122" s="3">
        <f t="shared" si="266"/>
        <v>31</v>
      </c>
      <c r="AI122" s="3">
        <f t="shared" si="266"/>
        <v>32</v>
      </c>
      <c r="AJ122" s="3">
        <f t="shared" si="266"/>
        <v>33</v>
      </c>
      <c r="AK122" s="3">
        <f t="shared" si="266"/>
        <v>34</v>
      </c>
      <c r="AL122" s="3">
        <f t="shared" si="266"/>
        <v>35</v>
      </c>
      <c r="AM122" s="3">
        <f t="shared" ref="AM122:BA122" si="267">AL122+1</f>
        <v>36</v>
      </c>
      <c r="AN122" s="3">
        <f t="shared" si="267"/>
        <v>37</v>
      </c>
      <c r="AO122" s="3">
        <f t="shared" si="267"/>
        <v>38</v>
      </c>
      <c r="AP122" s="3">
        <f t="shared" si="267"/>
        <v>39</v>
      </c>
      <c r="AQ122" s="3">
        <f t="shared" si="267"/>
        <v>40</v>
      </c>
      <c r="AR122" s="3">
        <f t="shared" si="267"/>
        <v>41</v>
      </c>
      <c r="AS122" s="3">
        <f t="shared" si="267"/>
        <v>42</v>
      </c>
      <c r="AT122" s="3">
        <f t="shared" si="267"/>
        <v>43</v>
      </c>
      <c r="AU122" s="3">
        <f t="shared" si="267"/>
        <v>44</v>
      </c>
      <c r="AV122" s="3">
        <f t="shared" si="267"/>
        <v>45</v>
      </c>
      <c r="AW122" s="3">
        <f t="shared" si="267"/>
        <v>46</v>
      </c>
      <c r="AX122" s="3">
        <f t="shared" si="267"/>
        <v>47</v>
      </c>
      <c r="AY122" s="3">
        <f t="shared" si="267"/>
        <v>48</v>
      </c>
      <c r="AZ122" s="3">
        <f t="shared" si="267"/>
        <v>49</v>
      </c>
      <c r="BA122" s="3">
        <f t="shared" si="267"/>
        <v>50</v>
      </c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D33"/>
  <sheetViews>
    <sheetView workbookViewId="0">
      <selection activeCell="A2" sqref="A2"/>
    </sheetView>
  </sheetViews>
  <sheetFormatPr defaultRowHeight="12.75" x14ac:dyDescent="0.35"/>
  <cols>
    <col min="1" max="1" width="28.59765625" bestFit="1" customWidth="1"/>
    <col min="2" max="3" width="8.73046875" customWidth="1"/>
    <col min="4" max="4" width="9.86328125" customWidth="1"/>
  </cols>
  <sheetData>
    <row r="2" spans="1:4" ht="15.75" customHeight="1" thickBot="1" x14ac:dyDescent="0.4">
      <c r="A2" s="1214" t="s">
        <v>628</v>
      </c>
      <c r="B2" s="1214"/>
      <c r="C2" s="1214"/>
      <c r="D2" s="1214"/>
    </row>
    <row r="3" spans="1:4" ht="15.75" customHeight="1" thickBot="1" x14ac:dyDescent="0.45">
      <c r="A3" s="1215" t="str">
        <f>Irrigation!D34</f>
        <v xml:space="preserve">  Acres in Irrigation System:</v>
      </c>
      <c r="B3" s="1216">
        <f>Irrigation!E34</f>
        <v>160</v>
      </c>
      <c r="C3" s="1217"/>
      <c r="D3" s="1218"/>
    </row>
    <row r="4" spans="1:4" ht="13.9" x14ac:dyDescent="0.4">
      <c r="A4" s="1219" t="str">
        <f>Irrigation!D35</f>
        <v>Annual Irrigation Expenses, Field</v>
      </c>
      <c r="B4" s="214"/>
      <c r="C4" s="1220"/>
      <c r="D4" s="1221"/>
    </row>
    <row r="5" spans="1:4" ht="13.9" x14ac:dyDescent="0.4">
      <c r="A5" s="1222"/>
      <c r="B5" s="22" t="str">
        <f>Irrigation!E36</f>
        <v>Irrigation</v>
      </c>
      <c r="C5" s="22" t="str">
        <f>Irrigation!F36</f>
        <v>Field</v>
      </c>
      <c r="D5" s="24"/>
    </row>
    <row r="6" spans="1:4" ht="13.9" x14ac:dyDescent="0.4">
      <c r="A6" s="1112" t="str">
        <f>Irrigation!D37</f>
        <v>Expense</v>
      </c>
      <c r="B6" s="219" t="str">
        <f>Irrigation!E37</f>
        <v>System</v>
      </c>
      <c r="C6" s="219" t="str">
        <f>Irrigation!F37</f>
        <v>Activities</v>
      </c>
      <c r="D6" s="1223" t="str">
        <f>Irrigation!G37</f>
        <v>Total</v>
      </c>
    </row>
    <row r="7" spans="1:4" ht="13.9" x14ac:dyDescent="0.4">
      <c r="A7" s="1222" t="str">
        <f>Irrigation!D38</f>
        <v>Capital Recovery</v>
      </c>
      <c r="B7" s="1224">
        <f>Irrigation!E38</f>
        <v>5357.3993039997349</v>
      </c>
      <c r="C7" s="1224">
        <f>Irrigation!F38</f>
        <v>765.84427170091112</v>
      </c>
      <c r="D7" s="1225">
        <f>Irrigation!G38</f>
        <v>6123.243575700646</v>
      </c>
    </row>
    <row r="8" spans="1:4" ht="13.9" x14ac:dyDescent="0.4">
      <c r="A8" s="1222" t="str">
        <f>Irrigation!D39</f>
        <v>Repairs</v>
      </c>
      <c r="B8" s="1224">
        <f>Irrigation!E39</f>
        <v>602.58333333333326</v>
      </c>
      <c r="C8" s="1224">
        <f>Irrigation!F39</f>
        <v>38.547106568044192</v>
      </c>
      <c r="D8" s="1225">
        <f>Irrigation!G39</f>
        <v>641.13043990137749</v>
      </c>
    </row>
    <row r="9" spans="1:4" ht="13.9" x14ac:dyDescent="0.4">
      <c r="A9" s="1222" t="str">
        <f>Irrigation!D40</f>
        <v>Fuel, Energy</v>
      </c>
      <c r="B9" s="1224">
        <f>Irrigation!E40</f>
        <v>4648.9319218045111</v>
      </c>
      <c r="C9" s="1224">
        <f>Irrigation!F40</f>
        <v>151.32597079303432</v>
      </c>
      <c r="D9" s="1225">
        <f>Irrigation!G40</f>
        <v>4800.2578925975458</v>
      </c>
    </row>
    <row r="10" spans="1:4" ht="13.9" x14ac:dyDescent="0.4">
      <c r="A10" s="1222" t="str">
        <f>Irrigation!D41</f>
        <v>Labor</v>
      </c>
      <c r="B10" s="1224">
        <f>Irrigation!E41</f>
        <v>78.302400000000006</v>
      </c>
      <c r="C10" s="1224">
        <f>Irrigation!F41</f>
        <v>369.64376191560456</v>
      </c>
      <c r="D10" s="1225">
        <f>Irrigation!G41</f>
        <v>447.94616191560453</v>
      </c>
    </row>
    <row r="11" spans="1:4" ht="13.9" x14ac:dyDescent="0.4">
      <c r="A11" s="1222" t="str">
        <f>Irrigation!D42</f>
        <v>Irrigation Supplies</v>
      </c>
      <c r="B11" s="1224">
        <f>Irrigation!E42</f>
        <v>2600</v>
      </c>
      <c r="C11" s="1224">
        <f>Irrigation!F42</f>
        <v>0</v>
      </c>
      <c r="D11" s="1225">
        <f>Irrigation!G42</f>
        <v>2600</v>
      </c>
    </row>
    <row r="12" spans="1:4" ht="13.9" x14ac:dyDescent="0.4">
      <c r="A12" s="1222" t="str">
        <f>Irrigation!D43</f>
        <v>Miscellaneous Overhead</v>
      </c>
      <c r="B12" s="1224">
        <f>Irrigation!E43</f>
        <v>0</v>
      </c>
      <c r="C12" s="1224">
        <f>Irrigation!F43</f>
        <v>38.292213585045559</v>
      </c>
      <c r="D12" s="1225">
        <f>Irrigation!G43</f>
        <v>38.292213585045559</v>
      </c>
    </row>
    <row r="13" spans="1:4" ht="13.9" thickBot="1" x14ac:dyDescent="0.4">
      <c r="A13" s="1226" t="str">
        <f>Irrigation!D44</f>
        <v>Total</v>
      </c>
      <c r="B13" s="1227">
        <f>Irrigation!E44</f>
        <v>13287.216959137579</v>
      </c>
      <c r="C13" s="1227">
        <f>Irrigation!F44</f>
        <v>1363.6533245626399</v>
      </c>
      <c r="D13" s="1228">
        <f>Irrigation!G44</f>
        <v>14650.870283700218</v>
      </c>
    </row>
    <row r="14" spans="1:4" ht="13.9" x14ac:dyDescent="0.4">
      <c r="A14" s="1219" t="str">
        <f>Irrigation!D45</f>
        <v>Irrigation Expenses per Acre</v>
      </c>
      <c r="B14" s="1229">
        <f>Irrigation!E45</f>
        <v>10</v>
      </c>
      <c r="C14" s="1220" t="str">
        <f>Irrigation!F45</f>
        <v>Annual Inches</v>
      </c>
      <c r="D14" s="1221"/>
    </row>
    <row r="15" spans="1:4" ht="13.9" x14ac:dyDescent="0.4">
      <c r="A15" s="1222"/>
      <c r="B15" s="22" t="str">
        <f>Irrigation!E46</f>
        <v>Irrigation</v>
      </c>
      <c r="C15" s="22" t="str">
        <f>Irrigation!F46</f>
        <v>Field</v>
      </c>
      <c r="D15" s="24"/>
    </row>
    <row r="16" spans="1:4" ht="13.9" x14ac:dyDescent="0.4">
      <c r="A16" s="1112" t="str">
        <f>Irrigation!D47</f>
        <v>Expense</v>
      </c>
      <c r="B16" s="219" t="str">
        <f>Irrigation!E47</f>
        <v>System</v>
      </c>
      <c r="C16" s="219" t="str">
        <f>Irrigation!F47</f>
        <v>Activities</v>
      </c>
      <c r="D16" s="1223" t="str">
        <f>Irrigation!G47</f>
        <v>Total</v>
      </c>
    </row>
    <row r="17" spans="1:4" ht="13.9" x14ac:dyDescent="0.4">
      <c r="A17" s="1222" t="str">
        <f>Irrigation!D48</f>
        <v>Capital Recovery</v>
      </c>
      <c r="B17" s="1230">
        <f>Irrigation!E48</f>
        <v>33.48374564999834</v>
      </c>
      <c r="C17" s="1230">
        <f>Irrigation!F48</f>
        <v>4.7865266981306949</v>
      </c>
      <c r="D17" s="1231">
        <f>Irrigation!G48</f>
        <v>38.270272348129041</v>
      </c>
    </row>
    <row r="18" spans="1:4" ht="13.9" x14ac:dyDescent="0.4">
      <c r="A18" s="1222" t="str">
        <f>Irrigation!D49</f>
        <v>Repairs</v>
      </c>
      <c r="B18" s="1230">
        <f>Irrigation!E49</f>
        <v>3.7661458333333329</v>
      </c>
      <c r="C18" s="1230">
        <f>Irrigation!F49</f>
        <v>0.2409194160502762</v>
      </c>
      <c r="D18" s="1231">
        <f>Irrigation!G49</f>
        <v>4.0070652493836096</v>
      </c>
    </row>
    <row r="19" spans="1:4" ht="13.9" x14ac:dyDescent="0.4">
      <c r="A19" s="1222" t="str">
        <f>Irrigation!D50</f>
        <v>Fuel, Energy</v>
      </c>
      <c r="B19" s="1230">
        <f>Irrigation!E50</f>
        <v>29.055824511278196</v>
      </c>
      <c r="C19" s="1230">
        <f>Irrigation!F50</f>
        <v>0.94578731745646449</v>
      </c>
      <c r="D19" s="1231">
        <f>Irrigation!G50</f>
        <v>30.00161182873466</v>
      </c>
    </row>
    <row r="20" spans="1:4" ht="13.9" x14ac:dyDescent="0.4">
      <c r="A20" s="1222" t="str">
        <f>Irrigation!D51</f>
        <v>Labor</v>
      </c>
      <c r="B20" s="1230">
        <f>Irrigation!E51</f>
        <v>0.48939000000000005</v>
      </c>
      <c r="C20" s="1230">
        <f>Irrigation!F51</f>
        <v>2.3102735119725284</v>
      </c>
      <c r="D20" s="1231">
        <f>Irrigation!G51</f>
        <v>2.7996635119725282</v>
      </c>
    </row>
    <row r="21" spans="1:4" ht="13.9" x14ac:dyDescent="0.4">
      <c r="A21" s="1222" t="str">
        <f>Irrigation!D52</f>
        <v>Irrigation Supplies</v>
      </c>
      <c r="B21" s="1230">
        <f>Irrigation!E52</f>
        <v>16.25</v>
      </c>
      <c r="C21" s="1230">
        <f>Irrigation!F52</f>
        <v>0</v>
      </c>
      <c r="D21" s="1231">
        <f>Irrigation!G52</f>
        <v>16.25</v>
      </c>
    </row>
    <row r="22" spans="1:4" ht="13.9" x14ac:dyDescent="0.4">
      <c r="A22" s="1222" t="str">
        <f>Irrigation!D53</f>
        <v>Miscellaneous Overhead</v>
      </c>
      <c r="B22" s="1230">
        <f>Irrigation!E53</f>
        <v>0</v>
      </c>
      <c r="C22" s="1230">
        <f>Irrigation!F53</f>
        <v>0.23932633490653474</v>
      </c>
      <c r="D22" s="1231">
        <f>Irrigation!G53</f>
        <v>0.23932633490653474</v>
      </c>
    </row>
    <row r="23" spans="1:4" ht="13.9" thickBot="1" x14ac:dyDescent="0.4">
      <c r="A23" s="1226" t="str">
        <f>Irrigation!D54</f>
        <v>Total</v>
      </c>
      <c r="B23" s="1232">
        <f>Irrigation!E54</f>
        <v>83.04510599460987</v>
      </c>
      <c r="C23" s="1232">
        <f>Irrigation!F54</f>
        <v>8.5228332785164991</v>
      </c>
      <c r="D23" s="1233">
        <f>Irrigation!G54</f>
        <v>91.56793927312637</v>
      </c>
    </row>
    <row r="24" spans="1:4" ht="13.9" x14ac:dyDescent="0.4">
      <c r="A24" s="1219" t="str">
        <f>Irrigation!D55</f>
        <v>Irrigation Expenses per Inch</v>
      </c>
      <c r="B24" s="1229">
        <f>Irrigation!E55</f>
        <v>160</v>
      </c>
      <c r="C24" s="1220" t="str">
        <f>Irrigation!F55</f>
        <v>Field Acres</v>
      </c>
      <c r="D24" s="1221"/>
    </row>
    <row r="25" spans="1:4" ht="13.9" x14ac:dyDescent="0.4">
      <c r="A25" s="1222"/>
      <c r="B25" s="22" t="str">
        <f>Irrigation!E56</f>
        <v>Irrigation</v>
      </c>
      <c r="C25" s="22" t="str">
        <f>Irrigation!F56</f>
        <v>Field</v>
      </c>
      <c r="D25" s="24"/>
    </row>
    <row r="26" spans="1:4" ht="13.9" x14ac:dyDescent="0.4">
      <c r="A26" s="1112" t="str">
        <f>Irrigation!D57</f>
        <v>Expense</v>
      </c>
      <c r="B26" s="219" t="str">
        <f>Irrigation!E57</f>
        <v>System</v>
      </c>
      <c r="C26" s="219" t="str">
        <f>Irrigation!F57</f>
        <v>Activities</v>
      </c>
      <c r="D26" s="1223" t="str">
        <f>Irrigation!G57</f>
        <v>Total</v>
      </c>
    </row>
    <row r="27" spans="1:4" ht="13.9" x14ac:dyDescent="0.4">
      <c r="A27" s="1222" t="str">
        <f>Irrigation!D58</f>
        <v>Capital Recovery</v>
      </c>
      <c r="B27" s="1230">
        <f>Irrigation!E58</f>
        <v>535.73993039997345</v>
      </c>
      <c r="C27" s="1230">
        <f>Irrigation!F58</f>
        <v>76.584427170091118</v>
      </c>
      <c r="D27" s="1231">
        <f>Irrigation!G58</f>
        <v>612.32435757006465</v>
      </c>
    </row>
    <row r="28" spans="1:4" ht="13.9" x14ac:dyDescent="0.4">
      <c r="A28" s="1222" t="str">
        <f>Irrigation!D59</f>
        <v>Repairs</v>
      </c>
      <c r="B28" s="1230">
        <f>Irrigation!E59</f>
        <v>60.258333333333326</v>
      </c>
      <c r="C28" s="1230">
        <f>Irrigation!F59</f>
        <v>3.8547106568044192</v>
      </c>
      <c r="D28" s="1231">
        <f>Irrigation!G59</f>
        <v>64.113043990137754</v>
      </c>
    </row>
    <row r="29" spans="1:4" ht="13.9" x14ac:dyDescent="0.4">
      <c r="A29" s="1222" t="str">
        <f>Irrigation!D60</f>
        <v>Fuel, Energy</v>
      </c>
      <c r="B29" s="1230">
        <f>Irrigation!E60</f>
        <v>464.89319218045114</v>
      </c>
      <c r="C29" s="1230">
        <f>Irrigation!F60</f>
        <v>15.132597079303432</v>
      </c>
      <c r="D29" s="1231">
        <f>Irrigation!G60</f>
        <v>480.02578925975456</v>
      </c>
    </row>
    <row r="30" spans="1:4" ht="13.9" x14ac:dyDescent="0.4">
      <c r="A30" s="1222" t="str">
        <f>Irrigation!D61</f>
        <v>Labor</v>
      </c>
      <c r="B30" s="1230">
        <f>Irrigation!E61</f>
        <v>7.8302400000000008</v>
      </c>
      <c r="C30" s="1230">
        <f>Irrigation!F61</f>
        <v>36.964376191560454</v>
      </c>
      <c r="D30" s="1231">
        <f>Irrigation!G61</f>
        <v>44.794616191560451</v>
      </c>
    </row>
    <row r="31" spans="1:4" ht="13.9" x14ac:dyDescent="0.4">
      <c r="A31" s="1222" t="str">
        <f>Irrigation!D62</f>
        <v>Irrigation Supplies</v>
      </c>
      <c r="B31" s="1230">
        <f>Irrigation!E62</f>
        <v>260</v>
      </c>
      <c r="C31" s="1230">
        <f>Irrigation!F62</f>
        <v>0</v>
      </c>
      <c r="D31" s="1231">
        <f>Irrigation!G62</f>
        <v>260</v>
      </c>
    </row>
    <row r="32" spans="1:4" ht="13.9" x14ac:dyDescent="0.4">
      <c r="A32" s="1222" t="str">
        <f>Irrigation!D63</f>
        <v>Miscellaneous Overhead</v>
      </c>
      <c r="B32" s="1230">
        <f>Irrigation!E63</f>
        <v>0</v>
      </c>
      <c r="C32" s="1230">
        <f>Irrigation!F63</f>
        <v>3.8292213585045558</v>
      </c>
      <c r="D32" s="1231">
        <f>Irrigation!G63</f>
        <v>3.8292213585045558</v>
      </c>
    </row>
    <row r="33" spans="1:4" ht="13.9" thickBot="1" x14ac:dyDescent="0.4">
      <c r="A33" s="1226" t="str">
        <f>Irrigation!D64</f>
        <v>Total</v>
      </c>
      <c r="B33" s="1232">
        <f>Irrigation!E64</f>
        <v>1328.7216959137579</v>
      </c>
      <c r="C33" s="1232">
        <f>Irrigation!F64</f>
        <v>136.36533245626399</v>
      </c>
      <c r="D33" s="1233">
        <f>Irrigation!G64</f>
        <v>1465.0870283700219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83"/>
  <sheetViews>
    <sheetView workbookViewId="0"/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53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IF(Machine!D8&gt;0,(EquipmentSpecs!A5/1000)*EquipmentSpecs!A6,0)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60" si="0">$I$8</f>
        <v>0.09</v>
      </c>
      <c r="H14" s="332">
        <f>(G14*(1+G14)^E14)/((1+G14)^E14-1)</f>
        <v>0.18067437783749629</v>
      </c>
      <c r="I14" s="245">
        <f t="shared" ref="I14:I54" si="1"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2" si="2">(K14*L14*M14)/8.25</f>
        <v>7.8303030303030292</v>
      </c>
      <c r="O14" s="247">
        <f t="shared" ref="O14:O54" si="3"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v>1</v>
      </c>
      <c r="T14" s="246">
        <f t="shared" ref="T14:T54" si="4">J14*O14*S14</f>
        <v>2.0447321245976657</v>
      </c>
      <c r="U14" s="246">
        <f>(((P14-(AQ14*P14))*AS14)+(AR14*(AQ14*P14)))/AO14</f>
        <v>75.989555598878766</v>
      </c>
      <c r="V14" s="246">
        <f t="shared" ref="V14:V54" si="5">U14*O14*S14</f>
        <v>9.7045485091447361</v>
      </c>
      <c r="W14" s="1143">
        <f>IF($T14&gt;0,((((($C14+($C14*$F14)+($C14/$E14))/2)*W$12)/$D14)*$O14),0)+IF($V14&gt;0,((((($P14+($P14*$AQ14)+($P14/$AP14))/2)*W$12)/$AO14)*$O14),0)</f>
        <v>0.58801204527863793</v>
      </c>
      <c r="X14" s="1143">
        <f t="shared" ref="X14:Y29" si="6">IF($T14&gt;0,((((($C14+($C14*$F14)+($C14/$E14))/2)*X$12)/$D14)*$O14),0)+IF($V14&gt;0,((((($P14+($P14*$AQ14)+($P14/$AP14))/2)*X$12)/$AO14)*$O14),0)</f>
        <v>0.58801204527863793</v>
      </c>
      <c r="Y14" s="1143">
        <f t="shared" si="6"/>
        <v>0.54097108165634689</v>
      </c>
      <c r="Z14" s="1136">
        <f>T14+V14+(SUM(W14:Y14)*S14)</f>
        <v>13.466275805956023</v>
      </c>
      <c r="AA14" s="248">
        <f>EquipmentSpecs!J14</f>
        <v>0.28999999999999998</v>
      </c>
      <c r="AB14" s="249">
        <f>EquipmentSpecs!K14</f>
        <v>1.8</v>
      </c>
      <c r="AC14" s="246">
        <f t="shared" ref="AC14:AC54" si="7">(C14*AA14*(((E14*D14)/1000)^AB14)/(E14*D14))*O14*S14</f>
        <v>0.77609672551922859</v>
      </c>
      <c r="AD14" s="250">
        <f t="shared" ref="AD14:AD54" si="8">IF(Q14=4,0.003,0.007)</f>
        <v>3.0000000000000001E-3</v>
      </c>
      <c r="AE14" s="251">
        <v>2</v>
      </c>
      <c r="AF14" s="246">
        <f>((P14*AD14*(((AP14*AO14)/1000)^AE14)/(AP14*AO14))*O14*S14)+AI14</f>
        <v>0.88434891640866897</v>
      </c>
      <c r="AG14" s="251">
        <f t="shared" ref="AG14:AG54" si="9">0.044*R14</f>
        <v>10.119999999999999</v>
      </c>
      <c r="AH14" s="246">
        <f t="shared" ref="AH14:AH54" si="10">AG14*O14*$AI$11*S14</f>
        <v>3.1793405572755424</v>
      </c>
      <c r="AI14" s="246">
        <f t="shared" ref="AI14:AI54" si="11">AH14*0.1</f>
        <v>0.31793405572755429</v>
      </c>
      <c r="AJ14" s="246">
        <f>AH14</f>
        <v>3.1793405572755424</v>
      </c>
      <c r="AK14" s="248">
        <f>EquipmentSpecs!L14</f>
        <v>1.04</v>
      </c>
      <c r="AL14" s="247">
        <f t="shared" ref="AL14:AL54" si="12">O14*S14*AK14</f>
        <v>0.13281733746130034</v>
      </c>
      <c r="AM14" s="252">
        <f t="shared" ref="AM14:AM54" si="13">AL14*$AL$11</f>
        <v>1.969681114551084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14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4" si="15">(G15*(1+G15)^E15)/((1+G15)^E15-1)</f>
        <v>0.18067437783749629</v>
      </c>
      <c r="I15" s="225">
        <f t="shared" si="1"/>
        <v>3038.3422501252007</v>
      </c>
      <c r="J15" s="89">
        <f t="shared" ref="J15:J54" si="16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2"/>
        <v>10.303030303030303</v>
      </c>
      <c r="O15" s="226">
        <f t="shared" si="3"/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v>1</v>
      </c>
      <c r="T15" s="89">
        <f t="shared" si="4"/>
        <v>1.8431120267303607</v>
      </c>
      <c r="U15" s="89">
        <f t="shared" ref="U15:U54" si="17">(((P15-(AQ15*P15))*AS15)+(AR15*(AQ15*P15)))/AO15</f>
        <v>75.989555598878766</v>
      </c>
      <c r="V15" s="89">
        <f t="shared" si="5"/>
        <v>7.3754568669499978</v>
      </c>
      <c r="W15" s="1144">
        <f t="shared" ref="W15:Y54" si="18">IF($T15&gt;0,((((($C15+($C15*$F15)+($C15/$E15))/2)*W$12)/$D15)*$O15),0)+IF($V15&gt;0,((((($P15+($P15*$AQ15)+($P15/$AP15))/2)*W$12)/$AO15)*$O15),0)</f>
        <v>0.46120533088235299</v>
      </c>
      <c r="X15" s="1144">
        <f t="shared" si="6"/>
        <v>0.46120533088235299</v>
      </c>
      <c r="Y15" s="1144">
        <f t="shared" si="6"/>
        <v>0.42430890441176466</v>
      </c>
      <c r="Z15" s="1136">
        <f t="shared" ref="Z15:Z54" si="19">T15+V15+(SUM(W15:Y15)*S15)</f>
        <v>10.565288459856831</v>
      </c>
      <c r="AA15" s="227">
        <f>EquipmentSpecs!J15</f>
        <v>0.28999999999999998</v>
      </c>
      <c r="AB15" s="228">
        <f>EquipmentSpecs!K15</f>
        <v>1.8</v>
      </c>
      <c r="AC15" s="89">
        <f t="shared" si="7"/>
        <v>0.69956997863082082</v>
      </c>
      <c r="AD15" s="84">
        <f t="shared" si="8"/>
        <v>3.0000000000000001E-3</v>
      </c>
      <c r="AE15" s="229">
        <v>2</v>
      </c>
      <c r="AF15" s="89">
        <f t="shared" ref="AF15:AF54" si="20">((P15*AD15*(((AP15*AO15)/1000)^AE15)/(AP15*AO15))*O15*S15)+AI15</f>
        <v>0.67210517647058821</v>
      </c>
      <c r="AG15" s="229">
        <f t="shared" si="9"/>
        <v>10.119999999999999</v>
      </c>
      <c r="AH15" s="89">
        <f t="shared" si="10"/>
        <v>2.4162988235294116</v>
      </c>
      <c r="AI15" s="89">
        <f t="shared" si="11"/>
        <v>0.24162988235294117</v>
      </c>
      <c r="AJ15" s="89">
        <f t="shared" ref="AJ15:AJ54" si="21">AH15</f>
        <v>2.4162988235294116</v>
      </c>
      <c r="AK15" s="227">
        <f>EquipmentSpecs!L15</f>
        <v>1.04</v>
      </c>
      <c r="AL15" s="226">
        <f t="shared" si="12"/>
        <v>0.10094117647058824</v>
      </c>
      <c r="AM15" s="230">
        <f t="shared" si="13"/>
        <v>1.4969576470588237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14"/>
        <v>0.09</v>
      </c>
      <c r="AS15" s="437">
        <f t="shared" ref="AS15:AS54" si="22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15"/>
        <v>0.18067437783749629</v>
      </c>
      <c r="I16" s="225">
        <f t="shared" si="1"/>
        <v>2085.1368383212161</v>
      </c>
      <c r="J16" s="89">
        <f t="shared" si="16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 t="shared" si="2"/>
        <v>4.9454545454545453</v>
      </c>
      <c r="O16" s="226">
        <f t="shared" si="3"/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v>1</v>
      </c>
      <c r="T16" s="89">
        <f t="shared" si="4"/>
        <v>2.6351683388710221</v>
      </c>
      <c r="U16" s="89">
        <f t="shared" si="17"/>
        <v>75.989555598878766</v>
      </c>
      <c r="V16" s="89">
        <f t="shared" si="5"/>
        <v>15.365535139479162</v>
      </c>
      <c r="W16" s="1144">
        <f t="shared" si="18"/>
        <v>0.90119370404411769</v>
      </c>
      <c r="X16" s="1144">
        <f t="shared" si="6"/>
        <v>0.90119370404411769</v>
      </c>
      <c r="Y16" s="1144">
        <f t="shared" si="6"/>
        <v>0.82909820772058807</v>
      </c>
      <c r="Z16" s="1136">
        <f t="shared" si="19"/>
        <v>20.632189094159006</v>
      </c>
      <c r="AA16" s="227">
        <f>EquipmentSpecs!J16</f>
        <v>0.28999999999999998</v>
      </c>
      <c r="AB16" s="228">
        <f>EquipmentSpecs!K16</f>
        <v>1.8</v>
      </c>
      <c r="AC16" s="89">
        <f t="shared" si="7"/>
        <v>1.0002021753300132</v>
      </c>
      <c r="AD16" s="84">
        <f t="shared" si="8"/>
        <v>3.0000000000000001E-3</v>
      </c>
      <c r="AE16" s="229">
        <v>2</v>
      </c>
      <c r="AF16" s="89">
        <f t="shared" si="20"/>
        <v>1.4002191176470589</v>
      </c>
      <c r="AG16" s="229">
        <f t="shared" si="9"/>
        <v>10.119999999999999</v>
      </c>
      <c r="AH16" s="89">
        <f t="shared" si="10"/>
        <v>5.0339558823529416</v>
      </c>
      <c r="AI16" s="89">
        <f t="shared" si="11"/>
        <v>0.50339558823529418</v>
      </c>
      <c r="AJ16" s="89">
        <f t="shared" si="21"/>
        <v>5.0339558823529416</v>
      </c>
      <c r="AK16" s="227">
        <f>EquipmentSpecs!L16</f>
        <v>1.04</v>
      </c>
      <c r="AL16" s="226">
        <f t="shared" si="12"/>
        <v>0.21029411764705883</v>
      </c>
      <c r="AM16" s="230">
        <f t="shared" si="13"/>
        <v>3.1186617647058825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14"/>
        <v>0.09</v>
      </c>
      <c r="AS16" s="437">
        <f t="shared" si="22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15"/>
        <v>0.18067437783749629</v>
      </c>
      <c r="I17" s="225">
        <f t="shared" si="1"/>
        <v>8295.8658496065527</v>
      </c>
      <c r="J17" s="89">
        <f t="shared" si="16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2"/>
        <v>15.660606060606058</v>
      </c>
      <c r="O17" s="226">
        <f t="shared" si="3"/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v>1</v>
      </c>
      <c r="T17" s="89">
        <f t="shared" si="4"/>
        <v>3.3108017250026158</v>
      </c>
      <c r="U17" s="89">
        <f t="shared" si="17"/>
        <v>75.989555598878766</v>
      </c>
      <c r="V17" s="89">
        <f t="shared" si="5"/>
        <v>4.8522742545723681</v>
      </c>
      <c r="W17" s="1144">
        <f t="shared" si="18"/>
        <v>0.40732279774574309</v>
      </c>
      <c r="X17" s="1144">
        <f t="shared" si="6"/>
        <v>0.40732279774574309</v>
      </c>
      <c r="Y17" s="1144">
        <f t="shared" si="6"/>
        <v>0.37473697392608363</v>
      </c>
      <c r="Z17" s="1136">
        <f t="shared" si="19"/>
        <v>9.3524585489925531</v>
      </c>
      <c r="AA17" s="227">
        <f>EquipmentSpecs!J17</f>
        <v>0.18</v>
      </c>
      <c r="AB17" s="228">
        <f>EquipmentSpecs!K17</f>
        <v>1.7</v>
      </c>
      <c r="AC17" s="89">
        <f t="shared" si="7"/>
        <v>0.76096750866620844</v>
      </c>
      <c r="AD17" s="84">
        <f t="shared" si="8"/>
        <v>3.0000000000000001E-3</v>
      </c>
      <c r="AE17" s="229">
        <v>2</v>
      </c>
      <c r="AF17" s="89">
        <f t="shared" si="20"/>
        <v>0.44217445820433449</v>
      </c>
      <c r="AG17" s="229">
        <f t="shared" si="9"/>
        <v>10.119999999999999</v>
      </c>
      <c r="AH17" s="89">
        <f t="shared" si="10"/>
        <v>1.5896702786377712</v>
      </c>
      <c r="AI17" s="89">
        <f t="shared" si="11"/>
        <v>0.15896702786377714</v>
      </c>
      <c r="AJ17" s="89">
        <f t="shared" si="21"/>
        <v>1.5896702786377712</v>
      </c>
      <c r="AK17" s="227">
        <f>EquipmentSpecs!L17</f>
        <v>1.04</v>
      </c>
      <c r="AL17" s="226">
        <f t="shared" si="12"/>
        <v>6.6408668730650169E-2</v>
      </c>
      <c r="AM17" s="230">
        <f t="shared" si="13"/>
        <v>0.98484055727554198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14"/>
        <v>0.09</v>
      </c>
      <c r="AS17" s="437">
        <f t="shared" si="22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15"/>
        <v>0.18067437783749629</v>
      </c>
      <c r="I18" s="225">
        <f t="shared" si="1"/>
        <v>5255.2895242974364</v>
      </c>
      <c r="J18" s="89">
        <f t="shared" si="16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 t="shared" si="2"/>
        <v>15.660606060606058</v>
      </c>
      <c r="O18" s="226">
        <f t="shared" si="3"/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v>1</v>
      </c>
      <c r="T18" s="89">
        <f t="shared" si="4"/>
        <v>2.0973364248961812</v>
      </c>
      <c r="U18" s="89">
        <f t="shared" si="17"/>
        <v>75.989555598878766</v>
      </c>
      <c r="V18" s="89">
        <f t="shared" si="5"/>
        <v>4.8522742545723681</v>
      </c>
      <c r="W18" s="1144">
        <f t="shared" si="18"/>
        <v>0.34723547401073923</v>
      </c>
      <c r="X18" s="1144">
        <f t="shared" si="6"/>
        <v>0.34723547401073923</v>
      </c>
      <c r="Y18" s="1144">
        <f t="shared" si="6"/>
        <v>0.31945663608988006</v>
      </c>
      <c r="Z18" s="1136">
        <f t="shared" si="19"/>
        <v>7.9635382635799079</v>
      </c>
      <c r="AA18" s="227">
        <f>EquipmentSpecs!J18</f>
        <v>0.28999999999999998</v>
      </c>
      <c r="AB18" s="228">
        <f>EquipmentSpecs!K18</f>
        <v>1.8</v>
      </c>
      <c r="AC18" s="89">
        <f t="shared" si="7"/>
        <v>0.79606316744029015</v>
      </c>
      <c r="AD18" s="84">
        <f t="shared" si="8"/>
        <v>3.0000000000000001E-3</v>
      </c>
      <c r="AE18" s="229">
        <v>2</v>
      </c>
      <c r="AF18" s="89">
        <f t="shared" si="20"/>
        <v>0.44217445820433449</v>
      </c>
      <c r="AG18" s="229">
        <f t="shared" si="9"/>
        <v>10.119999999999999</v>
      </c>
      <c r="AH18" s="89">
        <f t="shared" si="10"/>
        <v>1.5896702786377712</v>
      </c>
      <c r="AI18" s="89">
        <f t="shared" si="11"/>
        <v>0.15896702786377714</v>
      </c>
      <c r="AJ18" s="89">
        <f t="shared" si="21"/>
        <v>1.5896702786377712</v>
      </c>
      <c r="AK18" s="227">
        <f>EquipmentSpecs!L18</f>
        <v>1.04</v>
      </c>
      <c r="AL18" s="226">
        <f t="shared" si="12"/>
        <v>6.6408668730650169E-2</v>
      </c>
      <c r="AM18" s="230">
        <f t="shared" si="13"/>
        <v>0.98484055727554198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14"/>
        <v>0.09</v>
      </c>
      <c r="AS18" s="437">
        <f t="shared" si="22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15"/>
        <v>0.18067437783749629</v>
      </c>
      <c r="I19" s="225">
        <f t="shared" si="1"/>
        <v>11170.375919577944</v>
      </c>
      <c r="J19" s="89">
        <f t="shared" si="16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2"/>
        <v>18.133333333333333</v>
      </c>
      <c r="O19" s="226">
        <f t="shared" si="3"/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v>1</v>
      </c>
      <c r="T19" s="89">
        <f t="shared" si="4"/>
        <v>3.8500836119868831</v>
      </c>
      <c r="U19" s="89">
        <f t="shared" si="17"/>
        <v>75.989555598878766</v>
      </c>
      <c r="V19" s="89">
        <f t="shared" si="5"/>
        <v>4.1906004925852258</v>
      </c>
      <c r="W19" s="1144">
        <f t="shared" si="18"/>
        <v>0.4008381204044118</v>
      </c>
      <c r="X19" s="1144">
        <f t="shared" si="6"/>
        <v>0.4008381204044118</v>
      </c>
      <c r="Y19" s="1144">
        <f t="shared" si="6"/>
        <v>0.36877107077205878</v>
      </c>
      <c r="Z19" s="1136">
        <f t="shared" si="19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si="7"/>
        <v>0.88491814905283728</v>
      </c>
      <c r="AD19" s="84">
        <f t="shared" si="8"/>
        <v>3.0000000000000001E-3</v>
      </c>
      <c r="AE19" s="229">
        <v>2</v>
      </c>
      <c r="AF19" s="89">
        <f t="shared" si="20"/>
        <v>0.38187794117647056</v>
      </c>
      <c r="AG19" s="229">
        <f t="shared" si="9"/>
        <v>10.119999999999999</v>
      </c>
      <c r="AH19" s="89">
        <f t="shared" si="10"/>
        <v>1.3728970588235292</v>
      </c>
      <c r="AI19" s="89">
        <f t="shared" si="11"/>
        <v>0.13728970588235292</v>
      </c>
      <c r="AJ19" s="89">
        <f t="shared" si="21"/>
        <v>1.3728970588235292</v>
      </c>
      <c r="AK19" s="227">
        <f>EquipmentSpecs!L19</f>
        <v>1.04</v>
      </c>
      <c r="AL19" s="226">
        <f t="shared" si="12"/>
        <v>5.7352941176470586E-2</v>
      </c>
      <c r="AM19" s="230">
        <f t="shared" si="13"/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14"/>
        <v>0.09</v>
      </c>
      <c r="AS19" s="437">
        <f t="shared" si="22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15"/>
        <v>0.18067437783749629</v>
      </c>
      <c r="I20" s="225">
        <f t="shared" si="1"/>
        <v>7700.1124672290634</v>
      </c>
      <c r="J20" s="89">
        <f t="shared" si="16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2"/>
        <v>16.581818181818182</v>
      </c>
      <c r="O20" s="226">
        <f t="shared" si="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v>1</v>
      </c>
      <c r="T20" s="89">
        <f t="shared" si="4"/>
        <v>2.9023176103179722</v>
      </c>
      <c r="U20" s="89">
        <f t="shared" si="17"/>
        <v>75.989555598878766</v>
      </c>
      <c r="V20" s="89">
        <f t="shared" si="5"/>
        <v>4.58270346265168</v>
      </c>
      <c r="W20" s="1144">
        <f t="shared" si="18"/>
        <v>0.37357464706688598</v>
      </c>
      <c r="X20" s="1144">
        <f t="shared" si="6"/>
        <v>0.37357464706688598</v>
      </c>
      <c r="Y20" s="1144">
        <f t="shared" si="6"/>
        <v>0.34368867530153502</v>
      </c>
      <c r="Z20" s="1136">
        <f t="shared" si="19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7"/>
        <v>0.6670799355343412</v>
      </c>
      <c r="AD20" s="84">
        <f t="shared" si="8"/>
        <v>3.0000000000000001E-3</v>
      </c>
      <c r="AE20" s="229">
        <v>2</v>
      </c>
      <c r="AF20" s="89">
        <f t="shared" si="20"/>
        <v>0.41760921052631578</v>
      </c>
      <c r="AG20" s="229">
        <f t="shared" si="9"/>
        <v>10.119999999999999</v>
      </c>
      <c r="AH20" s="89">
        <f t="shared" si="10"/>
        <v>1.5013552631578946</v>
      </c>
      <c r="AI20" s="89">
        <f t="shared" si="11"/>
        <v>0.15013552631578947</v>
      </c>
      <c r="AJ20" s="89">
        <f t="shared" si="21"/>
        <v>1.5013552631578946</v>
      </c>
      <c r="AK20" s="227">
        <f>EquipmentSpecs!L20</f>
        <v>1.04</v>
      </c>
      <c r="AL20" s="226">
        <f t="shared" si="12"/>
        <v>6.2719298245614036E-2</v>
      </c>
      <c r="AM20" s="230">
        <f t="shared" si="13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14"/>
        <v>0.09</v>
      </c>
      <c r="AS20" s="437">
        <f t="shared" si="22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15"/>
        <v>0.18067437783749629</v>
      </c>
      <c r="I21" s="225">
        <f t="shared" si="1"/>
        <v>7208.6159267676339</v>
      </c>
      <c r="J21" s="89">
        <f t="shared" si="16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2"/>
        <v>16.484848484848484</v>
      </c>
      <c r="O21" s="226">
        <f t="shared" si="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v>1</v>
      </c>
      <c r="T21" s="89">
        <f t="shared" si="4"/>
        <v>2.7330460200290889</v>
      </c>
      <c r="U21" s="89">
        <f t="shared" si="17"/>
        <v>75.989555598878766</v>
      </c>
      <c r="V21" s="89">
        <f t="shared" si="5"/>
        <v>4.6096605418437484</v>
      </c>
      <c r="W21" s="1144">
        <f t="shared" si="18"/>
        <v>0.36654492187499998</v>
      </c>
      <c r="X21" s="1144">
        <f t="shared" si="6"/>
        <v>0.36654492187499998</v>
      </c>
      <c r="Y21" s="1144">
        <f t="shared" si="6"/>
        <v>0.33722132812499994</v>
      </c>
      <c r="Z21" s="1136">
        <f t="shared" si="19"/>
        <v>8.4130177337478376</v>
      </c>
      <c r="AA21" s="227">
        <f>EquipmentSpecs!J21</f>
        <v>0.28000000000000003</v>
      </c>
      <c r="AB21" s="228">
        <f>EquipmentSpecs!K21</f>
        <v>1.4</v>
      </c>
      <c r="AC21" s="89">
        <f t="shared" si="7"/>
        <v>0.90740761805888048</v>
      </c>
      <c r="AD21" s="84">
        <f t="shared" si="8"/>
        <v>3.0000000000000001E-3</v>
      </c>
      <c r="AE21" s="229">
        <v>2</v>
      </c>
      <c r="AF21" s="89">
        <f t="shared" si="20"/>
        <v>0.42006573529411767</v>
      </c>
      <c r="AG21" s="229">
        <f t="shared" si="9"/>
        <v>10.119999999999999</v>
      </c>
      <c r="AH21" s="89">
        <f t="shared" si="10"/>
        <v>1.5101867647058824</v>
      </c>
      <c r="AI21" s="89">
        <f t="shared" si="11"/>
        <v>0.15101867647058825</v>
      </c>
      <c r="AJ21" s="89">
        <f t="shared" si="21"/>
        <v>1.5101867647058824</v>
      </c>
      <c r="AK21" s="227">
        <f>EquipmentSpecs!L21</f>
        <v>1.04</v>
      </c>
      <c r="AL21" s="226">
        <f t="shared" si="12"/>
        <v>6.3088235294117653E-2</v>
      </c>
      <c r="AM21" s="230">
        <f t="shared" si="13"/>
        <v>0.9355985294117648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14"/>
        <v>0.09</v>
      </c>
      <c r="AS21" s="437">
        <f t="shared" si="22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15"/>
        <v>0.18067437783749629</v>
      </c>
      <c r="I22" s="225">
        <f t="shared" si="1"/>
        <v>6223.3887706608584</v>
      </c>
      <c r="J22" s="89">
        <f t="shared" si="16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 t="shared" si="2"/>
        <v>28.848484848484848</v>
      </c>
      <c r="O22" s="226">
        <f t="shared" si="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v>1</v>
      </c>
      <c r="T22" s="89">
        <f t="shared" si="4"/>
        <v>1.3482919474252124</v>
      </c>
      <c r="U22" s="89">
        <f t="shared" si="17"/>
        <v>61.186395417279016</v>
      </c>
      <c r="V22" s="89">
        <f t="shared" si="5"/>
        <v>2.1209569840023188</v>
      </c>
      <c r="W22" s="1144">
        <f t="shared" si="18"/>
        <v>0.17314695624343487</v>
      </c>
      <c r="X22" s="1144">
        <f t="shared" si="6"/>
        <v>0.17314695624343487</v>
      </c>
      <c r="Y22" s="1144">
        <f t="shared" si="6"/>
        <v>0.15929519974396009</v>
      </c>
      <c r="Z22" s="1136">
        <f t="shared" si="19"/>
        <v>3.9748380436583606</v>
      </c>
      <c r="AA22" s="227">
        <f>EquipmentSpecs!J22</f>
        <v>0.27</v>
      </c>
      <c r="AB22" s="228">
        <f>EquipmentSpecs!K22</f>
        <v>1.4</v>
      </c>
      <c r="AC22" s="89">
        <f t="shared" si="7"/>
        <v>0.43166332334961155</v>
      </c>
      <c r="AD22" s="84">
        <f t="shared" si="8"/>
        <v>3.0000000000000001E-3</v>
      </c>
      <c r="AE22" s="229">
        <v>2</v>
      </c>
      <c r="AF22" s="89">
        <f t="shared" si="20"/>
        <v>0.1969559243697479</v>
      </c>
      <c r="AG22" s="229">
        <f t="shared" si="9"/>
        <v>8.58</v>
      </c>
      <c r="AH22" s="89">
        <f t="shared" si="10"/>
        <v>0.73164327731092449</v>
      </c>
      <c r="AI22" s="89">
        <f t="shared" si="11"/>
        <v>7.3164327731092452E-2</v>
      </c>
      <c r="AJ22" s="89">
        <f t="shared" si="21"/>
        <v>0.73164327731092449</v>
      </c>
      <c r="AK22" s="227">
        <f>EquipmentSpecs!L22</f>
        <v>1.04</v>
      </c>
      <c r="AL22" s="226">
        <f t="shared" si="12"/>
        <v>3.6050420168067226E-2</v>
      </c>
      <c r="AM22" s="230">
        <f t="shared" si="13"/>
        <v>0.534627731092437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14"/>
        <v>0.09</v>
      </c>
      <c r="AS22" s="437">
        <f t="shared" si="22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15"/>
        <v>0.18067437783749629</v>
      </c>
      <c r="I23" s="225">
        <f t="shared" si="1"/>
        <v>3266.6229483258967</v>
      </c>
      <c r="J23" s="89">
        <f t="shared" si="16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v>1</v>
      </c>
      <c r="T23" s="89">
        <f t="shared" si="4"/>
        <v>1.1588252203168494</v>
      </c>
      <c r="U23" s="89">
        <f t="shared" si="17"/>
        <v>75.989555598878766</v>
      </c>
      <c r="V23" s="89">
        <f t="shared" si="5"/>
        <v>3.2348495030482449</v>
      </c>
      <c r="W23" s="1144">
        <f t="shared" si="18"/>
        <v>0.21890205753353978</v>
      </c>
      <c r="X23" s="1144">
        <f t="shared" si="6"/>
        <v>0.21890205753353978</v>
      </c>
      <c r="Y23" s="1144">
        <f t="shared" si="6"/>
        <v>0.20138989293085657</v>
      </c>
      <c r="Z23" s="1136">
        <f t="shared" si="19"/>
        <v>5.0328687313630311</v>
      </c>
      <c r="AA23" s="227">
        <f>EquipmentSpecs!J23</f>
        <v>0.16</v>
      </c>
      <c r="AB23" s="228">
        <f>EquipmentSpecs!K23</f>
        <v>1.3</v>
      </c>
      <c r="AC23" s="89">
        <f t="shared" si="7"/>
        <v>0.14667565017516374</v>
      </c>
      <c r="AD23" s="84">
        <f t="shared" si="8"/>
        <v>3.0000000000000001E-3</v>
      </c>
      <c r="AE23" s="229">
        <v>2</v>
      </c>
      <c r="AF23" s="89">
        <f t="shared" si="20"/>
        <v>0.29478297213622295</v>
      </c>
      <c r="AG23" s="229">
        <f t="shared" si="9"/>
        <v>10.119999999999999</v>
      </c>
      <c r="AH23" s="89">
        <f t="shared" si="10"/>
        <v>1.0597801857585138</v>
      </c>
      <c r="AI23" s="89">
        <f t="shared" si="11"/>
        <v>0.10597801857585139</v>
      </c>
      <c r="AJ23" s="89">
        <f t="shared" si="21"/>
        <v>1.0597801857585138</v>
      </c>
      <c r="AK23" s="227">
        <f>EquipmentSpecs!L23</f>
        <v>1.04</v>
      </c>
      <c r="AL23" s="226">
        <f t="shared" si="12"/>
        <v>4.4272445820433444E-2</v>
      </c>
      <c r="AM23" s="230">
        <f t="shared" si="13"/>
        <v>0.65656037151702795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14"/>
        <v>0.09</v>
      </c>
      <c r="AS23" s="437">
        <f t="shared" si="22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15"/>
        <v>0.18067437783749629</v>
      </c>
      <c r="I24" s="225">
        <f t="shared" si="1"/>
        <v>4840.4962318171092</v>
      </c>
      <c r="J24" s="89">
        <f t="shared" si="16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 t="shared" si="3"/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v>1</v>
      </c>
      <c r="T24" s="89">
        <f t="shared" si="4"/>
        <v>2.0605827612224537</v>
      </c>
      <c r="U24" s="89">
        <f t="shared" si="17"/>
        <v>75.989555598878766</v>
      </c>
      <c r="V24" s="89">
        <f t="shared" si="5"/>
        <v>3.8818194036578944</v>
      </c>
      <c r="W24" s="1144">
        <f t="shared" si="18"/>
        <v>0.29673926083591334</v>
      </c>
      <c r="X24" s="1144">
        <f t="shared" si="6"/>
        <v>0.29673926083591334</v>
      </c>
      <c r="Y24" s="1144">
        <f t="shared" si="6"/>
        <v>0.27300011996904028</v>
      </c>
      <c r="Z24" s="1136">
        <f t="shared" si="19"/>
        <v>6.8088808065212145</v>
      </c>
      <c r="AA24" s="227">
        <f>EquipmentSpecs!J24</f>
        <v>0.16</v>
      </c>
      <c r="AB24" s="228">
        <f>EquipmentSpecs!K24</f>
        <v>1.3</v>
      </c>
      <c r="AC24" s="89">
        <f t="shared" si="7"/>
        <v>0.26240139251520117</v>
      </c>
      <c r="AD24" s="84">
        <f t="shared" si="8"/>
        <v>3.0000000000000001E-3</v>
      </c>
      <c r="AE24" s="229">
        <v>2</v>
      </c>
      <c r="AF24" s="89">
        <f t="shared" si="20"/>
        <v>0.3537395665634675</v>
      </c>
      <c r="AG24" s="229">
        <f t="shared" si="9"/>
        <v>10.119999999999999</v>
      </c>
      <c r="AH24" s="89">
        <f t="shared" si="10"/>
        <v>1.2717362229102167</v>
      </c>
      <c r="AI24" s="89">
        <f t="shared" si="11"/>
        <v>0.12717362229102167</v>
      </c>
      <c r="AJ24" s="89">
        <f t="shared" si="21"/>
        <v>1.2717362229102167</v>
      </c>
      <c r="AK24" s="227">
        <f>EquipmentSpecs!L24</f>
        <v>1.04</v>
      </c>
      <c r="AL24" s="226">
        <f t="shared" si="12"/>
        <v>5.3126934984520133E-2</v>
      </c>
      <c r="AM24" s="230">
        <f t="shared" si="13"/>
        <v>0.78787244582043359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14"/>
        <v>0.09</v>
      </c>
      <c r="AS24" s="437">
        <f t="shared" si="22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15"/>
        <v>0.18067437783749629</v>
      </c>
      <c r="I25" s="225">
        <f t="shared" si="1"/>
        <v>1161.7190956361062</v>
      </c>
      <c r="J25" s="89">
        <f t="shared" si="16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v>1</v>
      </c>
      <c r="T25" s="89">
        <f t="shared" si="4"/>
        <v>9.6675745882133443E-2</v>
      </c>
      <c r="U25" s="89">
        <f t="shared" si="17"/>
        <v>36.514461781279415</v>
      </c>
      <c r="V25" s="89">
        <f t="shared" si="5"/>
        <v>0.15193271942633152</v>
      </c>
      <c r="W25" s="1144">
        <f t="shared" si="18"/>
        <v>1.2407778924502771E-2</v>
      </c>
      <c r="X25" s="1144">
        <f t="shared" si="6"/>
        <v>1.2407778924502771E-2</v>
      </c>
      <c r="Y25" s="1144">
        <f t="shared" si="6"/>
        <v>1.141515661054255E-2</v>
      </c>
      <c r="Z25" s="1136">
        <f t="shared" si="19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7"/>
        <v>6.2988757011192475E-3</v>
      </c>
      <c r="AD25" s="84">
        <f t="shared" si="8"/>
        <v>3.0000000000000001E-3</v>
      </c>
      <c r="AE25" s="229">
        <v>2</v>
      </c>
      <c r="AF25" s="89">
        <f t="shared" si="20"/>
        <v>1.6749253280581307E-2</v>
      </c>
      <c r="AG25" s="229">
        <f t="shared" si="9"/>
        <v>7.6999999999999993</v>
      </c>
      <c r="AH25" s="89">
        <f t="shared" si="10"/>
        <v>7.8815609788038712E-2</v>
      </c>
      <c r="AI25" s="89">
        <f t="shared" si="11"/>
        <v>7.8815609788038723E-3</v>
      </c>
      <c r="AJ25" s="89">
        <f t="shared" si="21"/>
        <v>7.8815609788038712E-2</v>
      </c>
      <c r="AK25" s="227">
        <f>EquipmentSpecs!L25</f>
        <v>1.04</v>
      </c>
      <c r="AL25" s="226">
        <f t="shared" si="12"/>
        <v>4.32732732444094E-3</v>
      </c>
      <c r="AM25" s="230">
        <f t="shared" si="13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14"/>
        <v>0.09</v>
      </c>
      <c r="AS25" s="437">
        <f t="shared" si="22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15"/>
        <v>0.18067437783749629</v>
      </c>
      <c r="I26" s="225">
        <f t="shared" si="1"/>
        <v>13836.372305717214</v>
      </c>
      <c r="J26" s="89">
        <f t="shared" si="16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 t="shared" ref="N26:N40" si="23">(K26*L26*M26)/8.25</f>
        <v>20.363636363636363</v>
      </c>
      <c r="O26" s="226">
        <f t="shared" si="3"/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v>1</v>
      </c>
      <c r="T26" s="89">
        <f t="shared" si="4"/>
        <v>4.2466544465091891</v>
      </c>
      <c r="U26" s="89">
        <f t="shared" si="17"/>
        <v>75.989555598878766</v>
      </c>
      <c r="V26" s="89">
        <f t="shared" si="5"/>
        <v>3.7316299624449392</v>
      </c>
      <c r="W26" s="1144">
        <f t="shared" si="18"/>
        <v>0.39745403180803573</v>
      </c>
      <c r="X26" s="1144">
        <f t="shared" si="6"/>
        <v>0.39745403180803573</v>
      </c>
      <c r="Y26" s="1144">
        <f t="shared" si="6"/>
        <v>0.3656577092633928</v>
      </c>
      <c r="Z26" s="1136">
        <f t="shared" si="19"/>
        <v>9.1388501818335914</v>
      </c>
      <c r="AA26" s="227">
        <f>EquipmentSpecs!J26</f>
        <v>0.23</v>
      </c>
      <c r="AB26" s="228">
        <f>EquipmentSpecs!K26</f>
        <v>1.4</v>
      </c>
      <c r="AC26" s="89">
        <f t="shared" si="7"/>
        <v>1.1581697158602127</v>
      </c>
      <c r="AD26" s="84">
        <f t="shared" si="8"/>
        <v>3.0000000000000001E-3</v>
      </c>
      <c r="AE26" s="229">
        <v>2</v>
      </c>
      <c r="AF26" s="89">
        <f t="shared" si="20"/>
        <v>0.34005321428571428</v>
      </c>
      <c r="AG26" s="229">
        <f t="shared" si="9"/>
        <v>10.119999999999999</v>
      </c>
      <c r="AH26" s="89">
        <f t="shared" si="10"/>
        <v>1.2225321428571427</v>
      </c>
      <c r="AI26" s="89">
        <f t="shared" si="11"/>
        <v>0.12225321428571428</v>
      </c>
      <c r="AJ26" s="89">
        <f t="shared" si="21"/>
        <v>1.2225321428571427</v>
      </c>
      <c r="AK26" s="227">
        <f>EquipmentSpecs!L26</f>
        <v>1.04</v>
      </c>
      <c r="AL26" s="226">
        <f t="shared" si="12"/>
        <v>5.1071428571428573E-2</v>
      </c>
      <c r="AM26" s="230">
        <f t="shared" si="13"/>
        <v>0.75738928571428576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14"/>
        <v>0.09</v>
      </c>
      <c r="AS26" s="437">
        <f t="shared" si="22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 t="shared" si="15"/>
        <v>0.18067437783749629</v>
      </c>
      <c r="I27" s="225">
        <f t="shared" si="1"/>
        <v>5197.9482612436041</v>
      </c>
      <c r="J27" s="89">
        <f t="shared" si="16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 t="shared" si="23"/>
        <v>30.545454545454547</v>
      </c>
      <c r="O27" s="226">
        <f t="shared" si="3"/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v>1</v>
      </c>
      <c r="T27" s="89">
        <f t="shared" si="4"/>
        <v>1.418091043494039</v>
      </c>
      <c r="U27" s="89">
        <f t="shared" si="17"/>
        <v>75.989555598878766</v>
      </c>
      <c r="V27" s="89">
        <f t="shared" si="5"/>
        <v>2.4877533082966266</v>
      </c>
      <c r="W27" s="1144">
        <f t="shared" si="18"/>
        <v>0.19500105406746032</v>
      </c>
      <c r="X27" s="1144">
        <f t="shared" si="6"/>
        <v>0.19500105406746032</v>
      </c>
      <c r="Y27" s="1144">
        <f t="shared" si="6"/>
        <v>0.17940096974206349</v>
      </c>
      <c r="Z27" s="1136">
        <f t="shared" si="19"/>
        <v>4.4752474296676494</v>
      </c>
      <c r="AA27" s="227">
        <f>EquipmentSpecs!J27</f>
        <v>0.23</v>
      </c>
      <c r="AB27" s="228">
        <f>EquipmentSpecs!K27</f>
        <v>1.4</v>
      </c>
      <c r="AC27" s="89">
        <f t="shared" si="7"/>
        <v>0.25853251080004908</v>
      </c>
      <c r="AD27" s="84">
        <f t="shared" si="8"/>
        <v>3.0000000000000001E-3</v>
      </c>
      <c r="AE27" s="229">
        <v>2</v>
      </c>
      <c r="AF27" s="89">
        <f t="shared" si="20"/>
        <v>0.22670214285714285</v>
      </c>
      <c r="AG27" s="229">
        <f t="shared" si="9"/>
        <v>10.119999999999999</v>
      </c>
      <c r="AH27" s="89">
        <f t="shared" si="10"/>
        <v>0.81502142857142845</v>
      </c>
      <c r="AI27" s="89">
        <f t="shared" si="11"/>
        <v>8.1502142857142856E-2</v>
      </c>
      <c r="AJ27" s="89">
        <f t="shared" si="21"/>
        <v>0.81502142857142845</v>
      </c>
      <c r="AK27" s="227">
        <f>EquipmentSpecs!L27</f>
        <v>1.04</v>
      </c>
      <c r="AL27" s="226">
        <f t="shared" si="12"/>
        <v>3.4047619047619049E-2</v>
      </c>
      <c r="AM27" s="230">
        <f t="shared" si="13"/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14"/>
        <v>0.09</v>
      </c>
      <c r="AS27" s="437">
        <f t="shared" si="22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15"/>
        <v>0.18067437783749629</v>
      </c>
      <c r="I28" s="225">
        <f t="shared" si="1"/>
        <v>11438.464941647813</v>
      </c>
      <c r="J28" s="89">
        <f t="shared" si="16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si="23"/>
        <v>30.290909090909093</v>
      </c>
      <c r="O28" s="226">
        <f t="shared" si="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v>1</v>
      </c>
      <c r="T28" s="89">
        <f t="shared" si="4"/>
        <v>2.3601274451929384</v>
      </c>
      <c r="U28" s="89">
        <f t="shared" si="17"/>
        <v>75.989555598878766</v>
      </c>
      <c r="V28" s="89">
        <f t="shared" si="5"/>
        <v>2.5086587982823123</v>
      </c>
      <c r="W28" s="1144">
        <f t="shared" si="18"/>
        <v>0.24269657863145258</v>
      </c>
      <c r="X28" s="1144">
        <f t="shared" si="6"/>
        <v>0.24269657863145258</v>
      </c>
      <c r="Y28" s="1144">
        <f t="shared" si="6"/>
        <v>0.22328085234093634</v>
      </c>
      <c r="Z28" s="1136">
        <f t="shared" si="19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7"/>
        <v>0.75560820374707627</v>
      </c>
      <c r="AD28" s="84">
        <f t="shared" si="8"/>
        <v>3.0000000000000001E-3</v>
      </c>
      <c r="AE28" s="229">
        <v>2</v>
      </c>
      <c r="AF28" s="89">
        <f t="shared" si="20"/>
        <v>0.22860720288115244</v>
      </c>
      <c r="AG28" s="229">
        <f t="shared" si="9"/>
        <v>10.119999999999999</v>
      </c>
      <c r="AH28" s="89">
        <f t="shared" si="10"/>
        <v>0.82187034813925552</v>
      </c>
      <c r="AI28" s="89">
        <f t="shared" si="11"/>
        <v>8.2187034813925558E-2</v>
      </c>
      <c r="AJ28" s="89">
        <f t="shared" si="21"/>
        <v>0.82187034813925552</v>
      </c>
      <c r="AK28" s="227">
        <f>EquipmentSpecs!L28</f>
        <v>1.04</v>
      </c>
      <c r="AL28" s="226">
        <f t="shared" si="12"/>
        <v>3.4333733493397356E-2</v>
      </c>
      <c r="AM28" s="230">
        <f t="shared" si="13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14"/>
        <v>0.09</v>
      </c>
      <c r="AS28" s="437">
        <f t="shared" si="22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15"/>
        <v>0.18067437783749629</v>
      </c>
      <c r="I29" s="225">
        <f t="shared" si="1"/>
        <v>4348.9996913556797</v>
      </c>
      <c r="J29" s="89">
        <f t="shared" si="16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 t="shared" si="23"/>
        <v>25.793939393939397</v>
      </c>
      <c r="O29" s="226">
        <f t="shared" si="3"/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v>1</v>
      </c>
      <c r="T29" s="89">
        <f t="shared" si="4"/>
        <v>1.4050457179544311</v>
      </c>
      <c r="U29" s="89">
        <f t="shared" si="17"/>
        <v>75.989555598878766</v>
      </c>
      <c r="V29" s="89">
        <f t="shared" si="5"/>
        <v>2.9460236545617939</v>
      </c>
      <c r="W29" s="1144">
        <f t="shared" si="18"/>
        <v>0.2173411066729323</v>
      </c>
      <c r="X29" s="1144">
        <f t="shared" si="6"/>
        <v>0.2173411066729323</v>
      </c>
      <c r="Y29" s="1144">
        <f t="shared" si="6"/>
        <v>0.19995381813909768</v>
      </c>
      <c r="Z29" s="1136">
        <f t="shared" si="19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 t="shared" si="7"/>
        <v>0.18324814094047631</v>
      </c>
      <c r="AD29" s="84">
        <f t="shared" si="8"/>
        <v>3.0000000000000001E-3</v>
      </c>
      <c r="AE29" s="229">
        <v>2</v>
      </c>
      <c r="AF29" s="89">
        <f t="shared" si="20"/>
        <v>0.26846306390977437</v>
      </c>
      <c r="AG29" s="229">
        <f t="shared" si="9"/>
        <v>10.119999999999999</v>
      </c>
      <c r="AH29" s="89">
        <f t="shared" si="10"/>
        <v>0.96515695488721776</v>
      </c>
      <c r="AI29" s="89">
        <f t="shared" si="11"/>
        <v>9.6515695488721784E-2</v>
      </c>
      <c r="AJ29" s="89">
        <f t="shared" si="21"/>
        <v>0.96515695488721776</v>
      </c>
      <c r="AK29" s="227">
        <f>EquipmentSpecs!L29</f>
        <v>1.04</v>
      </c>
      <c r="AL29" s="226">
        <f t="shared" si="12"/>
        <v>4.0319548872180443E-2</v>
      </c>
      <c r="AM29" s="230">
        <f t="shared" si="13"/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14"/>
        <v>0.09</v>
      </c>
      <c r="AS29" s="437">
        <f t="shared" si="22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15"/>
        <v>0.18067437783749629</v>
      </c>
      <c r="I30" s="225">
        <f t="shared" si="1"/>
        <v>1830.1094706569729</v>
      </c>
      <c r="J30" s="89">
        <f t="shared" si="16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v>1</v>
      </c>
      <c r="T30" s="89">
        <f t="shared" si="4"/>
        <v>0.26884620963176686</v>
      </c>
      <c r="U30" s="89">
        <f t="shared" si="17"/>
        <v>36.514461781279415</v>
      </c>
      <c r="V30" s="89">
        <f t="shared" si="5"/>
        <v>0.64368442242639989</v>
      </c>
      <c r="W30" s="1144">
        <f t="shared" si="18"/>
        <v>4.7229634081196584E-2</v>
      </c>
      <c r="X30" s="1144">
        <f t="shared" si="18"/>
        <v>4.7229634081196584E-2</v>
      </c>
      <c r="Y30" s="1144">
        <f t="shared" si="18"/>
        <v>4.3451263354700856E-2</v>
      </c>
      <c r="Z30" s="1136">
        <f t="shared" si="19"/>
        <v>1.0504411635752609</v>
      </c>
      <c r="AA30" s="227">
        <f>EquipmentSpecs!J30</f>
        <v>0.41</v>
      </c>
      <c r="AB30" s="228">
        <f>EquipmentSpecs!K30</f>
        <v>1.3</v>
      </c>
      <c r="AC30" s="89">
        <f t="shared" si="7"/>
        <v>9.2814680584369882E-2</v>
      </c>
      <c r="AD30" s="84">
        <f t="shared" si="8"/>
        <v>3.0000000000000001E-3</v>
      </c>
      <c r="AE30" s="229">
        <v>2</v>
      </c>
      <c r="AF30" s="89">
        <f t="shared" si="20"/>
        <v>7.0960576923076918E-2</v>
      </c>
      <c r="AG30" s="229">
        <f t="shared" si="9"/>
        <v>7.6999999999999993</v>
      </c>
      <c r="AH30" s="89">
        <f t="shared" si="10"/>
        <v>0.33391346153846152</v>
      </c>
      <c r="AI30" s="89">
        <f t="shared" si="11"/>
        <v>3.3391346153846153E-2</v>
      </c>
      <c r="AJ30" s="89">
        <f t="shared" si="21"/>
        <v>0.33391346153846152</v>
      </c>
      <c r="AK30" s="227">
        <f>EquipmentSpecs!L30</f>
        <v>1.04</v>
      </c>
      <c r="AL30" s="226">
        <f t="shared" si="12"/>
        <v>1.8333333333333333E-2</v>
      </c>
      <c r="AM30" s="230">
        <f t="shared" si="13"/>
        <v>0.27188333333333331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14"/>
        <v>0.09</v>
      </c>
      <c r="AS30" s="437">
        <f t="shared" si="22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 t="shared" si="15"/>
        <v>0.18067437783749629</v>
      </c>
      <c r="I31" s="225">
        <f t="shared" si="1"/>
        <v>2393.2200770129648</v>
      </c>
      <c r="J31" s="89">
        <f t="shared" si="16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 t="shared" si="23"/>
        <v>35.927272727272729</v>
      </c>
      <c r="O31" s="226">
        <f t="shared" si="3"/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v>1</v>
      </c>
      <c r="T31" s="89">
        <f t="shared" si="4"/>
        <v>0.55510755834899239</v>
      </c>
      <c r="U31" s="89">
        <f t="shared" si="17"/>
        <v>36.514461781279415</v>
      </c>
      <c r="V31" s="89">
        <f t="shared" si="5"/>
        <v>1.0163438248837893</v>
      </c>
      <c r="W31" s="1144">
        <f t="shared" si="18"/>
        <v>8.1833143556005405E-2</v>
      </c>
      <c r="X31" s="1144">
        <f t="shared" si="18"/>
        <v>8.1833143556005405E-2</v>
      </c>
      <c r="Y31" s="1144">
        <f t="shared" si="18"/>
        <v>7.5286492071524963E-2</v>
      </c>
      <c r="Z31" s="1136">
        <f t="shared" si="19"/>
        <v>1.8104041624163174</v>
      </c>
      <c r="AA31" s="227">
        <f>EquipmentSpecs!J31</f>
        <v>0.41</v>
      </c>
      <c r="AB31" s="228">
        <f>EquipmentSpecs!K31</f>
        <v>1.3</v>
      </c>
      <c r="AC31" s="89">
        <f t="shared" si="7"/>
        <v>0.19164164817015647</v>
      </c>
      <c r="AD31" s="84">
        <f t="shared" si="8"/>
        <v>3.0000000000000001E-3</v>
      </c>
      <c r="AE31" s="229">
        <v>2</v>
      </c>
      <c r="AF31" s="89">
        <f t="shared" si="20"/>
        <v>0.11204301619433199</v>
      </c>
      <c r="AG31" s="229">
        <f t="shared" si="9"/>
        <v>7.6999999999999993</v>
      </c>
      <c r="AH31" s="89">
        <f t="shared" si="10"/>
        <v>0.52723178137651816</v>
      </c>
      <c r="AI31" s="89">
        <f t="shared" si="11"/>
        <v>5.2723178137651816E-2</v>
      </c>
      <c r="AJ31" s="89">
        <f t="shared" si="21"/>
        <v>0.52723178137651816</v>
      </c>
      <c r="AK31" s="227">
        <f>EquipmentSpecs!L31</f>
        <v>1.04</v>
      </c>
      <c r="AL31" s="226">
        <f t="shared" si="12"/>
        <v>2.8947368421052631E-2</v>
      </c>
      <c r="AM31" s="230">
        <f t="shared" si="13"/>
        <v>0.4292894736842105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14"/>
        <v>0.09</v>
      </c>
      <c r="AS31" s="437">
        <f t="shared" si="22"/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15"/>
        <v>0.18067437783749629</v>
      </c>
      <c r="I32" s="225">
        <f t="shared" si="1"/>
        <v>1248.6591297431053</v>
      </c>
      <c r="J32" s="89">
        <f t="shared" si="16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v>1</v>
      </c>
      <c r="T32" s="89">
        <f t="shared" si="4"/>
        <v>0.52419284654898324</v>
      </c>
      <c r="U32" s="89">
        <f t="shared" si="17"/>
        <v>61.186395417279016</v>
      </c>
      <c r="V32" s="89">
        <f t="shared" si="5"/>
        <v>4.1098128409733512</v>
      </c>
      <c r="W32" s="1144">
        <f t="shared" si="18"/>
        <v>0.2317653982419092</v>
      </c>
      <c r="X32" s="1144">
        <f t="shared" si="18"/>
        <v>0.2317653982419092</v>
      </c>
      <c r="Y32" s="1144">
        <f t="shared" si="18"/>
        <v>0.21322416638255648</v>
      </c>
      <c r="Z32" s="1136">
        <f t="shared" si="19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7"/>
        <v>9.6438740790394481E-2</v>
      </c>
      <c r="AD32" s="84">
        <f t="shared" si="8"/>
        <v>3.0000000000000001E-3</v>
      </c>
      <c r="AE32" s="229">
        <v>2</v>
      </c>
      <c r="AF32" s="89">
        <f t="shared" si="20"/>
        <v>0.38164469774068793</v>
      </c>
      <c r="AG32" s="229">
        <f t="shared" si="9"/>
        <v>8.58</v>
      </c>
      <c r="AH32" s="89">
        <f t="shared" si="10"/>
        <v>1.4177170771422756</v>
      </c>
      <c r="AI32" s="89">
        <f t="shared" si="11"/>
        <v>0.14177170771422756</v>
      </c>
      <c r="AJ32" s="89">
        <f t="shared" si="21"/>
        <v>1.4177170771422756</v>
      </c>
      <c r="AK32" s="227">
        <f>EquipmentSpecs!L32</f>
        <v>1.04</v>
      </c>
      <c r="AL32" s="226">
        <f t="shared" si="12"/>
        <v>6.9855485446773863E-2</v>
      </c>
      <c r="AM32" s="230">
        <f t="shared" si="13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14"/>
        <v>0.09</v>
      </c>
      <c r="AS32" s="437">
        <f t="shared" si="22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15"/>
        <v>0.18067437783749629</v>
      </c>
      <c r="I33" s="225">
        <f t="shared" si="1"/>
        <v>1983.108738505402</v>
      </c>
      <c r="J33" s="89">
        <f t="shared" si="16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v>1</v>
      </c>
      <c r="T33" s="89">
        <f t="shared" si="4"/>
        <v>0.77907843298426505</v>
      </c>
      <c r="U33" s="89">
        <f t="shared" si="17"/>
        <v>61.186395417279016</v>
      </c>
      <c r="V33" s="89">
        <f t="shared" si="5"/>
        <v>2.4037512485359613</v>
      </c>
      <c r="W33" s="1144">
        <f t="shared" si="18"/>
        <v>0.16170554910714285</v>
      </c>
      <c r="X33" s="1144">
        <f t="shared" si="18"/>
        <v>0.16170554910714285</v>
      </c>
      <c r="Y33" s="1144">
        <f t="shared" si="18"/>
        <v>0.14876910517857145</v>
      </c>
      <c r="Z33" s="1136">
        <f t="shared" si="19"/>
        <v>3.6550098849130834</v>
      </c>
      <c r="AA33" s="227">
        <f>EquipmentSpecs!J33</f>
        <v>0.63</v>
      </c>
      <c r="AB33" s="228">
        <f>EquipmentSpecs!K33</f>
        <v>1.3</v>
      </c>
      <c r="AC33" s="89">
        <f t="shared" si="7"/>
        <v>0.31788323161521448</v>
      </c>
      <c r="AD33" s="84">
        <f t="shared" si="8"/>
        <v>3.0000000000000001E-3</v>
      </c>
      <c r="AE33" s="229">
        <v>2</v>
      </c>
      <c r="AF33" s="89">
        <f t="shared" si="20"/>
        <v>0.22321671428571427</v>
      </c>
      <c r="AG33" s="229">
        <f t="shared" si="9"/>
        <v>8.58</v>
      </c>
      <c r="AH33" s="89">
        <f t="shared" si="10"/>
        <v>0.82919571428571426</v>
      </c>
      <c r="AI33" s="89">
        <f t="shared" si="11"/>
        <v>8.2919571428571426E-2</v>
      </c>
      <c r="AJ33" s="89">
        <f t="shared" si="21"/>
        <v>0.82919571428571426</v>
      </c>
      <c r="AK33" s="227">
        <f>EquipmentSpecs!L33</f>
        <v>1.33</v>
      </c>
      <c r="AL33" s="226">
        <f t="shared" si="12"/>
        <v>5.2250000000000005E-2</v>
      </c>
      <c r="AM33" s="230">
        <f t="shared" si="13"/>
        <v>0.77486750000000004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14"/>
        <v>0.09</v>
      </c>
      <c r="AS33" s="437">
        <f t="shared" si="22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15"/>
        <v>0.18067437783749629</v>
      </c>
      <c r="I34" s="225">
        <f t="shared" si="1"/>
        <v>3851.0187968796122</v>
      </c>
      <c r="J34" s="89">
        <f t="shared" si="16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v>1</v>
      </c>
      <c r="T34" s="89">
        <f t="shared" si="4"/>
        <v>0.8782315644144405</v>
      </c>
      <c r="U34" s="89">
        <f t="shared" si="17"/>
        <v>75.989555598878766</v>
      </c>
      <c r="V34" s="89">
        <f t="shared" si="5"/>
        <v>2.772728145469924</v>
      </c>
      <c r="W34" s="1144">
        <f t="shared" si="18"/>
        <v>0.18200638890424592</v>
      </c>
      <c r="X34" s="1144">
        <f t="shared" si="18"/>
        <v>0.18200638890424592</v>
      </c>
      <c r="Y34" s="1144">
        <f t="shared" si="18"/>
        <v>0.1674458777919062</v>
      </c>
      <c r="Z34" s="1136">
        <f t="shared" si="19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7"/>
        <v>0.27946939937109178</v>
      </c>
      <c r="AD34" s="84">
        <f t="shared" si="8"/>
        <v>3.0000000000000001E-3</v>
      </c>
      <c r="AE34" s="229">
        <v>2</v>
      </c>
      <c r="AF34" s="89">
        <f t="shared" si="20"/>
        <v>0.25267111897390537</v>
      </c>
      <c r="AG34" s="229">
        <f t="shared" si="9"/>
        <v>10.119999999999999</v>
      </c>
      <c r="AH34" s="89">
        <f t="shared" si="10"/>
        <v>0.90838301636444041</v>
      </c>
      <c r="AI34" s="89">
        <f t="shared" si="11"/>
        <v>9.0838301636444047E-2</v>
      </c>
      <c r="AJ34" s="89">
        <f t="shared" si="21"/>
        <v>0.90838301636444041</v>
      </c>
      <c r="AK34" s="227">
        <f>EquipmentSpecs!L34</f>
        <v>1.04</v>
      </c>
      <c r="AL34" s="226">
        <f t="shared" si="12"/>
        <v>3.7947810703228661E-2</v>
      </c>
      <c r="AM34" s="230">
        <f t="shared" si="13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14"/>
        <v>0.09</v>
      </c>
      <c r="AS34" s="437">
        <f t="shared" si="22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15"/>
        <v>0.18067437783749629</v>
      </c>
      <c r="I35" s="225">
        <f t="shared" si="1"/>
        <v>12669.988643009812</v>
      </c>
      <c r="J35" s="89">
        <f t="shared" si="16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v>1</v>
      </c>
      <c r="T35" s="89">
        <f t="shared" si="4"/>
        <v>4.6531074743959646</v>
      </c>
      <c r="U35" s="89">
        <f t="shared" si="17"/>
        <v>61.186395417279016</v>
      </c>
      <c r="V35" s="89">
        <f t="shared" si="5"/>
        <v>3.5953544315708821</v>
      </c>
      <c r="W35" s="1144">
        <f t="shared" si="18"/>
        <v>0.43897536057692299</v>
      </c>
      <c r="X35" s="1144">
        <f t="shared" si="18"/>
        <v>0.43897536057692299</v>
      </c>
      <c r="Y35" s="1144">
        <f t="shared" si="18"/>
        <v>0.40385733173076915</v>
      </c>
      <c r="Z35" s="1136">
        <f t="shared" si="19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7"/>
        <v>2.2202930276740491</v>
      </c>
      <c r="AD35" s="84">
        <f t="shared" si="8"/>
        <v>3.0000000000000001E-3</v>
      </c>
      <c r="AE35" s="229">
        <v>2</v>
      </c>
      <c r="AF35" s="89">
        <f t="shared" si="20"/>
        <v>0.33387115384615379</v>
      </c>
      <c r="AG35" s="229">
        <f t="shared" si="9"/>
        <v>8.58</v>
      </c>
      <c r="AH35" s="89">
        <f t="shared" si="10"/>
        <v>1.2402499999999999</v>
      </c>
      <c r="AI35" s="89">
        <f t="shared" si="11"/>
        <v>0.124025</v>
      </c>
      <c r="AJ35" s="89">
        <f t="shared" si="21"/>
        <v>1.2402499999999999</v>
      </c>
      <c r="AK35" s="227">
        <f>EquipmentSpecs!L35</f>
        <v>1.1599999999999999</v>
      </c>
      <c r="AL35" s="226">
        <f t="shared" si="12"/>
        <v>6.8162393162393142E-2</v>
      </c>
      <c r="AM35" s="230">
        <f t="shared" si="13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14"/>
        <v>0.09</v>
      </c>
      <c r="AS35" s="437">
        <f t="shared" si="22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15"/>
        <v>0.18067437783749629</v>
      </c>
      <c r="I36" s="225">
        <f t="shared" si="1"/>
        <v>21116.647738349689</v>
      </c>
      <c r="J36" s="89">
        <f t="shared" si="16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v>1</v>
      </c>
      <c r="T36" s="89">
        <f t="shared" si="4"/>
        <v>7.7551791239932744</v>
      </c>
      <c r="U36" s="89">
        <f t="shared" si="17"/>
        <v>75.989555598878766</v>
      </c>
      <c r="V36" s="89">
        <f t="shared" si="5"/>
        <v>4.465198245660611</v>
      </c>
      <c r="W36" s="1144">
        <f t="shared" si="18"/>
        <v>0.65503104967948711</v>
      </c>
      <c r="X36" s="1144">
        <f t="shared" si="18"/>
        <v>0.65503104967948711</v>
      </c>
      <c r="Y36" s="1144">
        <f t="shared" si="18"/>
        <v>0.60262856570512802</v>
      </c>
      <c r="Z36" s="1136">
        <f t="shared" si="19"/>
        <v>14.133068034717988</v>
      </c>
      <c r="AA36" s="227">
        <f>EquipmentSpecs!J36</f>
        <v>0.32</v>
      </c>
      <c r="AB36" s="228">
        <f>EquipmentSpecs!K36</f>
        <v>2.1</v>
      </c>
      <c r="AC36" s="89">
        <f t="shared" si="7"/>
        <v>3.7004883794567482</v>
      </c>
      <c r="AD36" s="84">
        <f t="shared" si="8"/>
        <v>3.0000000000000001E-3</v>
      </c>
      <c r="AE36" s="229">
        <v>2</v>
      </c>
      <c r="AF36" s="89">
        <f t="shared" si="20"/>
        <v>0.40690128205128201</v>
      </c>
      <c r="AG36" s="229">
        <f t="shared" si="9"/>
        <v>10.119999999999999</v>
      </c>
      <c r="AH36" s="89">
        <f t="shared" si="10"/>
        <v>1.4628589743589742</v>
      </c>
      <c r="AI36" s="89">
        <f t="shared" si="11"/>
        <v>0.14628589743589743</v>
      </c>
      <c r="AJ36" s="89">
        <f t="shared" si="21"/>
        <v>1.4628589743589742</v>
      </c>
      <c r="AK36" s="227">
        <f>EquipmentSpecs!L36</f>
        <v>1.1599999999999999</v>
      </c>
      <c r="AL36" s="226">
        <f t="shared" si="12"/>
        <v>6.8162393162393142E-2</v>
      </c>
      <c r="AM36" s="230">
        <f t="shared" si="13"/>
        <v>1.0108482905982903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14"/>
        <v>0.09</v>
      </c>
      <c r="AS36" s="437">
        <f t="shared" si="22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15"/>
        <v>0.18067437783749629</v>
      </c>
      <c r="I37" s="225">
        <f t="shared" si="1"/>
        <v>14922.43106843378</v>
      </c>
      <c r="J37" s="89">
        <f t="shared" si="16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v>1</v>
      </c>
      <c r="T37" s="89">
        <f t="shared" si="4"/>
        <v>6.6617995841222237</v>
      </c>
      <c r="U37" s="89">
        <f t="shared" si="17"/>
        <v>75.989555598878766</v>
      </c>
      <c r="V37" s="89">
        <f t="shared" si="5"/>
        <v>5.4278253999199126</v>
      </c>
      <c r="W37" s="1144">
        <f t="shared" si="18"/>
        <v>0.64254017857142864</v>
      </c>
      <c r="X37" s="1144">
        <f t="shared" si="18"/>
        <v>0.64254017857142864</v>
      </c>
      <c r="Y37" s="1144">
        <f t="shared" si="18"/>
        <v>0.59113696428571427</v>
      </c>
      <c r="Z37" s="1136">
        <f t="shared" si="19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7"/>
        <v>3.17876757624399</v>
      </c>
      <c r="AD37" s="84">
        <f t="shared" si="8"/>
        <v>3.0000000000000001E-3</v>
      </c>
      <c r="AE37" s="229">
        <v>2</v>
      </c>
      <c r="AF37" s="89">
        <f t="shared" si="20"/>
        <v>0.4946228571428572</v>
      </c>
      <c r="AG37" s="229">
        <f t="shared" si="9"/>
        <v>10.119999999999999</v>
      </c>
      <c r="AH37" s="89">
        <f t="shared" si="10"/>
        <v>1.7782285714285715</v>
      </c>
      <c r="AI37" s="89">
        <f t="shared" si="11"/>
        <v>0.17782285714285717</v>
      </c>
      <c r="AJ37" s="89">
        <f t="shared" si="21"/>
        <v>1.7782285714285715</v>
      </c>
      <c r="AK37" s="227">
        <f>EquipmentSpecs!L37</f>
        <v>1.1100000000000001</v>
      </c>
      <c r="AL37" s="226">
        <f t="shared" si="12"/>
        <v>7.9285714285714307E-2</v>
      </c>
      <c r="AM37" s="230">
        <f t="shared" si="13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14"/>
        <v>0.09</v>
      </c>
      <c r="AS37" s="437">
        <f t="shared" si="22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15"/>
        <v>0.18067437783749629</v>
      </c>
      <c r="I38" s="225">
        <f t="shared" si="1"/>
        <v>29281.751530511567</v>
      </c>
      <c r="J38" s="89">
        <f t="shared" si="16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 t="shared" si="23"/>
        <v>24.945454545454542</v>
      </c>
      <c r="O38" s="226">
        <f t="shared" si="3"/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v>1</v>
      </c>
      <c r="T38" s="89">
        <f t="shared" si="4"/>
        <v>7.3364446710009856</v>
      </c>
      <c r="U38" s="89">
        <f t="shared" si="17"/>
        <v>75.989555598878766</v>
      </c>
      <c r="V38" s="89">
        <f t="shared" si="5"/>
        <v>3.0462285407713798</v>
      </c>
      <c r="W38" s="1144">
        <f t="shared" si="18"/>
        <v>0.56058309037900889</v>
      </c>
      <c r="X38" s="1144">
        <f t="shared" si="18"/>
        <v>0.56058309037900889</v>
      </c>
      <c r="Y38" s="1144">
        <f t="shared" si="18"/>
        <v>0.51573644314868816</v>
      </c>
      <c r="Z38" s="1136">
        <f t="shared" si="19"/>
        <v>12.019575835679071</v>
      </c>
      <c r="AA38" s="227">
        <f>EquipmentSpecs!J38</f>
        <v>0.32</v>
      </c>
      <c r="AB38" s="228">
        <f>EquipmentSpecs!K38</f>
        <v>2.1</v>
      </c>
      <c r="AC38" s="89">
        <f t="shared" si="7"/>
        <v>3.5006835841578026</v>
      </c>
      <c r="AD38" s="84">
        <f t="shared" si="8"/>
        <v>3.0000000000000001E-3</v>
      </c>
      <c r="AE38" s="229">
        <v>2</v>
      </c>
      <c r="AF38" s="89">
        <f t="shared" si="20"/>
        <v>0.27759446064139948</v>
      </c>
      <c r="AG38" s="229">
        <f t="shared" si="9"/>
        <v>10.119999999999999</v>
      </c>
      <c r="AH38" s="89">
        <f t="shared" si="10"/>
        <v>0.99798542274052493</v>
      </c>
      <c r="AI38" s="89">
        <f t="shared" si="11"/>
        <v>9.9798542274052493E-2</v>
      </c>
      <c r="AJ38" s="89">
        <f t="shared" si="21"/>
        <v>0.99798542274052493</v>
      </c>
      <c r="AK38" s="227">
        <f>EquipmentSpecs!L38</f>
        <v>1.1100000000000001</v>
      </c>
      <c r="AL38" s="226">
        <f t="shared" si="12"/>
        <v>4.449708454810497E-2</v>
      </c>
      <c r="AM38" s="230">
        <f t="shared" si="13"/>
        <v>0.65989176384839676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14"/>
        <v>0.09</v>
      </c>
      <c r="AS38" s="437">
        <f t="shared" si="22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15"/>
        <v>0.18067437783749629</v>
      </c>
      <c r="I39" s="225">
        <f t="shared" si="1"/>
        <v>2904.2977390902656</v>
      </c>
      <c r="J39" s="89">
        <f t="shared" si="16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v>1</v>
      </c>
      <c r="T39" s="89">
        <f t="shared" si="4"/>
        <v>0.80838246786419343</v>
      </c>
      <c r="U39" s="89">
        <f t="shared" si="17"/>
        <v>75.989555598878766</v>
      </c>
      <c r="V39" s="89">
        <f t="shared" si="5"/>
        <v>2.5381126870070845</v>
      </c>
      <c r="W39" s="1144">
        <f t="shared" si="18"/>
        <v>0.16733596912955467</v>
      </c>
      <c r="X39" s="1144">
        <f t="shared" si="18"/>
        <v>0.16733596912955467</v>
      </c>
      <c r="Y39" s="1144">
        <f t="shared" si="18"/>
        <v>0.15394909159919029</v>
      </c>
      <c r="Z39" s="1136">
        <f t="shared" si="19"/>
        <v>3.8351161847295776</v>
      </c>
      <c r="AA39" s="227">
        <f>EquipmentSpecs!J39</f>
        <v>0.41</v>
      </c>
      <c r="AB39" s="228">
        <f>EquipmentSpecs!K39</f>
        <v>1.3</v>
      </c>
      <c r="AC39" s="89">
        <f t="shared" si="7"/>
        <v>0.26378909218715652</v>
      </c>
      <c r="AD39" s="84">
        <f t="shared" si="8"/>
        <v>3.0000000000000001E-3</v>
      </c>
      <c r="AE39" s="229">
        <v>2</v>
      </c>
      <c r="AF39" s="89">
        <f t="shared" si="20"/>
        <v>0.23129125506072876</v>
      </c>
      <c r="AG39" s="229">
        <f t="shared" si="9"/>
        <v>10.119999999999999</v>
      </c>
      <c r="AH39" s="89">
        <f t="shared" si="10"/>
        <v>0.83151983805668017</v>
      </c>
      <c r="AI39" s="89">
        <f t="shared" si="11"/>
        <v>8.3151983805668017E-2</v>
      </c>
      <c r="AJ39" s="89">
        <f t="shared" si="21"/>
        <v>0.83151983805668017</v>
      </c>
      <c r="AK39" s="227">
        <f>EquipmentSpecs!L39</f>
        <v>1.33</v>
      </c>
      <c r="AL39" s="226">
        <f t="shared" si="12"/>
        <v>4.4423076923076926E-2</v>
      </c>
      <c r="AM39" s="230">
        <f t="shared" si="13"/>
        <v>0.65879423076923083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14"/>
        <v>0.09</v>
      </c>
      <c r="AS39" s="437">
        <f t="shared" si="22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15"/>
        <v>0.18067437783749629</v>
      </c>
      <c r="I40" s="225">
        <f t="shared" si="1"/>
        <v>6851.1638973411391</v>
      </c>
      <c r="J40" s="89">
        <f t="shared" si="16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v>1</v>
      </c>
      <c r="T40" s="89">
        <f t="shared" si="4"/>
        <v>2.7242193056229227</v>
      </c>
      <c r="U40" s="89">
        <f t="shared" si="17"/>
        <v>75.989555598878766</v>
      </c>
      <c r="V40" s="89">
        <f t="shared" si="5"/>
        <v>3.6258752671529777</v>
      </c>
      <c r="W40" s="1144">
        <f t="shared" si="18"/>
        <v>0.3167629410063621</v>
      </c>
      <c r="X40" s="1144">
        <f t="shared" si="18"/>
        <v>0.3167629410063621</v>
      </c>
      <c r="Y40" s="1144">
        <f t="shared" si="18"/>
        <v>0.29142190572585314</v>
      </c>
      <c r="Z40" s="1136">
        <f t="shared" si="19"/>
        <v>7.2750423605144769</v>
      </c>
      <c r="AA40" s="227">
        <f>EquipmentSpecs!J40</f>
        <v>0.41</v>
      </c>
      <c r="AB40" s="228">
        <f>EquipmentSpecs!K40</f>
        <v>1.3</v>
      </c>
      <c r="AC40" s="89">
        <f t="shared" si="7"/>
        <v>0.88895957806660808</v>
      </c>
      <c r="AD40" s="84">
        <f t="shared" si="8"/>
        <v>3.0000000000000001E-3</v>
      </c>
      <c r="AE40" s="229">
        <v>2</v>
      </c>
      <c r="AF40" s="89">
        <f t="shared" si="20"/>
        <v>0.33041607865818395</v>
      </c>
      <c r="AG40" s="229">
        <f t="shared" si="9"/>
        <v>10.119999999999999</v>
      </c>
      <c r="AH40" s="89">
        <f t="shared" si="10"/>
        <v>1.1878854829381145</v>
      </c>
      <c r="AI40" s="89">
        <f t="shared" si="11"/>
        <v>0.11878854829381146</v>
      </c>
      <c r="AJ40" s="89">
        <f t="shared" si="21"/>
        <v>1.1878854829381145</v>
      </c>
      <c r="AK40" s="227">
        <f>EquipmentSpecs!L40</f>
        <v>1.33</v>
      </c>
      <c r="AL40" s="226">
        <f t="shared" si="12"/>
        <v>6.3461538461538472E-2</v>
      </c>
      <c r="AM40" s="230">
        <f t="shared" si="13"/>
        <v>0.94113461538461551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14"/>
        <v>0.09</v>
      </c>
      <c r="AS40" s="437">
        <f t="shared" si="22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15"/>
        <v>0.18067437783749629</v>
      </c>
      <c r="I41" s="225">
        <f t="shared" si="1"/>
        <v>1169.6774762902319</v>
      </c>
      <c r="J41" s="89">
        <f t="shared" si="16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v>1</v>
      </c>
      <c r="T41" s="89">
        <f t="shared" si="4"/>
        <v>2.3361126018156182</v>
      </c>
      <c r="U41" s="89">
        <f t="shared" si="17"/>
        <v>36.514461781279415</v>
      </c>
      <c r="V41" s="89">
        <f t="shared" si="5"/>
        <v>1.8231926331159782</v>
      </c>
      <c r="W41" s="1144">
        <f t="shared" si="18"/>
        <v>0.21480187095859524</v>
      </c>
      <c r="X41" s="1144">
        <f t="shared" si="18"/>
        <v>0.21480187095859524</v>
      </c>
      <c r="Y41" s="1144">
        <f t="shared" si="18"/>
        <v>0.19761772128190763</v>
      </c>
      <c r="Z41" s="1136">
        <f t="shared" si="19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7"/>
        <v>3.9928376683300543E-2</v>
      </c>
      <c r="AD41" s="84">
        <f t="shared" si="8"/>
        <v>3.0000000000000001E-3</v>
      </c>
      <c r="AE41" s="229">
        <v>2</v>
      </c>
      <c r="AF41" s="89">
        <f t="shared" si="20"/>
        <v>0.20099103936697565</v>
      </c>
      <c r="AG41" s="229">
        <f t="shared" si="9"/>
        <v>7.6999999999999993</v>
      </c>
      <c r="AH41" s="89">
        <f t="shared" si="10"/>
        <v>0.94578731745646449</v>
      </c>
      <c r="AI41" s="89">
        <f t="shared" si="11"/>
        <v>9.457873174564646E-2</v>
      </c>
      <c r="AJ41" s="89">
        <f t="shared" si="21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13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14"/>
        <v>0.09</v>
      </c>
      <c r="AS41" s="437">
        <f t="shared" si="22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15"/>
        <v>0.18067437783749629</v>
      </c>
      <c r="I42" s="225">
        <f t="shared" si="1"/>
        <v>3533.5190548838477</v>
      </c>
      <c r="J42" s="89">
        <f t="shared" si="16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v>1</v>
      </c>
      <c r="T42" s="89">
        <f t="shared" si="4"/>
        <v>1.4050285426446762</v>
      </c>
      <c r="U42" s="89">
        <f t="shared" si="17"/>
        <v>36.514461781279415</v>
      </c>
      <c r="V42" s="89">
        <f t="shared" si="5"/>
        <v>1.7423036998007819</v>
      </c>
      <c r="W42" s="1144">
        <f t="shared" si="18"/>
        <v>0.16548808921341818</v>
      </c>
      <c r="X42" s="1144">
        <f t="shared" si="18"/>
        <v>0.16548808921341818</v>
      </c>
      <c r="Y42" s="1144">
        <f t="shared" si="18"/>
        <v>0.15224904207634471</v>
      </c>
      <c r="Z42" s="1136">
        <f t="shared" si="19"/>
        <v>3.630557462948639</v>
      </c>
      <c r="AA42" s="227">
        <f>EquipmentSpecs!J42</f>
        <v>0.41</v>
      </c>
      <c r="AB42" s="228">
        <f>EquipmentSpecs!K42</f>
        <v>1.3</v>
      </c>
      <c r="AC42" s="89">
        <f t="shared" si="7"/>
        <v>0.48506272629286667</v>
      </c>
      <c r="AD42" s="84">
        <f t="shared" si="8"/>
        <v>3.0000000000000001E-3</v>
      </c>
      <c r="AE42" s="229">
        <v>2</v>
      </c>
      <c r="AF42" s="89">
        <f t="shared" si="20"/>
        <v>0.19207374204742628</v>
      </c>
      <c r="AG42" s="229">
        <f t="shared" si="9"/>
        <v>7.6999999999999993</v>
      </c>
      <c r="AH42" s="89">
        <f t="shared" si="10"/>
        <v>0.90382591093117404</v>
      </c>
      <c r="AI42" s="89">
        <f t="shared" si="11"/>
        <v>9.0382591093117415E-2</v>
      </c>
      <c r="AJ42" s="89">
        <f t="shared" si="21"/>
        <v>0.90382591093117404</v>
      </c>
      <c r="AK42" s="227">
        <f>EquipmentSpecs!L42</f>
        <v>1.04</v>
      </c>
      <c r="AL42" s="226">
        <f t="shared" si="12"/>
        <v>4.9624060150375945E-2</v>
      </c>
      <c r="AM42" s="230">
        <f t="shared" si="13"/>
        <v>0.73592481203007531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14"/>
        <v>0.09</v>
      </c>
      <c r="AS42" s="437">
        <f t="shared" si="22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15"/>
        <v>0.18067437783749629</v>
      </c>
      <c r="I43" s="225">
        <f t="shared" si="1"/>
        <v>1304.6999074067039</v>
      </c>
      <c r="J43" s="89">
        <f t="shared" si="16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v>1</v>
      </c>
      <c r="T43" s="89">
        <f t="shared" si="4"/>
        <v>0.16503293481663892</v>
      </c>
      <c r="U43" s="89">
        <f t="shared" si="17"/>
        <v>36.514461781279415</v>
      </c>
      <c r="V43" s="89">
        <f t="shared" si="5"/>
        <v>0.46187546705604798</v>
      </c>
      <c r="W43" s="1144">
        <f t="shared" si="18"/>
        <v>3.133880406780068E-2</v>
      </c>
      <c r="X43" s="1144">
        <f t="shared" si="18"/>
        <v>3.133880406780068E-2</v>
      </c>
      <c r="Y43" s="1144">
        <f t="shared" si="18"/>
        <v>2.8831699742376621E-2</v>
      </c>
      <c r="Z43" s="1136">
        <f t="shared" si="19"/>
        <v>0.71841770975066488</v>
      </c>
      <c r="AA43" s="227">
        <f>EquipmentSpecs!J43</f>
        <v>0.28000000000000003</v>
      </c>
      <c r="AB43" s="228">
        <f>EquipmentSpecs!K43</f>
        <v>1.4</v>
      </c>
      <c r="AC43" s="89">
        <f t="shared" si="7"/>
        <v>2.8376453984312596E-2</v>
      </c>
      <c r="AD43" s="84">
        <f t="shared" si="8"/>
        <v>3.0000000000000001E-3</v>
      </c>
      <c r="AE43" s="229">
        <v>2</v>
      </c>
      <c r="AF43" s="89">
        <f t="shared" si="20"/>
        <v>5.0917729972967188E-2</v>
      </c>
      <c r="AG43" s="229">
        <f t="shared" si="9"/>
        <v>7.6999999999999993</v>
      </c>
      <c r="AH43" s="89">
        <f t="shared" si="10"/>
        <v>0.23959945375563776</v>
      </c>
      <c r="AI43" s="89">
        <f t="shared" si="11"/>
        <v>2.3959945375563778E-2</v>
      </c>
      <c r="AJ43" s="89">
        <f t="shared" si="21"/>
        <v>0.23959945375563776</v>
      </c>
      <c r="AK43" s="227">
        <f>EquipmentSpecs!L43</f>
        <v>1.04</v>
      </c>
      <c r="AL43" s="226">
        <f t="shared" si="12"/>
        <v>1.315507506630046E-2</v>
      </c>
      <c r="AM43" s="230">
        <f t="shared" si="13"/>
        <v>0.19508976323323582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14"/>
        <v>0.09</v>
      </c>
      <c r="AS43" s="437">
        <f t="shared" si="22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15"/>
        <v>0.18067437783749629</v>
      </c>
      <c r="I44" s="225">
        <f t="shared" si="1"/>
        <v>1787.260147132471</v>
      </c>
      <c r="J44" s="89">
        <f t="shared" si="16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v>1</v>
      </c>
      <c r="T44" s="89">
        <f t="shared" si="4"/>
        <v>0.24573099287766362</v>
      </c>
      <c r="U44" s="89">
        <f t="shared" si="17"/>
        <v>36.514461781279415</v>
      </c>
      <c r="V44" s="89">
        <f t="shared" si="5"/>
        <v>0.5020385511478781</v>
      </c>
      <c r="W44" s="1144">
        <f t="shared" si="18"/>
        <v>3.7349248973249573E-2</v>
      </c>
      <c r="X44" s="1144">
        <f t="shared" si="18"/>
        <v>3.7349248973249573E-2</v>
      </c>
      <c r="Y44" s="1144">
        <f t="shared" si="18"/>
        <v>3.4361309055389602E-2</v>
      </c>
      <c r="Z44" s="1136">
        <f t="shared" si="19"/>
        <v>0.85682935102743052</v>
      </c>
      <c r="AA44" s="227">
        <f>EquipmentSpecs!J44</f>
        <v>0.28000000000000003</v>
      </c>
      <c r="AB44" s="228">
        <f>EquipmentSpecs!K44</f>
        <v>1.4</v>
      </c>
      <c r="AC44" s="89">
        <f t="shared" si="7"/>
        <v>4.2252016057642325E-2</v>
      </c>
      <c r="AD44" s="84">
        <f t="shared" si="8"/>
        <v>3.0000000000000001E-3</v>
      </c>
      <c r="AE44" s="229">
        <v>2</v>
      </c>
      <c r="AF44" s="89">
        <f t="shared" si="20"/>
        <v>5.5345358666268663E-2</v>
      </c>
      <c r="AG44" s="229">
        <f t="shared" si="9"/>
        <v>7.6999999999999993</v>
      </c>
      <c r="AH44" s="89">
        <f t="shared" si="10"/>
        <v>0.26043418886482361</v>
      </c>
      <c r="AI44" s="89">
        <f t="shared" si="11"/>
        <v>2.6043418886482362E-2</v>
      </c>
      <c r="AJ44" s="89">
        <f t="shared" si="21"/>
        <v>0.26043418886482361</v>
      </c>
      <c r="AK44" s="227">
        <f>EquipmentSpecs!L44</f>
        <v>1.04</v>
      </c>
      <c r="AL44" s="226">
        <f t="shared" si="12"/>
        <v>1.4298994637283105E-2</v>
      </c>
      <c r="AM44" s="230">
        <f t="shared" si="13"/>
        <v>0.21205409047090845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14"/>
        <v>0.09</v>
      </c>
      <c r="AS44" s="437">
        <f t="shared" si="22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15"/>
        <v>0.18067437783749629</v>
      </c>
      <c r="I45" s="225">
        <f t="shared" si="1"/>
        <v>921.92835922916629</v>
      </c>
      <c r="J45" s="89">
        <f t="shared" si="16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 t="shared" si="3"/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v>1</v>
      </c>
      <c r="T45" s="89">
        <f t="shared" si="4"/>
        <v>5.8307869093321633E-2</v>
      </c>
      <c r="U45" s="89">
        <f t="shared" si="17"/>
        <v>36.514461781279415</v>
      </c>
      <c r="V45" s="89">
        <f t="shared" si="5"/>
        <v>0.23093773352802399</v>
      </c>
      <c r="W45" s="1144">
        <f t="shared" si="18"/>
        <v>1.4470661629872011E-2</v>
      </c>
      <c r="X45" s="1144">
        <f t="shared" si="18"/>
        <v>1.4470661629872011E-2</v>
      </c>
      <c r="Y45" s="1144">
        <f t="shared" si="18"/>
        <v>1.3313008699482249E-2</v>
      </c>
      <c r="Z45" s="1136">
        <f t="shared" si="19"/>
        <v>0.33149993458057192</v>
      </c>
      <c r="AA45" s="227">
        <f>EquipmentSpecs!J45</f>
        <v>0.28000000000000003</v>
      </c>
      <c r="AB45" s="228">
        <f>EquipmentSpecs!K45</f>
        <v>1.4</v>
      </c>
      <c r="AC45" s="89">
        <f t="shared" si="7"/>
        <v>1.00256992102109E-2</v>
      </c>
      <c r="AD45" s="84">
        <f t="shared" si="8"/>
        <v>3.0000000000000001E-3</v>
      </c>
      <c r="AE45" s="229">
        <v>2</v>
      </c>
      <c r="AF45" s="89">
        <f t="shared" si="20"/>
        <v>2.5458864986483594E-2</v>
      </c>
      <c r="AG45" s="229">
        <f t="shared" si="9"/>
        <v>7.6999999999999993</v>
      </c>
      <c r="AH45" s="89">
        <f t="shared" si="10"/>
        <v>0.11979972687781888</v>
      </c>
      <c r="AI45" s="89">
        <f t="shared" si="11"/>
        <v>1.1979972687781889E-2</v>
      </c>
      <c r="AJ45" s="89">
        <f t="shared" si="21"/>
        <v>0.11979972687781888</v>
      </c>
      <c r="AK45" s="227">
        <f>EquipmentSpecs!L45</f>
        <v>1.04</v>
      </c>
      <c r="AL45" s="226">
        <f t="shared" si="12"/>
        <v>6.5775375331502302E-3</v>
      </c>
      <c r="AM45" s="230">
        <f t="shared" si="13"/>
        <v>9.7544881616617909E-2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14"/>
        <v>0.09</v>
      </c>
      <c r="AS45" s="437">
        <f t="shared" si="22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15"/>
        <v>0.18067437783749629</v>
      </c>
      <c r="I46" s="225">
        <f t="shared" si="1"/>
        <v>574.90201399427815</v>
      </c>
      <c r="J46" s="89">
        <f t="shared" si="16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v>1</v>
      </c>
      <c r="T46" s="89">
        <f t="shared" si="4"/>
        <v>0.1090799877383949</v>
      </c>
      <c r="U46" s="89">
        <f t="shared" si="17"/>
        <v>36.514461781279415</v>
      </c>
      <c r="V46" s="89">
        <f t="shared" si="5"/>
        <v>0.69281320058407203</v>
      </c>
      <c r="W46" s="1144">
        <f t="shared" si="18"/>
        <v>4.0151597565040928E-2</v>
      </c>
      <c r="X46" s="1144">
        <f t="shared" si="18"/>
        <v>4.0151597565040928E-2</v>
      </c>
      <c r="Y46" s="1144">
        <f t="shared" si="18"/>
        <v>3.6939469759837647E-2</v>
      </c>
      <c r="Z46" s="1136">
        <f t="shared" si="19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7"/>
        <v>1.1276492906586638E-2</v>
      </c>
      <c r="AD46" s="84">
        <f t="shared" si="8"/>
        <v>3.0000000000000001E-3</v>
      </c>
      <c r="AE46" s="229">
        <v>2</v>
      </c>
      <c r="AF46" s="89">
        <f t="shared" si="20"/>
        <v>7.6376594959450789E-2</v>
      </c>
      <c r="AG46" s="229">
        <f t="shared" si="9"/>
        <v>7.6999999999999993</v>
      </c>
      <c r="AH46" s="89">
        <f t="shared" si="10"/>
        <v>0.35939918063345666</v>
      </c>
      <c r="AI46" s="89">
        <f t="shared" si="11"/>
        <v>3.593991806334567E-2</v>
      </c>
      <c r="AJ46" s="89">
        <f t="shared" si="21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13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14"/>
        <v>0.09</v>
      </c>
      <c r="AS46" s="437">
        <f t="shared" si="22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15"/>
        <v>0.18067437783749629</v>
      </c>
      <c r="I47" s="225">
        <f t="shared" si="1"/>
        <v>1231.7201180654613</v>
      </c>
      <c r="J47" s="89">
        <f t="shared" si="16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v>1</v>
      </c>
      <c r="T47" s="89">
        <f t="shared" si="4"/>
        <v>0.1558016405175347</v>
      </c>
      <c r="U47" s="89">
        <f t="shared" si="17"/>
        <v>36.514461781279415</v>
      </c>
      <c r="V47" s="89">
        <f t="shared" si="5"/>
        <v>0.46187546705604798</v>
      </c>
      <c r="W47" s="1144">
        <f t="shared" si="18"/>
        <v>3.0881696832023339E-2</v>
      </c>
      <c r="X47" s="1144">
        <f t="shared" si="18"/>
        <v>3.0881696832023339E-2</v>
      </c>
      <c r="Y47" s="1144">
        <f t="shared" si="18"/>
        <v>2.8411161085461469E-2</v>
      </c>
      <c r="Z47" s="1136">
        <f t="shared" si="19"/>
        <v>0.70785166232309082</v>
      </c>
      <c r="AA47" s="227">
        <f>EquipmentSpecs!J47</f>
        <v>0.28000000000000003</v>
      </c>
      <c r="AB47" s="228">
        <f>EquipmentSpecs!K47</f>
        <v>1.4</v>
      </c>
      <c r="AC47" s="89">
        <f t="shared" si="7"/>
        <v>2.6789186581080503E-2</v>
      </c>
      <c r="AD47" s="84">
        <f t="shared" si="8"/>
        <v>3.0000000000000001E-3</v>
      </c>
      <c r="AE47" s="229">
        <v>2</v>
      </c>
      <c r="AF47" s="89">
        <f t="shared" si="20"/>
        <v>5.0917729972967188E-2</v>
      </c>
      <c r="AG47" s="229">
        <f t="shared" si="9"/>
        <v>7.6999999999999993</v>
      </c>
      <c r="AH47" s="89">
        <f t="shared" si="10"/>
        <v>0.23959945375563776</v>
      </c>
      <c r="AI47" s="89">
        <f t="shared" si="11"/>
        <v>2.3959945375563778E-2</v>
      </c>
      <c r="AJ47" s="89">
        <f t="shared" si="21"/>
        <v>0.23959945375563776</v>
      </c>
      <c r="AK47" s="227">
        <f>EquipmentSpecs!L47</f>
        <v>1.04</v>
      </c>
      <c r="AL47" s="226">
        <f t="shared" si="12"/>
        <v>1.315507506630046E-2</v>
      </c>
      <c r="AM47" s="230">
        <f t="shared" si="13"/>
        <v>0.19508976323323582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14"/>
        <v>0.09</v>
      </c>
      <c r="AS47" s="437">
        <f t="shared" si="22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 t="shared" si="15"/>
        <v>0.18067437783749629</v>
      </c>
      <c r="I48" s="225">
        <f t="shared" si="1"/>
        <v>7149.0405885298842</v>
      </c>
      <c r="J48" s="89">
        <f t="shared" si="16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4">(K48*L48*M48)/8.25</f>
        <v>4.4909090909090912</v>
      </c>
      <c r="O48" s="226">
        <f t="shared" si="3"/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v>1</v>
      </c>
      <c r="T48" s="89">
        <f t="shared" si="4"/>
        <v>7.9594581451243647</v>
      </c>
      <c r="U48" s="89">
        <f t="shared" si="17"/>
        <v>61.186395417279016</v>
      </c>
      <c r="V48" s="89">
        <f t="shared" si="5"/>
        <v>13.624501003847554</v>
      </c>
      <c r="W48" s="1144">
        <f t="shared" si="18"/>
        <v>1.0775101214574898</v>
      </c>
      <c r="X48" s="1144">
        <f t="shared" si="18"/>
        <v>1.0775101214574898</v>
      </c>
      <c r="Y48" s="1144">
        <f t="shared" si="18"/>
        <v>0.99130931174089065</v>
      </c>
      <c r="Z48" s="1136">
        <f t="shared" si="19"/>
        <v>24.730288703627789</v>
      </c>
      <c r="AA48" s="227">
        <f>EquipmentSpecs!J48</f>
        <v>0.28000000000000003</v>
      </c>
      <c r="AB48" s="228">
        <f>EquipmentSpecs!K48</f>
        <v>1.4</v>
      </c>
      <c r="AC48" s="89">
        <f t="shared" si="7"/>
        <v>3.6117110509912433</v>
      </c>
      <c r="AD48" s="84">
        <f t="shared" si="8"/>
        <v>3.0000000000000001E-3</v>
      </c>
      <c r="AE48" s="229">
        <v>2</v>
      </c>
      <c r="AF48" s="89">
        <f t="shared" si="20"/>
        <v>1.2651959514170039</v>
      </c>
      <c r="AG48" s="229">
        <f t="shared" si="9"/>
        <v>8.58</v>
      </c>
      <c r="AH48" s="89">
        <f t="shared" si="10"/>
        <v>4.6998947368421051</v>
      </c>
      <c r="AI48" s="89">
        <f t="shared" si="11"/>
        <v>0.46998947368421051</v>
      </c>
      <c r="AJ48" s="89">
        <f t="shared" si="21"/>
        <v>4.6998947368421051</v>
      </c>
      <c r="AK48" s="227">
        <f>EquipmentSpecs!L48</f>
        <v>1.04</v>
      </c>
      <c r="AL48" s="226">
        <f t="shared" si="12"/>
        <v>0.23157894736842105</v>
      </c>
      <c r="AM48" s="230">
        <f t="shared" si="13"/>
        <v>3.434315789473684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14"/>
        <v>0.09</v>
      </c>
      <c r="AS48" s="437">
        <f t="shared" si="22"/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 t="shared" si="15"/>
        <v>0.18067437783749629</v>
      </c>
      <c r="I49" s="225">
        <f t="shared" si="1"/>
        <v>2814.9347317336419</v>
      </c>
      <c r="J49" s="89">
        <f t="shared" si="16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4"/>
        <v>4.4909090909090912</v>
      </c>
      <c r="O49" s="226">
        <f t="shared" si="3"/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v>1</v>
      </c>
      <c r="T49" s="89">
        <f t="shared" si="4"/>
        <v>3.1340366446427188</v>
      </c>
      <c r="U49" s="89">
        <f t="shared" si="17"/>
        <v>61.186395417279016</v>
      </c>
      <c r="V49" s="89">
        <f t="shared" si="5"/>
        <v>13.624501003847554</v>
      </c>
      <c r="W49" s="1144">
        <f t="shared" si="18"/>
        <v>0.83856907894736843</v>
      </c>
      <c r="X49" s="1144">
        <f t="shared" si="18"/>
        <v>0.83856907894736843</v>
      </c>
      <c r="Y49" s="1144">
        <f t="shared" si="18"/>
        <v>0.77148355263157886</v>
      </c>
      <c r="Z49" s="1136">
        <f t="shared" si="19"/>
        <v>19.207159359016586</v>
      </c>
      <c r="AA49" s="227">
        <f>EquipmentSpecs!J49</f>
        <v>0.27</v>
      </c>
      <c r="AB49" s="228">
        <f>EquipmentSpecs!K49</f>
        <v>1.4</v>
      </c>
      <c r="AC49" s="89">
        <f t="shared" si="7"/>
        <v>1.3713215396732374</v>
      </c>
      <c r="AD49" s="84">
        <f t="shared" si="8"/>
        <v>3.0000000000000001E-3</v>
      </c>
      <c r="AE49" s="229">
        <v>2</v>
      </c>
      <c r="AF49" s="89">
        <f t="shared" si="20"/>
        <v>1.2651959514170039</v>
      </c>
      <c r="AG49" s="229">
        <f t="shared" si="9"/>
        <v>8.58</v>
      </c>
      <c r="AH49" s="89">
        <f t="shared" si="10"/>
        <v>4.6998947368421051</v>
      </c>
      <c r="AI49" s="89">
        <f t="shared" si="11"/>
        <v>0.46998947368421051</v>
      </c>
      <c r="AJ49" s="89">
        <f t="shared" si="21"/>
        <v>4.6998947368421051</v>
      </c>
      <c r="AK49" s="227">
        <f>EquipmentSpecs!L49</f>
        <v>1.04</v>
      </c>
      <c r="AL49" s="226">
        <f t="shared" si="12"/>
        <v>0.23157894736842105</v>
      </c>
      <c r="AM49" s="230">
        <f t="shared" si="13"/>
        <v>3.434315789473684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14"/>
        <v>0.09</v>
      </c>
      <c r="AS49" s="437">
        <f t="shared" si="22"/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 t="shared" si="15"/>
        <v>0.18067437783749629</v>
      </c>
      <c r="I50" s="225">
        <f t="shared" si="1"/>
        <v>2323.4381912722124</v>
      </c>
      <c r="J50" s="89">
        <f t="shared" si="16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4"/>
        <v>4.4909090909090912</v>
      </c>
      <c r="O50" s="226">
        <f t="shared" si="3"/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v>1</v>
      </c>
      <c r="T50" s="89">
        <f t="shared" si="4"/>
        <v>2.5868238971654187</v>
      </c>
      <c r="U50" s="89">
        <f t="shared" si="17"/>
        <v>61.186395417279016</v>
      </c>
      <c r="V50" s="89">
        <f t="shared" si="5"/>
        <v>13.624501003847554</v>
      </c>
      <c r="W50" s="1144">
        <f t="shared" si="18"/>
        <v>0.81147267206477736</v>
      </c>
      <c r="X50" s="1144">
        <f t="shared" si="18"/>
        <v>0.81147267206477736</v>
      </c>
      <c r="Y50" s="1144">
        <f t="shared" si="18"/>
        <v>0.74655485829959511</v>
      </c>
      <c r="Z50" s="1136">
        <f t="shared" si="19"/>
        <v>18.580825103442123</v>
      </c>
      <c r="AA50" s="227">
        <f>EquipmentSpecs!J50</f>
        <v>0.27</v>
      </c>
      <c r="AB50" s="228">
        <f>EquipmentSpecs!K50</f>
        <v>1.4</v>
      </c>
      <c r="AC50" s="89">
        <f t="shared" si="7"/>
        <v>1.1318844454445769</v>
      </c>
      <c r="AD50" s="84">
        <f t="shared" si="8"/>
        <v>3.0000000000000001E-3</v>
      </c>
      <c r="AE50" s="229">
        <v>2</v>
      </c>
      <c r="AF50" s="89">
        <f t="shared" si="20"/>
        <v>1.2651959514170039</v>
      </c>
      <c r="AG50" s="229">
        <f t="shared" si="9"/>
        <v>8.58</v>
      </c>
      <c r="AH50" s="89">
        <f t="shared" si="10"/>
        <v>4.6998947368421051</v>
      </c>
      <c r="AI50" s="89">
        <f t="shared" si="11"/>
        <v>0.46998947368421051</v>
      </c>
      <c r="AJ50" s="89">
        <f t="shared" si="21"/>
        <v>4.6998947368421051</v>
      </c>
      <c r="AK50" s="227">
        <f>EquipmentSpecs!L50</f>
        <v>1.04</v>
      </c>
      <c r="AL50" s="226">
        <f t="shared" si="12"/>
        <v>0.23157894736842105</v>
      </c>
      <c r="AM50" s="230">
        <f t="shared" si="13"/>
        <v>3.434315789473684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14"/>
        <v>0.09</v>
      </c>
      <c r="AS50" s="437">
        <f t="shared" si="22"/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15"/>
        <v>0.18067437783749629</v>
      </c>
      <c r="I51" s="225">
        <f t="shared" si="1"/>
        <v>5019.8988963663669</v>
      </c>
      <c r="J51" s="89">
        <f t="shared" si="16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4"/>
        <v>13.575757575757576</v>
      </c>
      <c r="O51" s="226">
        <f t="shared" si="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v>1</v>
      </c>
      <c r="T51" s="89">
        <f t="shared" si="4"/>
        <v>2.3110583646775966</v>
      </c>
      <c r="U51" s="89">
        <f t="shared" si="17"/>
        <v>61.186395417279016</v>
      </c>
      <c r="V51" s="89">
        <f t="shared" si="5"/>
        <v>4.5070335910049275</v>
      </c>
      <c r="W51" s="1144">
        <f t="shared" si="18"/>
        <v>0.33616333007812499</v>
      </c>
      <c r="X51" s="1144">
        <f t="shared" si="18"/>
        <v>0.33616333007812499</v>
      </c>
      <c r="Y51" s="1144">
        <f t="shared" si="18"/>
        <v>0.30927026367187505</v>
      </c>
      <c r="Z51" s="1136">
        <f t="shared" si="19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7"/>
        <v>1.3731771428571431</v>
      </c>
      <c r="AD51" s="84">
        <f t="shared" si="8"/>
        <v>3.0000000000000001E-3</v>
      </c>
      <c r="AE51" s="229">
        <v>2</v>
      </c>
      <c r="AF51" s="89">
        <f t="shared" si="20"/>
        <v>0.41853133928571423</v>
      </c>
      <c r="AG51" s="229">
        <f t="shared" si="9"/>
        <v>8.58</v>
      </c>
      <c r="AH51" s="89">
        <f t="shared" si="10"/>
        <v>1.5547419642857141</v>
      </c>
      <c r="AI51" s="89">
        <f t="shared" si="11"/>
        <v>0.15547419642857141</v>
      </c>
      <c r="AJ51" s="89">
        <f t="shared" si="21"/>
        <v>1.5547419642857141</v>
      </c>
      <c r="AK51" s="227">
        <f>EquipmentSpecs!L51</f>
        <v>1.1000000000000001</v>
      </c>
      <c r="AL51" s="226">
        <f t="shared" si="12"/>
        <v>8.1026785714285718E-2</v>
      </c>
      <c r="AM51" s="230">
        <f t="shared" si="13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14"/>
        <v>0.09</v>
      </c>
      <c r="AS51" s="437">
        <f t="shared" si="22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 t="shared" si="15"/>
        <v>0.18067437783749629</v>
      </c>
      <c r="I52" s="225">
        <f t="shared" si="1"/>
        <v>4090.7709398760085</v>
      </c>
      <c r="J52" s="89">
        <f t="shared" si="16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4"/>
        <v>19.781818181818181</v>
      </c>
      <c r="O52" s="226">
        <f t="shared" si="3"/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v>1</v>
      </c>
      <c r="T52" s="89">
        <f t="shared" si="4"/>
        <v>1.7232873904195809</v>
      </c>
      <c r="U52" s="89">
        <f t="shared" si="17"/>
        <v>75.989555598878766</v>
      </c>
      <c r="V52" s="89">
        <f t="shared" si="5"/>
        <v>3.8413837848697905</v>
      </c>
      <c r="W52" s="1144">
        <f t="shared" si="18"/>
        <v>0.27691779641544118</v>
      </c>
      <c r="X52" s="1144">
        <f t="shared" si="18"/>
        <v>0.27691779641544118</v>
      </c>
      <c r="Y52" s="1144">
        <f t="shared" si="18"/>
        <v>0.25476437270220587</v>
      </c>
      <c r="Z52" s="1136">
        <f t="shared" si="19"/>
        <v>6.3732711408224594</v>
      </c>
      <c r="AA52" s="227">
        <f>EquipmentSpecs!J52</f>
        <v>0.16</v>
      </c>
      <c r="AB52" s="228">
        <f>EquipmentSpecs!K52</f>
        <v>1.3</v>
      </c>
      <c r="AC52" s="89">
        <f t="shared" si="7"/>
        <v>0.21812115752826097</v>
      </c>
      <c r="AD52" s="84">
        <f t="shared" si="8"/>
        <v>3.0000000000000001E-3</v>
      </c>
      <c r="AE52" s="229">
        <v>2</v>
      </c>
      <c r="AF52" s="89">
        <f t="shared" si="20"/>
        <v>0.35005477941176472</v>
      </c>
      <c r="AG52" s="229">
        <f t="shared" si="9"/>
        <v>10.119999999999999</v>
      </c>
      <c r="AH52" s="89">
        <f t="shared" si="10"/>
        <v>1.2584889705882354</v>
      </c>
      <c r="AI52" s="89">
        <f t="shared" si="11"/>
        <v>0.12584889705882354</v>
      </c>
      <c r="AJ52" s="89">
        <f t="shared" si="21"/>
        <v>1.2584889705882354</v>
      </c>
      <c r="AK52" s="227">
        <f>EquipmentSpecs!L52</f>
        <v>1.04</v>
      </c>
      <c r="AL52" s="226">
        <f t="shared" si="12"/>
        <v>5.2573529411764706E-2</v>
      </c>
      <c r="AM52" s="230">
        <f t="shared" si="13"/>
        <v>0.77966544117647063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14"/>
        <v>0.09</v>
      </c>
      <c r="AS52" s="437">
        <f t="shared" si="22"/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 t="shared" si="15"/>
        <v>0.18067437783749629</v>
      </c>
      <c r="I53" s="225">
        <f t="shared" si="1"/>
        <v>0</v>
      </c>
      <c r="J53" s="89">
        <f t="shared" si="16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4"/>
        <v>8.484848484848484E-2</v>
      </c>
      <c r="O53" s="226">
        <f t="shared" si="3"/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v>1</v>
      </c>
      <c r="T53" s="89">
        <f t="shared" si="4"/>
        <v>0</v>
      </c>
      <c r="U53" s="89">
        <f t="shared" si="17"/>
        <v>75.989555598878766</v>
      </c>
      <c r="V53" s="89">
        <f t="shared" si="5"/>
        <v>895.59119098678548</v>
      </c>
      <c r="W53" s="1144">
        <f t="shared" si="18"/>
        <v>44.921250000000008</v>
      </c>
      <c r="X53" s="1144">
        <f t="shared" si="18"/>
        <v>44.921250000000008</v>
      </c>
      <c r="Y53" s="1144">
        <f t="shared" si="18"/>
        <v>41.327549999999995</v>
      </c>
      <c r="Z53" s="1136">
        <f t="shared" si="19"/>
        <v>1026.7612409867854</v>
      </c>
      <c r="AA53" s="227">
        <f>EquipmentSpecs!J53</f>
        <v>0.63</v>
      </c>
      <c r="AB53" s="228">
        <f>EquipmentSpecs!K53</f>
        <v>1.3</v>
      </c>
      <c r="AC53" s="89">
        <f t="shared" si="7"/>
        <v>0</v>
      </c>
      <c r="AD53" s="84">
        <f t="shared" si="8"/>
        <v>3.0000000000000001E-3</v>
      </c>
      <c r="AE53" s="229">
        <v>2</v>
      </c>
      <c r="AF53" s="89">
        <f t="shared" si="20"/>
        <v>81.612771428571435</v>
      </c>
      <c r="AG53" s="229">
        <f t="shared" si="9"/>
        <v>10.119999999999999</v>
      </c>
      <c r="AH53" s="89">
        <f t="shared" si="10"/>
        <v>293.40771428571429</v>
      </c>
      <c r="AI53" s="89">
        <f t="shared" si="11"/>
        <v>29.340771428571429</v>
      </c>
      <c r="AJ53" s="89">
        <f t="shared" si="21"/>
        <v>293.40771428571429</v>
      </c>
      <c r="AK53" s="227">
        <f>EquipmentSpecs!L53</f>
        <v>1.33</v>
      </c>
      <c r="AL53" s="226">
        <f t="shared" si="12"/>
        <v>15.675000000000002</v>
      </c>
      <c r="AM53" s="230">
        <f t="shared" si="13"/>
        <v>232.46025000000003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14"/>
        <v>0.09</v>
      </c>
      <c r="AS53" s="437">
        <f t="shared" si="22"/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 t="shared" si="15"/>
        <v>0.18067437783749629</v>
      </c>
      <c r="I54" s="575">
        <f t="shared" si="1"/>
        <v>0</v>
      </c>
      <c r="J54" s="761">
        <f t="shared" si="16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4"/>
        <v>8.484848484848484E-2</v>
      </c>
      <c r="O54" s="763">
        <f t="shared" si="3"/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v>1</v>
      </c>
      <c r="T54" s="761">
        <f t="shared" si="4"/>
        <v>0</v>
      </c>
      <c r="U54" s="761">
        <f t="shared" si="17"/>
        <v>75.989555598878766</v>
      </c>
      <c r="V54" s="761">
        <f t="shared" si="5"/>
        <v>895.59119098678548</v>
      </c>
      <c r="W54" s="1145">
        <f t="shared" si="18"/>
        <v>44.921250000000008</v>
      </c>
      <c r="X54" s="1145">
        <f t="shared" si="18"/>
        <v>44.921250000000008</v>
      </c>
      <c r="Y54" s="1145">
        <f t="shared" si="18"/>
        <v>41.327549999999995</v>
      </c>
      <c r="Z54" s="1137">
        <f t="shared" si="19"/>
        <v>1026.7612409867854</v>
      </c>
      <c r="AA54" s="765">
        <f>EquipmentSpecs!J54</f>
        <v>0.63</v>
      </c>
      <c r="AB54" s="766">
        <f>EquipmentSpecs!K54</f>
        <v>1.3</v>
      </c>
      <c r="AC54" s="761">
        <f t="shared" si="7"/>
        <v>0</v>
      </c>
      <c r="AD54" s="767">
        <f t="shared" si="8"/>
        <v>3.0000000000000001E-3</v>
      </c>
      <c r="AE54" s="768">
        <v>2</v>
      </c>
      <c r="AF54" s="761">
        <f t="shared" si="20"/>
        <v>81.612771428571435</v>
      </c>
      <c r="AG54" s="768">
        <f t="shared" si="9"/>
        <v>10.119999999999999</v>
      </c>
      <c r="AH54" s="761">
        <f t="shared" si="10"/>
        <v>293.40771428571429</v>
      </c>
      <c r="AI54" s="761">
        <f t="shared" si="11"/>
        <v>29.340771428571429</v>
      </c>
      <c r="AJ54" s="761">
        <f t="shared" si="21"/>
        <v>293.40771428571429</v>
      </c>
      <c r="AK54" s="765">
        <f>EquipmentSpecs!L54</f>
        <v>1.33</v>
      </c>
      <c r="AL54" s="763">
        <f t="shared" si="12"/>
        <v>15.675000000000002</v>
      </c>
      <c r="AM54" s="769">
        <f t="shared" si="13"/>
        <v>232.46025000000003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14"/>
        <v>0.09</v>
      </c>
      <c r="AS54" s="754">
        <f t="shared" si="22"/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90.645240460890577</v>
      </c>
      <c r="U56" s="17"/>
      <c r="V56" s="257">
        <f>SUM(V14:V54)</f>
        <v>1956.5609320231692</v>
      </c>
      <c r="W56" s="1147"/>
      <c r="X56" s="1147">
        <f>Z56-(T56+V56)</f>
        <v>300.1847586493875</v>
      </c>
      <c r="Y56" s="1148">
        <f>(Z56-(T56+V56))/(T56+V56)</f>
        <v>0.14663142515106151</v>
      </c>
      <c r="Z56" s="257">
        <f>SUM(Z14:Z54)</f>
        <v>2347.3909311334473</v>
      </c>
      <c r="AA56" s="17"/>
      <c r="AB56" s="17"/>
      <c r="AC56" s="257">
        <f>SUM(AC14:AC54)</f>
        <v>32.776058297849559</v>
      </c>
      <c r="AD56" s="258"/>
      <c r="AE56" s="17"/>
      <c r="AF56" s="257">
        <f>SUM(AF14:AF54)</f>
        <v>178.54365945579792</v>
      </c>
      <c r="AG56" s="17"/>
      <c r="AH56" s="257">
        <f>SUM(AH14:AH54)</f>
        <v>643.4718893666776</v>
      </c>
      <c r="AI56" s="257">
        <f>SUM(AI14:AI54)</f>
        <v>64.347188936667763</v>
      </c>
      <c r="AJ56" s="257"/>
      <c r="AK56" s="17"/>
      <c r="AL56" s="259">
        <f>SUM(AL14:AL54)</f>
        <v>34.123035621649102</v>
      </c>
      <c r="AM56" s="260">
        <f>SUM(AM14:AM54)</f>
        <v>506.04461826905612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v>1</v>
      </c>
      <c r="T58" s="246">
        <f>J58*O58*S58</f>
        <v>4.7978708180438394</v>
      </c>
      <c r="U58" s="772"/>
      <c r="V58" s="772"/>
      <c r="W58" s="1143">
        <f t="shared" ref="W58:Y60" si="25">IF($T58&gt;0,((((($C58+($C58*$F58)+($C58/$E58))/2)*W$12)/$D58)*$O58),0)+IF($V58&gt;0,((((($P58+($P58*$AQ58)+($P58/$AP58))/2)*W$12)/$AO58)*$O58),0)</f>
        <v>0.26668536324786324</v>
      </c>
      <c r="X58" s="1143">
        <f t="shared" si="25"/>
        <v>0.26668536324786324</v>
      </c>
      <c r="Y58" s="1143">
        <f t="shared" si="25"/>
        <v>0.24535053418803418</v>
      </c>
      <c r="Z58" s="1138">
        <f>T58+V58+(SUM(W58:Y58)*S58)</f>
        <v>5.5765920787276002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0.46721865375670446</v>
      </c>
      <c r="AD58" s="773"/>
      <c r="AE58" s="774"/>
      <c r="AF58" s="772"/>
      <c r="AG58" s="775">
        <f>0.044*R58</f>
        <v>11</v>
      </c>
      <c r="AH58" s="246">
        <f>AG58*O58*$AI$11*S58</f>
        <v>0.31801282051282048</v>
      </c>
      <c r="AI58" s="246">
        <f>AH58*0.1</f>
        <v>3.1801282051282048E-2</v>
      </c>
      <c r="AJ58" s="246">
        <f>AH58</f>
        <v>0.31801282051282048</v>
      </c>
      <c r="AK58" s="454">
        <f>EquipmentSpecs!L58</f>
        <v>1.25</v>
      </c>
      <c r="AL58" s="247">
        <f>O58*S58*AK58</f>
        <v>1.469017094017094E-2</v>
      </c>
      <c r="AM58" s="252">
        <f>AL58*$AL$11</f>
        <v>0.21785523504273505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 t="shared" si="0"/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v>1</v>
      </c>
      <c r="T59" s="89">
        <f>J59*O59*S59</f>
        <v>0.41251941480894488</v>
      </c>
      <c r="U59" s="269"/>
      <c r="V59" s="269"/>
      <c r="W59" s="1144">
        <f t="shared" si="25"/>
        <v>1.8905281706609139E-2</v>
      </c>
      <c r="X59" s="1144">
        <f t="shared" si="25"/>
        <v>1.8905281706609139E-2</v>
      </c>
      <c r="Y59" s="1144">
        <f t="shared" si="25"/>
        <v>1.7392859170080405E-2</v>
      </c>
      <c r="Z59" s="1136">
        <f>T59+V59+(SUM(W59:Y59)*S59)</f>
        <v>0.46772283739224357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5.6915597854869451E-2</v>
      </c>
      <c r="AD59" s="271"/>
      <c r="AE59" s="272"/>
      <c r="AF59" s="269"/>
      <c r="AG59" s="229">
        <f>0.044*R59</f>
        <v>2.1999999999999997</v>
      </c>
      <c r="AH59" s="89">
        <f>AG59*O59*$AI$11*S59</f>
        <v>6.8456986787325078E-2</v>
      </c>
      <c r="AI59" s="89">
        <f>AH59*0.1</f>
        <v>6.8456986787325085E-3</v>
      </c>
      <c r="AJ59" s="89">
        <f>AH59</f>
        <v>6.8456986787325078E-2</v>
      </c>
      <c r="AK59" s="227">
        <f>EquipmentSpecs!L59</f>
        <v>1.04</v>
      </c>
      <c r="AL59" s="226">
        <f>O59*S59*AK59</f>
        <v>1.315507506630046E-2</v>
      </c>
      <c r="AM59" s="230">
        <f>AL59*$AL$11</f>
        <v>0.19508976323323582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 t="shared" si="0"/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v>1</v>
      </c>
      <c r="T60" s="761">
        <f>J60*O60*S60</f>
        <v>7.2107655494889471</v>
      </c>
      <c r="U60" s="779"/>
      <c r="V60" s="779"/>
      <c r="W60" s="1145">
        <f t="shared" si="25"/>
        <v>0.40080396133814106</v>
      </c>
      <c r="X60" s="1145">
        <f t="shared" si="25"/>
        <v>0.40080396133814106</v>
      </c>
      <c r="Y60" s="1145">
        <f t="shared" si="25"/>
        <v>0.36873964443108975</v>
      </c>
      <c r="Z60" s="1137">
        <f>T60+V60+(SUM(W60:Y60)*S60)</f>
        <v>8.3811131165963193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0.69016933920160684</v>
      </c>
      <c r="AD60" s="780"/>
      <c r="AE60" s="781"/>
      <c r="AF60" s="779"/>
      <c r="AG60" s="782">
        <f>0.044*R60</f>
        <v>11</v>
      </c>
      <c r="AH60" s="761">
        <f>AG60*O60*$AI$11*S60</f>
        <v>0.35776442307692308</v>
      </c>
      <c r="AI60" s="761">
        <f>AH60*0.1</f>
        <v>3.5776442307692308E-2</v>
      </c>
      <c r="AJ60" s="761">
        <f>AH60</f>
        <v>0.35776442307692308</v>
      </c>
      <c r="AK60" s="751">
        <f>EquipmentSpecs!L60</f>
        <v>1.25</v>
      </c>
      <c r="AL60" s="763">
        <f>O60*S60*AK60</f>
        <v>1.6526442307692308E-2</v>
      </c>
      <c r="AM60" s="769">
        <f>AL60*$AL$11</f>
        <v>0.24508713942307692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12.421155782341732</v>
      </c>
      <c r="U62" s="17"/>
      <c r="V62" s="257">
        <f>SUM(V58:V60)</f>
        <v>0</v>
      </c>
      <c r="W62" s="1147"/>
      <c r="X62" s="1147">
        <f>Z62-(T62+V62)</f>
        <v>2.0042722503744308</v>
      </c>
      <c r="Y62" s="1148">
        <f>(Z62-(T62+V62))/(T62+V62)</f>
        <v>0.16135956150101274</v>
      </c>
      <c r="Z62" s="257">
        <f>SUM(Z58:Z60)</f>
        <v>14.425428032716162</v>
      </c>
      <c r="AA62" s="17"/>
      <c r="AB62" s="17"/>
      <c r="AC62" s="257">
        <f>SUM(AC58:AC60)</f>
        <v>1.2143035908131807</v>
      </c>
      <c r="AD62" s="258"/>
      <c r="AE62" s="17"/>
      <c r="AF62" s="257">
        <f>SUM(AF58:AF60)</f>
        <v>0</v>
      </c>
      <c r="AG62" s="17"/>
      <c r="AH62" s="257">
        <f>SUM(AH58:AH60)</f>
        <v>0.7442342303770686</v>
      </c>
      <c r="AI62" s="257">
        <f>SUM(AI58:AI60)</f>
        <v>7.4423423037706868E-2</v>
      </c>
      <c r="AJ62" s="257"/>
      <c r="AK62" s="17"/>
      <c r="AL62" s="259">
        <f>SUM(AL58:AL60)</f>
        <v>4.4371688314163708E-2</v>
      </c>
      <c r="AM62" s="260">
        <f>SUM(AM58:AM60)</f>
        <v>0.65803213769904778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6">$I$8</f>
        <v>0.09</v>
      </c>
      <c r="H64" s="332">
        <f t="shared" ref="H64:H81" si="27">(G64*(1+G64)^E64)/((1+G64)^E64-1)</f>
        <v>0.18067437783749629</v>
      </c>
      <c r="I64" s="245">
        <f t="shared" ref="I64:I81" si="28">((C64-(F64*C64))*H64)+(G64*(F64*C64))</f>
        <v>74226.493876552733</v>
      </c>
      <c r="J64" s="784">
        <f t="shared" ref="J64:J81" si="29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81" si="30">(K64*L64*M64)/8.25</f>
        <v>5.6424242424242417</v>
      </c>
      <c r="O64" s="247">
        <f t="shared" ref="O64:O81" si="31">1/N64</f>
        <v>0.17722878625134267</v>
      </c>
      <c r="P64" s="770"/>
      <c r="Q64" s="771"/>
      <c r="R64" s="351">
        <f>Machine!H64</f>
        <v>355</v>
      </c>
      <c r="S64" s="1196">
        <v>1</v>
      </c>
      <c r="T64" s="246">
        <f t="shared" ref="T64:T81" si="32">J64*O64*S64</f>
        <v>65.775357087170789</v>
      </c>
      <c r="U64" s="772"/>
      <c r="V64" s="772"/>
      <c r="W64" s="1143">
        <f t="shared" ref="W64:Y81" si="33">IF($T64&gt;0,((((($C64+($C64*$F64)+($C64/$E64))/2)*W$12)/$D64)*$O64),0)+IF($V64&gt;0,((((($P64+($P64*$AQ64)+($P64/$AP64))/2)*W$12)/$AO64)*$O64),0)</f>
        <v>2.9756270139634808</v>
      </c>
      <c r="X64" s="1143">
        <f t="shared" si="33"/>
        <v>2.9756270139634808</v>
      </c>
      <c r="Y64" s="1143">
        <f t="shared" si="33"/>
        <v>2.7375768528464022</v>
      </c>
      <c r="Z64" s="1138">
        <f t="shared" ref="Z64:Z81" si="34">T64+V64+(SUM(W64:Y64)*S64)</f>
        <v>74.464187967944156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14.253223292110308</v>
      </c>
      <c r="AD64" s="773"/>
      <c r="AE64" s="774"/>
      <c r="AF64" s="772"/>
      <c r="AG64" s="251">
        <f t="shared" ref="AG64:AG69" si="35">0.044*R64</f>
        <v>15.62</v>
      </c>
      <c r="AH64" s="246">
        <f t="shared" ref="AH64:AH69" si="36">AG64*O64*$AJ$11*S64</f>
        <v>6.8100515574650915</v>
      </c>
      <c r="AI64" s="246">
        <f t="shared" ref="AI64:AI69" si="37">AH64*0.1</f>
        <v>0.68100515574650922</v>
      </c>
      <c r="AJ64" s="246">
        <f t="shared" ref="AJ64:AJ69" si="38">AH64</f>
        <v>6.8100515574650915</v>
      </c>
      <c r="AK64" s="248">
        <f>EquipmentSpecs!L64</f>
        <v>1.1100000000000001</v>
      </c>
      <c r="AL64" s="247">
        <f t="shared" ref="AL64:AL81" si="39">O64*S64*AK64</f>
        <v>0.19672395273899038</v>
      </c>
      <c r="AM64" s="252">
        <f t="shared" ref="AM64:AM81" si="40">AL64*$AL$11</f>
        <v>2.9174162191192274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6"/>
        <v>0.09</v>
      </c>
      <c r="H65" s="333">
        <f t="shared" si="27"/>
        <v>0.18067437783749629</v>
      </c>
      <c r="I65" s="225">
        <f t="shared" si="28"/>
        <v>4404.3411144261827</v>
      </c>
      <c r="J65" s="546">
        <f t="shared" si="29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0"/>
        <v>5.6424242424242417</v>
      </c>
      <c r="O65" s="226">
        <f t="shared" si="31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v>1</v>
      </c>
      <c r="T65" s="89">
        <f t="shared" si="32"/>
        <v>3.9028801497331913</v>
      </c>
      <c r="U65" s="89">
        <f>(((P65-(AQ65*P65))*AS65)+(AR65*(AQ65*P65)))/AO65</f>
        <v>61.186395417279016</v>
      </c>
      <c r="V65" s="89">
        <f>U65*O65*S65</f>
        <v>10.843990594899076</v>
      </c>
      <c r="W65" s="1144">
        <f t="shared" si="33"/>
        <v>0.74999899301826001</v>
      </c>
      <c r="X65" s="1144">
        <f t="shared" si="33"/>
        <v>0.74999899301826001</v>
      </c>
      <c r="Y65" s="1144">
        <f t="shared" si="33"/>
        <v>0.68999907357679924</v>
      </c>
      <c r="Z65" s="1136">
        <f t="shared" si="34"/>
        <v>16.936867804245587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1.1825613979458123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1.0069926960257789</v>
      </c>
      <c r="AG65" s="229">
        <f t="shared" si="35"/>
        <v>8.58</v>
      </c>
      <c r="AH65" s="89">
        <f t="shared" si="36"/>
        <v>3.7407325456498395</v>
      </c>
      <c r="AI65" s="89">
        <f t="shared" si="37"/>
        <v>0.37407325456498397</v>
      </c>
      <c r="AJ65" s="89">
        <f t="shared" si="38"/>
        <v>3.7407325456498395</v>
      </c>
      <c r="AK65" s="227">
        <f>EquipmentSpecs!L65</f>
        <v>1.1100000000000001</v>
      </c>
      <c r="AL65" s="226">
        <f t="shared" si="39"/>
        <v>0.19672395273899038</v>
      </c>
      <c r="AM65" s="230">
        <f t="shared" si="40"/>
        <v>2.9174162191192274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6"/>
        <v>0.09</v>
      </c>
      <c r="H66" s="334">
        <f t="shared" si="27"/>
        <v>0.18067437783749629</v>
      </c>
      <c r="I66" s="234">
        <f t="shared" si="28"/>
        <v>5010.8405465766728</v>
      </c>
      <c r="J66" s="547">
        <f t="shared" si="29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0"/>
        <v>5.6424242424242417</v>
      </c>
      <c r="O66" s="236">
        <f t="shared" si="31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v>1</v>
      </c>
      <c r="T66" s="235">
        <f t="shared" si="32"/>
        <v>4.4403259408439908</v>
      </c>
      <c r="U66" s="235">
        <f>(((P66-(AQ66*P66))*AS66)+(AR66*(AQ66*P66)))/AO66</f>
        <v>61.186395417279016</v>
      </c>
      <c r="V66" s="235">
        <f>U66*O66*S66</f>
        <v>10.843990594899076</v>
      </c>
      <c r="W66" s="1146">
        <f t="shared" si="33"/>
        <v>0.77837775241675622</v>
      </c>
      <c r="X66" s="1146">
        <f t="shared" si="33"/>
        <v>0.77837775241675622</v>
      </c>
      <c r="Y66" s="1146">
        <f t="shared" si="33"/>
        <v>0.71610753222341583</v>
      </c>
      <c r="Z66" s="1139">
        <f t="shared" si="34"/>
        <v>17.557179572799996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1.3454059183186784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1.0069926960257789</v>
      </c>
      <c r="AG66" s="240">
        <f t="shared" si="35"/>
        <v>8.58</v>
      </c>
      <c r="AH66" s="235">
        <f t="shared" si="36"/>
        <v>3.7407325456498395</v>
      </c>
      <c r="AI66" s="235">
        <f t="shared" si="37"/>
        <v>0.37407325456498397</v>
      </c>
      <c r="AJ66" s="235">
        <f t="shared" si="38"/>
        <v>3.7407325456498395</v>
      </c>
      <c r="AK66" s="237">
        <f>EquipmentSpecs!L66</f>
        <v>3.33</v>
      </c>
      <c r="AL66" s="236">
        <f t="shared" si="39"/>
        <v>0.59017185821697105</v>
      </c>
      <c r="AM66" s="241">
        <f t="shared" si="40"/>
        <v>8.752248657357681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6"/>
        <v>0.09</v>
      </c>
      <c r="H67" s="333">
        <f t="shared" si="27"/>
        <v>0.18067437783749629</v>
      </c>
      <c r="I67" s="225">
        <f>((C67-(F67*C67))*H67)+(G67*(F67*C67))</f>
        <v>149074.12996127742</v>
      </c>
      <c r="J67" s="546">
        <f t="shared" si="29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 t="shared" si="31"/>
        <v>0.13806376035478204</v>
      </c>
      <c r="P67" s="270"/>
      <c r="Q67" s="20"/>
      <c r="R67" s="339">
        <f>Machine!H67</f>
        <v>560</v>
      </c>
      <c r="S67" s="1200">
        <v>1</v>
      </c>
      <c r="T67" s="89">
        <f t="shared" si="32"/>
        <v>102.90867477035719</v>
      </c>
      <c r="U67" s="269"/>
      <c r="V67" s="269"/>
      <c r="W67" s="1144">
        <f t="shared" si="33"/>
        <v>4.6555099991632503</v>
      </c>
      <c r="X67" s="1144">
        <f t="shared" si="33"/>
        <v>4.6555099991632503</v>
      </c>
      <c r="Y67" s="1144">
        <f t="shared" si="33"/>
        <v>4.2830691992301899</v>
      </c>
      <c r="Z67" s="1136">
        <f t="shared" si="34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5"/>
        <v>24.639999999999997</v>
      </c>
      <c r="AH67" s="89">
        <f t="shared" si="36"/>
        <v>8.3686519956489001</v>
      </c>
      <c r="AI67" s="89">
        <f t="shared" si="37"/>
        <v>0.83686519956489003</v>
      </c>
      <c r="AJ67" s="89">
        <f t="shared" si="38"/>
        <v>8.3686519956489001</v>
      </c>
      <c r="AK67" s="227">
        <f>EquipmentSpecs!L67</f>
        <v>1.1100000000000001</v>
      </c>
      <c r="AL67" s="226">
        <f t="shared" si="39"/>
        <v>0.15325077399380807</v>
      </c>
      <c r="AM67" s="230">
        <f t="shared" si="40"/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6"/>
        <v>0.09</v>
      </c>
      <c r="H68" s="334">
        <f t="shared" si="27"/>
        <v>0.18067437783749629</v>
      </c>
      <c r="I68" s="234">
        <f>((C68-(F68*C68))*H68)+(G68*(F68*C68))</f>
        <v>1985.5636171593444</v>
      </c>
      <c r="J68" s="547">
        <f t="shared" si="29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 t="shared" si="31"/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3"/>
        <v>9.3561495899924713E-2</v>
      </c>
      <c r="X68" s="1146">
        <f t="shared" si="33"/>
        <v>9.3561495899924713E-2</v>
      </c>
      <c r="Y68" s="1146">
        <f t="shared" si="33"/>
        <v>8.6076576227930718E-2</v>
      </c>
      <c r="Z68" s="1139">
        <f t="shared" si="34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5"/>
        <v>8.58</v>
      </c>
      <c r="AH68" s="235">
        <f t="shared" si="36"/>
        <v>0.14570420885281568</v>
      </c>
      <c r="AI68" s="235">
        <f t="shared" si="37"/>
        <v>1.4570420885281569E-2</v>
      </c>
      <c r="AJ68" s="235">
        <f t="shared" si="38"/>
        <v>0.14570420885281568</v>
      </c>
      <c r="AK68" s="237">
        <f>EquipmentSpecs!L68</f>
        <v>1.1100000000000001</v>
      </c>
      <c r="AL68" s="236">
        <f t="shared" si="39"/>
        <v>7.6625386996904037E-3</v>
      </c>
      <c r="AM68" s="241">
        <f t="shared" si="40"/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6"/>
        <v>0.09</v>
      </c>
      <c r="H69" s="333">
        <f t="shared" si="27"/>
        <v>0.18067437783749629</v>
      </c>
      <c r="I69" s="225">
        <f t="shared" si="28"/>
        <v>114756.02295977503</v>
      </c>
      <c r="J69" s="546">
        <f t="shared" si="29"/>
        <v>382.52007653258346</v>
      </c>
      <c r="K69" s="1256">
        <f>IF(SUM(Machine!B70:B73)&gt;0,Machine!D69,30)</f>
        <v>30</v>
      </c>
      <c r="L69" s="1256">
        <f>IF(SUM(Machine!B70:B73)&gt;0,Machine!E69,4.5)</f>
        <v>3.5</v>
      </c>
      <c r="M69" s="224">
        <f>EquipmentSpecs!C69</f>
        <v>0.7</v>
      </c>
      <c r="N69" s="89">
        <f t="shared" si="30"/>
        <v>8.9090909090909083</v>
      </c>
      <c r="O69" s="226">
        <f t="shared" si="31"/>
        <v>0.11224489795918369</v>
      </c>
      <c r="P69" s="270"/>
      <c r="Q69" s="20"/>
      <c r="R69" s="339">
        <f>Machine!H69</f>
        <v>325</v>
      </c>
      <c r="S69" s="1197">
        <v>1</v>
      </c>
      <c r="T69" s="89">
        <f t="shared" si="32"/>
        <v>42.935926957738964</v>
      </c>
      <c r="U69" s="269"/>
      <c r="V69" s="269"/>
      <c r="W69" s="1144">
        <f t="shared" si="33"/>
        <v>1.9423886054421771</v>
      </c>
      <c r="X69" s="1144">
        <f t="shared" si="33"/>
        <v>1.9423886054421771</v>
      </c>
      <c r="Y69" s="1144">
        <f t="shared" si="33"/>
        <v>1.7869975170068029</v>
      </c>
      <c r="Z69" s="1136">
        <f t="shared" si="34"/>
        <v>48.607701685630119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9.0865286271162944</v>
      </c>
      <c r="AD69" s="271"/>
      <c r="AE69" s="272"/>
      <c r="AF69" s="269"/>
      <c r="AG69" s="229">
        <f t="shared" si="35"/>
        <v>14.299999999999999</v>
      </c>
      <c r="AH69" s="89">
        <f t="shared" si="36"/>
        <v>3.9485510204081633</v>
      </c>
      <c r="AI69" s="89">
        <f t="shared" si="37"/>
        <v>0.39485510204081636</v>
      </c>
      <c r="AJ69" s="89">
        <f t="shared" si="38"/>
        <v>3.9485510204081633</v>
      </c>
      <c r="AK69" s="227">
        <f>EquipmentSpecs!L69</f>
        <v>1.1100000000000001</v>
      </c>
      <c r="AL69" s="226">
        <f t="shared" si="39"/>
        <v>0.1245918367346939</v>
      </c>
      <c r="AM69" s="230">
        <f t="shared" si="40"/>
        <v>1.8476969387755104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6"/>
        <v>0.09</v>
      </c>
      <c r="H70" s="333">
        <f t="shared" si="27"/>
        <v>0.18067437783749629</v>
      </c>
      <c r="I70" s="225">
        <f t="shared" si="28"/>
        <v>10543.888983719518</v>
      </c>
      <c r="J70" s="546">
        <f t="shared" si="29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0"/>
        <v>7.424242424242423</v>
      </c>
      <c r="O70" s="226">
        <f t="shared" si="31"/>
        <v>0.13469387755102044</v>
      </c>
      <c r="P70" s="270"/>
      <c r="Q70" s="20"/>
      <c r="R70" s="270"/>
      <c r="S70" s="1197">
        <v>1</v>
      </c>
      <c r="T70" s="89">
        <f t="shared" si="32"/>
        <v>4.7339909722822338</v>
      </c>
      <c r="U70" s="269"/>
      <c r="V70" s="269"/>
      <c r="W70" s="1144">
        <f t="shared" si="33"/>
        <v>0.21416214285714291</v>
      </c>
      <c r="X70" s="1144">
        <f t="shared" si="33"/>
        <v>0.21416214285714291</v>
      </c>
      <c r="Y70" s="1144">
        <f t="shared" si="33"/>
        <v>0.19702917142857146</v>
      </c>
      <c r="Z70" s="1136">
        <f t="shared" si="34"/>
        <v>5.3593444294250911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3.4251018477670359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39"/>
        <v>0</v>
      </c>
      <c r="AM70" s="230">
        <f t="shared" si="40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6"/>
        <v>0.09</v>
      </c>
      <c r="H71" s="333">
        <f t="shared" si="27"/>
        <v>0.18067437783749629</v>
      </c>
      <c r="I71" s="225">
        <f t="shared" si="28"/>
        <v>6801.5071794832829</v>
      </c>
      <c r="J71" s="546">
        <f t="shared" si="29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0"/>
        <v>11.454545454545455</v>
      </c>
      <c r="O71" s="226">
        <f t="shared" si="31"/>
        <v>8.7301587301587297E-2</v>
      </c>
      <c r="P71" s="270"/>
      <c r="Q71" s="20"/>
      <c r="R71" s="270"/>
      <c r="S71" s="1197">
        <v>1</v>
      </c>
      <c r="T71" s="89">
        <f t="shared" si="32"/>
        <v>1.9792745760401087</v>
      </c>
      <c r="U71" s="269"/>
      <c r="V71" s="269"/>
      <c r="W71" s="1144">
        <f t="shared" si="33"/>
        <v>8.9540873015873004E-2</v>
      </c>
      <c r="X71" s="1144">
        <f t="shared" si="33"/>
        <v>8.9540873015873004E-2</v>
      </c>
      <c r="Y71" s="1144">
        <f t="shared" si="33"/>
        <v>8.2377603174603173E-2</v>
      </c>
      <c r="Z71" s="1136">
        <f t="shared" si="34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39"/>
        <v>0</v>
      </c>
      <c r="AM71" s="230">
        <f t="shared" si="40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6"/>
        <v>0.09</v>
      </c>
      <c r="H72" s="333">
        <f t="shared" si="27"/>
        <v>0.18067437783749629</v>
      </c>
      <c r="I72" s="225">
        <f t="shared" si="28"/>
        <v>12205.444390579589</v>
      </c>
      <c r="J72" s="546">
        <f t="shared" si="29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0"/>
        <v>6.3636363636363633</v>
      </c>
      <c r="O72" s="226">
        <f t="shared" si="31"/>
        <v>0.15714285714285714</v>
      </c>
      <c r="P72" s="270"/>
      <c r="Q72" s="20"/>
      <c r="R72" s="270"/>
      <c r="S72" s="1197">
        <v>1</v>
      </c>
      <c r="T72" s="89">
        <f t="shared" si="32"/>
        <v>6.3933280141131181</v>
      </c>
      <c r="U72" s="269"/>
      <c r="V72" s="269"/>
      <c r="W72" s="1144">
        <f t="shared" si="33"/>
        <v>0.28922928571428569</v>
      </c>
      <c r="X72" s="1144">
        <f t="shared" si="33"/>
        <v>0.28922928571428569</v>
      </c>
      <c r="Y72" s="1144">
        <f t="shared" si="33"/>
        <v>0.26609094285714285</v>
      </c>
      <c r="Z72" s="1136">
        <f t="shared" si="34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39"/>
        <v>0</v>
      </c>
      <c r="AM72" s="230">
        <f t="shared" si="40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6"/>
        <v>0.09</v>
      </c>
      <c r="H73" s="333">
        <f t="shared" si="27"/>
        <v>0.18067437783749629</v>
      </c>
      <c r="I73" s="225">
        <f t="shared" si="28"/>
        <v>4518.8095644512223</v>
      </c>
      <c r="J73" s="546">
        <f t="shared" si="29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0"/>
        <v>8.9090909090909083</v>
      </c>
      <c r="O73" s="226">
        <f t="shared" si="31"/>
        <v>0.11224489795918369</v>
      </c>
      <c r="P73" s="270"/>
      <c r="Q73" s="20"/>
      <c r="R73" s="270"/>
      <c r="S73" s="1197">
        <v>1</v>
      </c>
      <c r="T73" s="89">
        <f t="shared" si="32"/>
        <v>1.6907110615293692</v>
      </c>
      <c r="U73" s="269"/>
      <c r="V73" s="269"/>
      <c r="W73" s="1144">
        <f t="shared" si="33"/>
        <v>7.6486479591836756E-2</v>
      </c>
      <c r="X73" s="1144">
        <f t="shared" si="33"/>
        <v>7.6486479591836756E-2</v>
      </c>
      <c r="Y73" s="1144">
        <f t="shared" si="33"/>
        <v>7.0367561224489811E-2</v>
      </c>
      <c r="Z73" s="1136">
        <f t="shared" si="34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39"/>
        <v>0</v>
      </c>
      <c r="AM73" s="230">
        <f t="shared" si="40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6"/>
        <v>0.09</v>
      </c>
      <c r="H74" s="334">
        <f t="shared" si="27"/>
        <v>0.18067437783749629</v>
      </c>
      <c r="I74" s="234">
        <f t="shared" si="28"/>
        <v>8433.2301994258705</v>
      </c>
      <c r="J74" s="547">
        <f t="shared" si="29"/>
        <v>28.11076733141957</v>
      </c>
      <c r="K74" s="1257">
        <f>K69</f>
        <v>30</v>
      </c>
      <c r="L74" s="1257">
        <f>L69</f>
        <v>3.5</v>
      </c>
      <c r="M74" s="233">
        <f>EquipmentSpecs!C74</f>
        <v>0.7</v>
      </c>
      <c r="N74" s="235">
        <f t="shared" si="30"/>
        <v>8.9090909090909083</v>
      </c>
      <c r="O74" s="236">
        <f t="shared" si="31"/>
        <v>0.11224489795918369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v>1</v>
      </c>
      <c r="T74" s="235">
        <f t="shared" si="32"/>
        <v>3.155290210669544</v>
      </c>
      <c r="U74" s="235">
        <f>(((P74-(AQ74*P74))*AS74)+(AR74*(AQ74*P74)))/AO74</f>
        <v>61.186395417279016</v>
      </c>
      <c r="V74" s="235">
        <f>U74*O74*S74</f>
        <v>6.8678607101027476</v>
      </c>
      <c r="W74" s="1146">
        <f t="shared" si="33"/>
        <v>0.51108843537414972</v>
      </c>
      <c r="X74" s="1146">
        <f t="shared" si="33"/>
        <v>0.51108843537414972</v>
      </c>
      <c r="Y74" s="1146">
        <f t="shared" si="33"/>
        <v>0.47020136054421779</v>
      </c>
      <c r="Z74" s="1139">
        <f t="shared" si="34"/>
        <v>11.515529152064808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1.6195577179310805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0.63776204081632659</v>
      </c>
      <c r="AG74" s="240">
        <f>0.044*R74</f>
        <v>8.58</v>
      </c>
      <c r="AH74" s="235">
        <f t="shared" ref="AH74:AH81" si="41">AG74*O74*$AJ$11*S74</f>
        <v>2.3691306122448981</v>
      </c>
      <c r="AI74" s="235">
        <f>AH74*0.1</f>
        <v>0.23691306122448982</v>
      </c>
      <c r="AJ74" s="235">
        <f>AH74</f>
        <v>2.3691306122448981</v>
      </c>
      <c r="AK74" s="459">
        <f>EquipmentSpecs!L74</f>
        <v>1.1100000000000001</v>
      </c>
      <c r="AL74" s="236">
        <f t="shared" si="39"/>
        <v>0.1245918367346939</v>
      </c>
      <c r="AM74" s="241">
        <f t="shared" si="40"/>
        <v>1.8476969387755104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6"/>
        <v>0.09</v>
      </c>
      <c r="H75" s="544">
        <f t="shared" si="27"/>
        <v>0.18067437783749629</v>
      </c>
      <c r="I75" s="265">
        <f t="shared" si="28"/>
        <v>0</v>
      </c>
      <c r="J75" s="545">
        <f t="shared" si="29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si="30"/>
        <v>3.7424242424242422</v>
      </c>
      <c r="O75" s="226">
        <f t="shared" si="31"/>
        <v>0.26720647773279355</v>
      </c>
      <c r="P75" s="270"/>
      <c r="Q75" s="20"/>
      <c r="R75" s="339">
        <f>Machine!H75</f>
        <v>230</v>
      </c>
      <c r="S75" s="1197">
        <v>1</v>
      </c>
      <c r="T75" s="89">
        <f t="shared" si="32"/>
        <v>0</v>
      </c>
      <c r="U75" s="269"/>
      <c r="V75" s="266"/>
      <c r="W75" s="1144">
        <f t="shared" si="33"/>
        <v>0</v>
      </c>
      <c r="X75" s="1144">
        <f t="shared" si="33"/>
        <v>0</v>
      </c>
      <c r="Y75" s="1144">
        <f t="shared" si="33"/>
        <v>0</v>
      </c>
      <c r="Z75" s="1136">
        <f t="shared" si="34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0.66521587044534414</v>
      </c>
      <c r="AD75" s="267"/>
      <c r="AE75" s="268"/>
      <c r="AF75" s="266"/>
      <c r="AG75" s="229">
        <f t="shared" ref="AG75:AG81" si="42">0.044*R75</f>
        <v>10.119999999999999</v>
      </c>
      <c r="AH75" s="89">
        <f t="shared" si="41"/>
        <v>6.6521587044534414</v>
      </c>
      <c r="AI75" s="89">
        <f t="shared" ref="AI75:AI81" si="43">AH75*0.1</f>
        <v>0.66521587044534414</v>
      </c>
      <c r="AJ75" s="89">
        <f t="shared" ref="AJ75:AJ81" si="44">AH75</f>
        <v>6.6521587044534414</v>
      </c>
      <c r="AK75" s="436">
        <f>EquipmentSpecs!L75</f>
        <v>1.1100000000000001</v>
      </c>
      <c r="AL75" s="226">
        <f t="shared" si="39"/>
        <v>0.29659919028340087</v>
      </c>
      <c r="AM75" s="230">
        <f t="shared" si="40"/>
        <v>4.398565991902835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6"/>
        <v>0.09</v>
      </c>
      <c r="H76" s="333">
        <f t="shared" si="27"/>
        <v>0.18067437783749629</v>
      </c>
      <c r="I76" s="225">
        <f t="shared" si="28"/>
        <v>27796.113815696521</v>
      </c>
      <c r="J76" s="546">
        <f t="shared" si="29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30"/>
        <v>2.9939393939393937</v>
      </c>
      <c r="O76" s="226">
        <f t="shared" si="31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v>1</v>
      </c>
      <c r="T76" s="89">
        <f t="shared" si="32"/>
        <v>46.420635420950674</v>
      </c>
      <c r="U76" s="89">
        <f>(((P76-(AQ76*P76))*AS76)+(AR76*(AQ76*P76)))/AO76</f>
        <v>75.989555598878766</v>
      </c>
      <c r="V76" s="89">
        <f>U76*O76*S76</f>
        <v>25.381126870070847</v>
      </c>
      <c r="W76" s="1144">
        <f t="shared" si="33"/>
        <v>3.3731060222672076</v>
      </c>
      <c r="X76" s="1144">
        <f t="shared" si="33"/>
        <v>3.3731060222672076</v>
      </c>
      <c r="Y76" s="1144">
        <f t="shared" si="33"/>
        <v>3.10325754048583</v>
      </c>
      <c r="Z76" s="1136">
        <f t="shared" si="34"/>
        <v>81.651231876041763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4.0105321163356349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2.3129125506072876</v>
      </c>
      <c r="AG76" s="229">
        <f t="shared" si="42"/>
        <v>10.119999999999999</v>
      </c>
      <c r="AH76" s="89">
        <f t="shared" si="41"/>
        <v>8.3151983805668017</v>
      </c>
      <c r="AI76" s="89">
        <f t="shared" si="43"/>
        <v>0.83151983805668017</v>
      </c>
      <c r="AJ76" s="89">
        <f t="shared" si="44"/>
        <v>8.3151983805668017</v>
      </c>
      <c r="AK76" s="436">
        <f>EquipmentSpecs!L76</f>
        <v>1.1100000000000001</v>
      </c>
      <c r="AL76" s="226">
        <f t="shared" si="39"/>
        <v>0.37074898785425109</v>
      </c>
      <c r="AM76" s="230">
        <f t="shared" si="40"/>
        <v>5.4982074898785438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6"/>
        <v>0.09</v>
      </c>
      <c r="H77" s="333">
        <f t="shared" si="27"/>
        <v>0.18067437783749629</v>
      </c>
      <c r="I77" s="225">
        <f t="shared" si="28"/>
        <v>8303.2660353936226</v>
      </c>
      <c r="J77" s="546">
        <f t="shared" si="29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30"/>
        <v>2.9939393939393937</v>
      </c>
      <c r="O77" s="226">
        <f t="shared" si="31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v>1</v>
      </c>
      <c r="T77" s="89">
        <f t="shared" si="32"/>
        <v>13.866790443724168</v>
      </c>
      <c r="U77" s="89">
        <f>(((P77-(AQ77*P77))*AS77)+(AR77*(AQ77*P77)))/AO77</f>
        <v>61.186395417279016</v>
      </c>
      <c r="V77" s="89">
        <f>U77*O77*S77</f>
        <v>20.436751505771333</v>
      </c>
      <c r="W77" s="1144">
        <f t="shared" si="33"/>
        <v>1.7572792257085021</v>
      </c>
      <c r="X77" s="1144">
        <f t="shared" si="33"/>
        <v>1.7572792257085021</v>
      </c>
      <c r="Y77" s="1144">
        <f t="shared" si="33"/>
        <v>1.616696887651822</v>
      </c>
      <c r="Z77" s="1136">
        <f t="shared" si="34"/>
        <v>39.434797288564326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4.2015974006460608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1.8977939271255064</v>
      </c>
      <c r="AG77" s="229">
        <f t="shared" si="42"/>
        <v>8.58</v>
      </c>
      <c r="AH77" s="89">
        <f t="shared" si="41"/>
        <v>7.049842105263159</v>
      </c>
      <c r="AI77" s="89">
        <f t="shared" si="43"/>
        <v>0.70498421052631599</v>
      </c>
      <c r="AJ77" s="89">
        <f t="shared" si="44"/>
        <v>7.049842105263159</v>
      </c>
      <c r="AK77" s="436">
        <f>EquipmentSpecs!L77</f>
        <v>1.1100000000000001</v>
      </c>
      <c r="AL77" s="226">
        <f t="shared" si="39"/>
        <v>0.37074898785425109</v>
      </c>
      <c r="AM77" s="230">
        <f t="shared" si="40"/>
        <v>5.4982074898785438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6"/>
        <v>0.09</v>
      </c>
      <c r="H78" s="334">
        <f t="shared" si="27"/>
        <v>0.18067437783749629</v>
      </c>
      <c r="I78" s="234">
        <f t="shared" si="28"/>
        <v>1126.3560882794827</v>
      </c>
      <c r="J78" s="547">
        <f t="shared" si="29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30"/>
        <v>2.9939393939393937</v>
      </c>
      <c r="O78" s="236">
        <f t="shared" si="31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v>1</v>
      </c>
      <c r="T78" s="235">
        <f t="shared" si="32"/>
        <v>1.8810602688878004</v>
      </c>
      <c r="U78" s="235">
        <f>(((P78-(AQ78*P78))*AS78)+(AR78*(AQ78*P78)))/AO78</f>
        <v>61.186395417279016</v>
      </c>
      <c r="V78" s="235">
        <f>U78*O78*S78</f>
        <v>20.436751505771333</v>
      </c>
      <c r="W78" s="1146">
        <f t="shared" si="33"/>
        <v>1.1243965080971661</v>
      </c>
      <c r="X78" s="1146">
        <f t="shared" si="33"/>
        <v>1.1243965080971661</v>
      </c>
      <c r="Y78" s="1146">
        <f t="shared" si="33"/>
        <v>1.0344447874493927</v>
      </c>
      <c r="Z78" s="1139">
        <f t="shared" si="34"/>
        <v>25.60104957830286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0.56995582130503075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1.8977939271255064</v>
      </c>
      <c r="AG78" s="240">
        <f t="shared" si="42"/>
        <v>8.58</v>
      </c>
      <c r="AH78" s="235">
        <f t="shared" si="41"/>
        <v>7.049842105263159</v>
      </c>
      <c r="AI78" s="235">
        <f t="shared" si="43"/>
        <v>0.70498421052631599</v>
      </c>
      <c r="AJ78" s="235">
        <f t="shared" si="44"/>
        <v>7.049842105263159</v>
      </c>
      <c r="AK78" s="459">
        <f>EquipmentSpecs!L78</f>
        <v>1.1100000000000001</v>
      </c>
      <c r="AL78" s="236">
        <f t="shared" si="39"/>
        <v>0.37074898785425109</v>
      </c>
      <c r="AM78" s="241">
        <f t="shared" si="40"/>
        <v>5.4982074898785438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6"/>
        <v>0.09</v>
      </c>
      <c r="H79" s="544">
        <f t="shared" si="27"/>
        <v>0.18067437783749629</v>
      </c>
      <c r="I79" s="265">
        <f t="shared" si="28"/>
        <v>0</v>
      </c>
      <c r="J79" s="545">
        <f t="shared" si="29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30"/>
        <v>8.484848484848484E-2</v>
      </c>
      <c r="O79" s="226">
        <f t="shared" si="31"/>
        <v>11.785714285714286</v>
      </c>
      <c r="P79" s="270"/>
      <c r="Q79" s="20"/>
      <c r="R79" s="339">
        <f>Machine!H79</f>
        <v>325</v>
      </c>
      <c r="S79" s="1197">
        <v>1</v>
      </c>
      <c r="T79" s="89">
        <f t="shared" si="32"/>
        <v>0</v>
      </c>
      <c r="U79" s="269"/>
      <c r="V79" s="269"/>
      <c r="W79" s="1144">
        <f t="shared" si="33"/>
        <v>0</v>
      </c>
      <c r="X79" s="1144">
        <f t="shared" si="33"/>
        <v>0</v>
      </c>
      <c r="Y79" s="1144">
        <f t="shared" si="33"/>
        <v>0</v>
      </c>
      <c r="Z79" s="1136">
        <f t="shared" si="34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41.459785714285715</v>
      </c>
      <c r="AD79" s="271"/>
      <c r="AE79" s="272"/>
      <c r="AF79" s="269"/>
      <c r="AG79" s="229">
        <f t="shared" si="42"/>
        <v>14.299999999999999</v>
      </c>
      <c r="AH79" s="89">
        <f t="shared" si="41"/>
        <v>414.59785714285709</v>
      </c>
      <c r="AI79" s="89">
        <f t="shared" si="43"/>
        <v>41.459785714285715</v>
      </c>
      <c r="AJ79" s="89">
        <f t="shared" si="44"/>
        <v>414.59785714285709</v>
      </c>
      <c r="AK79" s="227">
        <f>EquipmentSpecs!L79</f>
        <v>1.1100000000000001</v>
      </c>
      <c r="AL79" s="226">
        <f t="shared" si="39"/>
        <v>13.082142857142859</v>
      </c>
      <c r="AM79" s="230">
        <f t="shared" si="40"/>
        <v>194.0081785714286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6"/>
        <v>0.09</v>
      </c>
      <c r="H80" s="333">
        <f t="shared" si="27"/>
        <v>0.18067437783749629</v>
      </c>
      <c r="I80" s="225">
        <f t="shared" si="28"/>
        <v>0</v>
      </c>
      <c r="J80" s="546">
        <f t="shared" si="29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30"/>
        <v>8.484848484848484E-2</v>
      </c>
      <c r="O80" s="226">
        <f t="shared" si="31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v>1</v>
      </c>
      <c r="T80" s="89">
        <f t="shared" si="32"/>
        <v>0</v>
      </c>
      <c r="U80" s="89">
        <f>(((P80-(AQ80*P80))*AS80)+(AR80*(AQ80*P80)))/AO80</f>
        <v>61.186395417279016</v>
      </c>
      <c r="V80" s="89">
        <f>U80*O80*S80</f>
        <v>721.12537456078849</v>
      </c>
      <c r="W80" s="1144">
        <f t="shared" si="33"/>
        <v>36.170357142857142</v>
      </c>
      <c r="X80" s="1144">
        <f t="shared" si="33"/>
        <v>36.170357142857142</v>
      </c>
      <c r="Y80" s="1144">
        <f t="shared" si="33"/>
        <v>33.276728571428571</v>
      </c>
      <c r="Z80" s="1136">
        <f t="shared" si="34"/>
        <v>826.74281741793129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66.96501428571429</v>
      </c>
      <c r="AG80" s="229">
        <f t="shared" si="42"/>
        <v>8.58</v>
      </c>
      <c r="AH80" s="89">
        <f t="shared" si="41"/>
        <v>248.75871428571432</v>
      </c>
      <c r="AI80" s="89">
        <f t="shared" si="43"/>
        <v>24.875871428571433</v>
      </c>
      <c r="AJ80" s="89">
        <f t="shared" si="44"/>
        <v>248.75871428571432</v>
      </c>
      <c r="AK80" s="227">
        <f>EquipmentSpecs!L80</f>
        <v>1.1100000000000001</v>
      </c>
      <c r="AL80" s="226">
        <f t="shared" si="39"/>
        <v>13.082142857142859</v>
      </c>
      <c r="AM80" s="230">
        <f t="shared" si="40"/>
        <v>194.0081785714286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6"/>
        <v>0.09</v>
      </c>
      <c r="H81" s="760">
        <f t="shared" si="27"/>
        <v>0.18067437783749629</v>
      </c>
      <c r="I81" s="575">
        <f t="shared" si="28"/>
        <v>0</v>
      </c>
      <c r="J81" s="785">
        <f t="shared" si="29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30"/>
        <v>8.484848484848484E-2</v>
      </c>
      <c r="O81" s="763">
        <f t="shared" si="31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v>1</v>
      </c>
      <c r="T81" s="761">
        <f t="shared" si="32"/>
        <v>0</v>
      </c>
      <c r="U81" s="761">
        <f>(((P81-(AQ81*P81))*AS81)+(AR81*(AQ81*P81)))/AO81</f>
        <v>61.186395417279016</v>
      </c>
      <c r="V81" s="761">
        <f>U81*O81*S81</f>
        <v>721.12537456078849</v>
      </c>
      <c r="W81" s="1145">
        <f t="shared" si="33"/>
        <v>36.170357142857142</v>
      </c>
      <c r="X81" s="1145">
        <f t="shared" si="33"/>
        <v>36.170357142857142</v>
      </c>
      <c r="Y81" s="1145">
        <f t="shared" si="33"/>
        <v>33.276728571428571</v>
      </c>
      <c r="Z81" s="1137">
        <f t="shared" si="34"/>
        <v>826.74281741793129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66.96501428571429</v>
      </c>
      <c r="AG81" s="768">
        <f t="shared" si="42"/>
        <v>8.58</v>
      </c>
      <c r="AH81" s="761">
        <f t="shared" si="41"/>
        <v>248.75871428571432</v>
      </c>
      <c r="AI81" s="761">
        <f t="shared" si="43"/>
        <v>24.875871428571433</v>
      </c>
      <c r="AJ81" s="761">
        <f t="shared" si="44"/>
        <v>248.75871428571432</v>
      </c>
      <c r="AK81" s="765">
        <f>EquipmentSpecs!L81</f>
        <v>1.1100000000000001</v>
      </c>
      <c r="AL81" s="763">
        <f t="shared" si="39"/>
        <v>13.082142857142859</v>
      </c>
      <c r="AM81" s="769">
        <f t="shared" si="40"/>
        <v>194.0081785714286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301.45491777108435</v>
      </c>
      <c r="U83" s="17"/>
      <c r="V83" s="257">
        <f>SUM(V64:V81)</f>
        <v>1537.4836020947846</v>
      </c>
      <c r="W83" s="1147"/>
      <c r="X83" s="1147">
        <f>Z83-(T83+V83)</f>
        <v>265.63668398527329</v>
      </c>
      <c r="Y83" s="1148">
        <f>(Z83-(T83+V83))/(T83+V83)</f>
        <v>0.14445109562697542</v>
      </c>
      <c r="Z83" s="257">
        <f>SUM(Z64:Z81)</f>
        <v>2104.5752038511423</v>
      </c>
      <c r="AA83" s="17"/>
      <c r="AB83" s="17"/>
      <c r="AC83" s="257">
        <f>SUM(AC64:AC81)</f>
        <v>111.18009884491087</v>
      </c>
      <c r="AD83" s="258"/>
      <c r="AE83" s="17"/>
      <c r="AF83" s="257">
        <f>SUM(AF64:AF81)</f>
        <v>142.72949949508899</v>
      </c>
      <c r="AG83" s="17"/>
      <c r="AH83" s="257">
        <f>SUM(AH64:AH81)</f>
        <v>970.30588149575181</v>
      </c>
      <c r="AI83" s="257">
        <f>SUM(AI64:AI81)</f>
        <v>97.030588149575181</v>
      </c>
      <c r="AJ83" s="257"/>
      <c r="AK83" s="17"/>
      <c r="AL83" s="259">
        <f>SUM(AL64:AL81)</f>
        <v>42.048991475132567</v>
      </c>
      <c r="AM83" s="257">
        <f>SUM(AM64:AM81)</f>
        <v>623.58654357621606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N35"/>
  <sheetViews>
    <sheetView zoomScaleNormal="100" workbookViewId="0">
      <selection activeCell="C1" sqref="C1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6" width="2.73046875" customWidth="1"/>
    <col min="7" max="7" width="25.73046875" bestFit="1" customWidth="1"/>
    <col min="8" max="8" width="8.73046875" customWidth="1"/>
    <col min="10" max="12" width="2.73046875" customWidth="1"/>
    <col min="13" max="13" width="38" bestFit="1" customWidth="1"/>
    <col min="14" max="14" width="8.73046875" customWidth="1"/>
    <col min="15" max="16" width="2.73046875" customWidth="1"/>
  </cols>
  <sheetData>
    <row r="1" spans="2:14" ht="13.9" x14ac:dyDescent="0.4">
      <c r="B1" s="1858" t="s">
        <v>1012</v>
      </c>
      <c r="C1" s="1862"/>
      <c r="D1" s="3"/>
      <c r="E1" s="3"/>
      <c r="F1" s="3"/>
      <c r="G1" s="1858" t="s">
        <v>1011</v>
      </c>
      <c r="H1" s="3"/>
      <c r="I1" s="3"/>
      <c r="J1" s="3"/>
      <c r="K1" s="3"/>
      <c r="L1" s="3"/>
      <c r="M1" s="3"/>
      <c r="N1" s="3"/>
    </row>
    <row r="2" spans="2:14" ht="13.9" x14ac:dyDescent="0.4">
      <c r="B2" s="532" t="s">
        <v>782</v>
      </c>
      <c r="C2" s="653"/>
      <c r="D2" s="3"/>
      <c r="E2" s="1190"/>
      <c r="F2" s="3"/>
      <c r="G2" s="4" t="s">
        <v>808</v>
      </c>
      <c r="H2" s="3"/>
      <c r="I2" s="3"/>
      <c r="J2" s="3"/>
      <c r="K2" s="1190"/>
      <c r="L2" s="532" t="s">
        <v>787</v>
      </c>
      <c r="M2" s="532"/>
      <c r="N2" s="653"/>
    </row>
    <row r="3" spans="2:14" ht="13.9" x14ac:dyDescent="0.4">
      <c r="B3" s="409" t="s">
        <v>583</v>
      </c>
      <c r="C3" s="846"/>
      <c r="D3" s="3"/>
      <c r="E3" s="1190"/>
      <c r="F3" s="3"/>
      <c r="G3" s="1243" t="s">
        <v>809</v>
      </c>
      <c r="H3" s="397"/>
      <c r="I3" s="397"/>
      <c r="J3" s="3"/>
      <c r="K3" s="1190"/>
      <c r="L3" s="3"/>
      <c r="M3" s="1243" t="s">
        <v>788</v>
      </c>
      <c r="N3" s="397"/>
    </row>
    <row r="4" spans="2:14" ht="13.9" x14ac:dyDescent="0.4">
      <c r="B4" s="4" t="s">
        <v>15</v>
      </c>
      <c r="C4" s="1791">
        <f>Print_Budget!D3</f>
        <v>105</v>
      </c>
      <c r="D4" s="3"/>
      <c r="E4" s="1190"/>
      <c r="F4" s="3"/>
      <c r="G4" s="3"/>
      <c r="H4" s="3"/>
      <c r="I4" s="3"/>
      <c r="J4" s="3"/>
      <c r="K4" s="1190"/>
      <c r="L4" s="3"/>
      <c r="M4" s="651" t="s">
        <v>492</v>
      </c>
      <c r="N4" s="1791">
        <f>Print_Summary!B6</f>
        <v>105</v>
      </c>
    </row>
    <row r="5" spans="2:14" ht="13.9" x14ac:dyDescent="0.4">
      <c r="B5" s="4" t="s">
        <v>21</v>
      </c>
      <c r="C5" s="1792">
        <f>Print_Budget!E3</f>
        <v>4.75</v>
      </c>
      <c r="D5" s="3"/>
      <c r="E5" s="1190"/>
      <c r="F5" s="3"/>
      <c r="G5" s="3"/>
      <c r="H5" s="3"/>
      <c r="I5" s="3"/>
      <c r="J5" s="3"/>
      <c r="K5" s="1190"/>
      <c r="L5" s="3"/>
      <c r="M5" s="651" t="s">
        <v>493</v>
      </c>
      <c r="N5" s="1802">
        <f>Print_Summary!B7</f>
        <v>4.75</v>
      </c>
    </row>
    <row r="6" spans="2:14" ht="13.9" x14ac:dyDescent="0.4">
      <c r="B6" s="651" t="s">
        <v>648</v>
      </c>
      <c r="C6" s="1793">
        <f>Budget!B3</f>
        <v>1</v>
      </c>
      <c r="D6" s="3"/>
      <c r="E6" s="1190"/>
      <c r="F6" s="3"/>
      <c r="G6" s="3"/>
      <c r="H6" s="3"/>
      <c r="I6" s="3"/>
      <c r="J6" s="3"/>
      <c r="K6" s="1190"/>
      <c r="L6" s="3"/>
      <c r="M6" s="651" t="s">
        <v>648</v>
      </c>
      <c r="N6" s="405">
        <f>Print_Summary!B8</f>
        <v>1</v>
      </c>
    </row>
    <row r="7" spans="2:14" ht="13.9" x14ac:dyDescent="0.4">
      <c r="B7" s="1185" t="s">
        <v>315</v>
      </c>
      <c r="C7" s="1794">
        <f>IF(A2_Budget_Look_Up!B7&gt;0,Print_Budget!F4,0)</f>
        <v>0</v>
      </c>
      <c r="D7" s="3"/>
      <c r="E7" s="1190"/>
      <c r="F7" s="3"/>
      <c r="G7" s="3"/>
      <c r="H7" s="3"/>
      <c r="I7" s="3"/>
      <c r="J7" s="3"/>
      <c r="K7" s="1190"/>
      <c r="L7" s="3"/>
      <c r="M7" s="652" t="s">
        <v>231</v>
      </c>
      <c r="N7" s="173">
        <f>N4*N5*N6</f>
        <v>498.75</v>
      </c>
    </row>
    <row r="8" spans="2:14" ht="13.5" x14ac:dyDescent="0.35">
      <c r="B8" s="1187"/>
      <c r="C8" s="1795"/>
      <c r="D8" s="3"/>
      <c r="E8" s="1190"/>
      <c r="F8" s="3"/>
      <c r="G8" s="3"/>
      <c r="H8" s="3"/>
      <c r="I8" s="3"/>
      <c r="J8" s="3"/>
      <c r="K8" s="1190"/>
      <c r="L8" s="3"/>
      <c r="M8" s="652" t="s">
        <v>315</v>
      </c>
      <c r="N8" s="173">
        <f>IF(A2_Budget_Look_Up!B7&gt;0,Print_Summary!B10,0)</f>
        <v>0</v>
      </c>
    </row>
    <row r="9" spans="2:14" ht="13.9" x14ac:dyDescent="0.4">
      <c r="B9" s="1185" t="s">
        <v>223</v>
      </c>
      <c r="C9" s="1794">
        <f>Print_Budget!F6</f>
        <v>27.04</v>
      </c>
      <c r="D9" s="3"/>
      <c r="E9" s="1190"/>
      <c r="F9" s="3"/>
      <c r="G9" s="1185" t="s">
        <v>223</v>
      </c>
      <c r="H9" s="1800">
        <f>C9</f>
        <v>27.04</v>
      </c>
      <c r="I9" s="3"/>
      <c r="J9" s="3"/>
      <c r="K9" s="1190"/>
      <c r="L9" s="3"/>
      <c r="M9" s="3"/>
      <c r="N9" s="4"/>
    </row>
    <row r="10" spans="2:14" ht="13.9" x14ac:dyDescent="0.4">
      <c r="B10" s="1185" t="s">
        <v>224</v>
      </c>
      <c r="C10" s="1794">
        <f>SUM(Print_Budget!F7:F12)</f>
        <v>185.44166666666666</v>
      </c>
      <c r="D10" s="3"/>
      <c r="E10" s="1190"/>
      <c r="F10" s="3"/>
      <c r="G10" s="1185" t="s">
        <v>420</v>
      </c>
      <c r="H10" s="1794">
        <f t="shared" ref="H10:H21" si="0">C10</f>
        <v>185.44166666666666</v>
      </c>
      <c r="I10" s="3"/>
      <c r="J10" s="3"/>
      <c r="K10" s="1190"/>
      <c r="L10" s="3"/>
      <c r="M10" s="648" t="s">
        <v>777</v>
      </c>
      <c r="N10" s="1542">
        <f>Print_Summary!B20</f>
        <v>424.04491062562187</v>
      </c>
    </row>
    <row r="11" spans="2:14" ht="13.9" x14ac:dyDescent="0.4">
      <c r="B11" s="1185" t="s">
        <v>494</v>
      </c>
      <c r="C11" s="1794">
        <f>SUM(Print_Budget!F13:F17)</f>
        <v>62.027450000000009</v>
      </c>
      <c r="D11" s="3"/>
      <c r="E11" s="1190"/>
      <c r="F11" s="3"/>
      <c r="G11" s="1185" t="s">
        <v>494</v>
      </c>
      <c r="H11" s="1794">
        <f t="shared" si="0"/>
        <v>62.027450000000009</v>
      </c>
      <c r="I11" s="3"/>
      <c r="J11" s="3"/>
      <c r="K11" s="1190"/>
      <c r="L11" s="3"/>
      <c r="M11" s="648" t="s">
        <v>789</v>
      </c>
      <c r="N11" s="1803">
        <f>Print_Summary!B21+Print_Summary!B22+Print_Summary!B23+Print_Summary!B24+Print_Summary!B26+Print_Summary!B28</f>
        <v>97.591907533297231</v>
      </c>
    </row>
    <row r="12" spans="2:14" ht="13.9" x14ac:dyDescent="0.4">
      <c r="B12" s="1185" t="s">
        <v>225</v>
      </c>
      <c r="C12" s="1794">
        <f>SUM(Print_Budget!F19:F22)</f>
        <v>76.5</v>
      </c>
      <c r="D12" s="3"/>
      <c r="E12" s="1190"/>
      <c r="F12" s="3"/>
      <c r="G12" s="1185" t="s">
        <v>225</v>
      </c>
      <c r="H12" s="1794">
        <f t="shared" si="0"/>
        <v>76.5</v>
      </c>
      <c r="I12" s="3"/>
      <c r="J12" s="3"/>
      <c r="K12" s="1190"/>
      <c r="L12" s="3"/>
      <c r="M12" s="648" t="s">
        <v>168</v>
      </c>
      <c r="N12" s="182">
        <f>SUM(N10:N11)</f>
        <v>521.63681815891914</v>
      </c>
    </row>
    <row r="13" spans="2:14" ht="13.9" x14ac:dyDescent="0.4">
      <c r="B13" s="1185" t="s">
        <v>421</v>
      </c>
      <c r="C13" s="1794">
        <f>Print_Budget!F30+Print_Budget!F31</f>
        <v>16.25</v>
      </c>
      <c r="D13" s="3"/>
      <c r="E13" s="1190"/>
      <c r="F13" s="3"/>
      <c r="G13" s="1185" t="s">
        <v>780</v>
      </c>
      <c r="H13" s="1794">
        <f t="shared" si="0"/>
        <v>16.25</v>
      </c>
      <c r="I13" s="3"/>
      <c r="J13" s="3"/>
      <c r="K13" s="1190"/>
      <c r="L13" s="3"/>
      <c r="M13" s="648" t="s">
        <v>790</v>
      </c>
      <c r="N13" s="1804">
        <f>Print_Summary!B27</f>
        <v>27.3</v>
      </c>
    </row>
    <row r="14" spans="2:14" ht="13.9" x14ac:dyDescent="0.4">
      <c r="B14" s="1185" t="s">
        <v>779</v>
      </c>
      <c r="C14" s="1794">
        <f>Print_Budget!F24+Print_Budget!F26</f>
        <v>13.379969447676972</v>
      </c>
      <c r="D14" s="3"/>
      <c r="E14" s="1190"/>
      <c r="F14" s="3"/>
      <c r="G14" s="1185" t="s">
        <v>779</v>
      </c>
      <c r="H14" s="1794">
        <f t="shared" si="0"/>
        <v>13.379969447676972</v>
      </c>
      <c r="I14" s="3"/>
      <c r="J14" s="3"/>
      <c r="K14" s="1190"/>
      <c r="L14" s="3"/>
      <c r="M14" s="652" t="s">
        <v>1007</v>
      </c>
      <c r="N14" s="173">
        <f>SUM(N12:N13)-N8</f>
        <v>548.9368181589191</v>
      </c>
    </row>
    <row r="15" spans="2:14" ht="13.9" x14ac:dyDescent="0.4">
      <c r="B15" s="1185" t="s">
        <v>422</v>
      </c>
      <c r="C15" s="1794">
        <f>Print_Budget!F28</f>
        <v>29.055824511278196</v>
      </c>
      <c r="D15" s="3"/>
      <c r="E15" s="1190"/>
      <c r="F15" s="3"/>
      <c r="G15" s="1185" t="s">
        <v>422</v>
      </c>
      <c r="H15" s="1794">
        <f t="shared" si="0"/>
        <v>29.055824511278196</v>
      </c>
      <c r="I15" s="3"/>
      <c r="J15" s="3"/>
      <c r="K15" s="1190"/>
      <c r="L15" s="3"/>
      <c r="M15" s="648" t="s">
        <v>759</v>
      </c>
      <c r="N15" s="570">
        <f>Print_Summary!B31</f>
        <v>0</v>
      </c>
    </row>
    <row r="16" spans="2:14" ht="13.9" x14ac:dyDescent="0.4">
      <c r="B16" s="1185" t="s">
        <v>778</v>
      </c>
      <c r="C16" s="1794">
        <f>Print_Budget!F33+Print_Budget!F34</f>
        <v>6</v>
      </c>
      <c r="D16" s="3"/>
      <c r="E16" s="1190"/>
      <c r="F16" s="3"/>
      <c r="G16" s="1185" t="s">
        <v>778</v>
      </c>
      <c r="H16" s="1794">
        <f t="shared" si="0"/>
        <v>6</v>
      </c>
      <c r="I16" s="3"/>
      <c r="J16" s="3"/>
      <c r="K16" s="1190"/>
      <c r="L16" s="3"/>
      <c r="M16" s="652" t="s">
        <v>233</v>
      </c>
      <c r="N16" s="173">
        <f>N7-N14-N15</f>
        <v>-50.186818158919095</v>
      </c>
    </row>
    <row r="17" spans="2:14" ht="13.9" x14ac:dyDescent="0.4">
      <c r="B17" s="1185" t="s">
        <v>1</v>
      </c>
      <c r="C17" s="1794">
        <f>Print_Budget!F35</f>
        <v>31</v>
      </c>
      <c r="D17" s="3"/>
      <c r="E17" s="1190"/>
      <c r="F17" s="3"/>
      <c r="G17" s="1185" t="s">
        <v>1</v>
      </c>
      <c r="H17" s="1794">
        <f t="shared" si="0"/>
        <v>31</v>
      </c>
      <c r="I17" s="3"/>
      <c r="J17" s="3"/>
      <c r="K17" s="1190"/>
      <c r="L17" s="3"/>
      <c r="M17" s="652"/>
      <c r="N17" s="4"/>
    </row>
    <row r="18" spans="2:14" ht="13.9" x14ac:dyDescent="0.4">
      <c r="B18" s="1185" t="s">
        <v>226</v>
      </c>
      <c r="C18" s="1794">
        <f>Print_Budget!F25+Print_Budget!F27+Print_Budget!F29</f>
        <v>22.281558492000876</v>
      </c>
      <c r="D18" s="3"/>
      <c r="E18" s="1190"/>
      <c r="F18" s="3"/>
      <c r="G18" s="1185" t="s">
        <v>205</v>
      </c>
      <c r="H18" s="1794">
        <f t="shared" si="0"/>
        <v>22.281558492000876</v>
      </c>
      <c r="I18" s="3"/>
      <c r="J18" s="3"/>
      <c r="K18" s="1190"/>
      <c r="L18" s="3"/>
      <c r="M18" s="648" t="s">
        <v>249</v>
      </c>
      <c r="N18" s="1803">
        <f>Print_Summary!B32</f>
        <v>141.29136262745436</v>
      </c>
    </row>
    <row r="19" spans="2:14" ht="13.9" x14ac:dyDescent="0.4">
      <c r="B19" s="1185" t="s">
        <v>214</v>
      </c>
      <c r="C19" s="1794">
        <f>Trips!E45+Trips!E51+Trips!E72+Trips!E76</f>
        <v>10.52686500859007</v>
      </c>
      <c r="D19" s="3"/>
      <c r="E19" s="1190"/>
      <c r="F19" s="3"/>
      <c r="G19" s="1185" t="s">
        <v>214</v>
      </c>
      <c r="H19" s="1794">
        <f t="shared" si="0"/>
        <v>10.52686500859007</v>
      </c>
      <c r="I19" s="3"/>
      <c r="J19" s="3"/>
      <c r="K19" s="1190"/>
      <c r="L19" s="3"/>
      <c r="M19" s="308" t="s">
        <v>650</v>
      </c>
      <c r="N19" s="173">
        <f>N14+N18</f>
        <v>690.22818078637351</v>
      </c>
    </row>
    <row r="20" spans="2:14" ht="13.9" x14ac:dyDescent="0.4">
      <c r="B20" s="1185" t="s">
        <v>28</v>
      </c>
      <c r="C20" s="1794">
        <f>Print_Budget!F36</f>
        <v>20.665084032706279</v>
      </c>
      <c r="D20" s="3"/>
      <c r="E20" s="1190"/>
      <c r="F20" s="3"/>
      <c r="G20" s="1185" t="s">
        <v>784</v>
      </c>
      <c r="H20" s="1794"/>
      <c r="I20" s="3"/>
      <c r="J20" s="3"/>
      <c r="K20" s="1190"/>
      <c r="L20" s="3"/>
      <c r="M20" s="3"/>
      <c r="N20" s="4"/>
    </row>
    <row r="21" spans="2:14" ht="13.9" x14ac:dyDescent="0.4">
      <c r="B21" s="1185" t="s">
        <v>435</v>
      </c>
      <c r="C21" s="1794">
        <f>Print_Budget!F37</f>
        <v>0</v>
      </c>
      <c r="D21" s="3"/>
      <c r="E21" s="1190"/>
      <c r="F21" s="3"/>
      <c r="G21" s="1185" t="s">
        <v>435</v>
      </c>
      <c r="H21" s="1794">
        <f t="shared" si="0"/>
        <v>0</v>
      </c>
      <c r="I21" s="3"/>
      <c r="J21" s="3"/>
      <c r="K21" s="1190"/>
      <c r="L21" s="3"/>
      <c r="M21" s="308" t="s">
        <v>761</v>
      </c>
      <c r="N21" s="173">
        <f>N7-N19</f>
        <v>-191.47818078637351</v>
      </c>
    </row>
    <row r="22" spans="2:14" ht="13.9" x14ac:dyDescent="0.4">
      <c r="B22" s="1185" t="s">
        <v>790</v>
      </c>
      <c r="C22" s="1794">
        <f>Print_Budget!F39+Print_Budget!F40</f>
        <v>26.25</v>
      </c>
      <c r="D22" s="3"/>
      <c r="E22" s="1190"/>
      <c r="F22" s="3"/>
      <c r="G22" s="1185" t="s">
        <v>785</v>
      </c>
      <c r="H22" s="1794"/>
      <c r="I22" s="3"/>
      <c r="J22" s="3"/>
      <c r="K22" s="1190"/>
      <c r="L22" s="3"/>
      <c r="M22" s="3"/>
      <c r="N22" s="3"/>
    </row>
    <row r="23" spans="2:14" ht="13.9" x14ac:dyDescent="0.4">
      <c r="B23" s="1185" t="s">
        <v>760</v>
      </c>
      <c r="C23" s="1796">
        <f>Budget!F42+IF(A2_Budget_Look_Up!B13&gt;0,Budget!F43,0)</f>
        <v>1.05</v>
      </c>
      <c r="D23" s="3"/>
      <c r="E23" s="1190"/>
      <c r="F23" s="3"/>
      <c r="G23" s="1185" t="s">
        <v>16</v>
      </c>
      <c r="H23" s="1794">
        <f>C24</f>
        <v>0</v>
      </c>
      <c r="I23" s="3"/>
      <c r="J23" s="3"/>
      <c r="K23" s="1190"/>
      <c r="L23" s="3"/>
      <c r="M23" s="3"/>
      <c r="N23" s="3"/>
    </row>
    <row r="24" spans="2:14" ht="13.9" x14ac:dyDescent="0.4">
      <c r="B24" s="648" t="s">
        <v>759</v>
      </c>
      <c r="C24" s="1797">
        <f>Print_Budget!F43</f>
        <v>0</v>
      </c>
      <c r="D24" s="3"/>
      <c r="E24" s="1190"/>
      <c r="F24" s="3"/>
      <c r="G24" s="3"/>
      <c r="H24" s="1794"/>
      <c r="I24" s="3"/>
      <c r="J24" s="3"/>
      <c r="K24" s="1190"/>
      <c r="L24" s="3"/>
      <c r="M24" s="3"/>
      <c r="N24" s="3"/>
    </row>
    <row r="25" spans="2:14" ht="13.9" x14ac:dyDescent="0.4">
      <c r="B25" s="3"/>
      <c r="C25" s="1798"/>
      <c r="D25" s="3"/>
      <c r="E25" s="1190"/>
      <c r="F25" s="3"/>
      <c r="G25" s="648" t="s">
        <v>249</v>
      </c>
      <c r="H25" s="1794">
        <f>C26+C27</f>
        <v>136.15766658090882</v>
      </c>
      <c r="I25" s="3"/>
      <c r="J25" s="3"/>
      <c r="K25" s="1190"/>
      <c r="L25" s="3"/>
      <c r="M25" s="3"/>
      <c r="N25" s="3"/>
    </row>
    <row r="26" spans="2:14" ht="13.9" x14ac:dyDescent="0.4">
      <c r="B26" s="648" t="s">
        <v>123</v>
      </c>
      <c r="C26" s="1797">
        <f>Print_Budget!F47</f>
        <v>102.67392093091048</v>
      </c>
      <c r="D26" s="3"/>
      <c r="E26" s="1190"/>
      <c r="F26" s="3"/>
      <c r="G26" s="648" t="s">
        <v>647</v>
      </c>
      <c r="H26" s="1801">
        <f>C28</f>
        <v>5.1336960465455244</v>
      </c>
      <c r="I26" s="3"/>
      <c r="J26" s="3"/>
      <c r="K26" s="1190"/>
      <c r="L26" s="3"/>
      <c r="M26" s="3"/>
      <c r="N26" s="3"/>
    </row>
    <row r="27" spans="2:14" ht="13.9" x14ac:dyDescent="0.4">
      <c r="B27" s="648" t="s">
        <v>303</v>
      </c>
      <c r="C27" s="1797">
        <f>Print_Budget!F48</f>
        <v>33.48374564999834</v>
      </c>
      <c r="D27" s="3"/>
      <c r="E27" s="1190"/>
      <c r="F27" s="3"/>
      <c r="G27" s="3"/>
      <c r="H27" s="570"/>
      <c r="I27" s="3"/>
      <c r="J27" s="3"/>
      <c r="K27" s="1190"/>
      <c r="L27" s="3"/>
      <c r="M27" s="3"/>
      <c r="N27" s="3"/>
    </row>
    <row r="28" spans="2:14" ht="13.9" x14ac:dyDescent="0.4">
      <c r="B28" s="648" t="s">
        <v>491</v>
      </c>
      <c r="C28" s="1799">
        <f>Print_Budget!F49</f>
        <v>5.1336960465455244</v>
      </c>
      <c r="D28" s="3"/>
      <c r="E28" s="1190"/>
      <c r="F28" s="3"/>
      <c r="G28" s="3"/>
      <c r="H28" s="570"/>
      <c r="I28" s="3"/>
      <c r="J28" s="3"/>
      <c r="K28" s="1190"/>
      <c r="L28" s="3"/>
      <c r="M28" s="3"/>
      <c r="N28" s="3"/>
    </row>
    <row r="29" spans="2:14" x14ac:dyDescent="0.35">
      <c r="B29" s="3"/>
      <c r="C29" s="3"/>
      <c r="D29" s="3"/>
      <c r="E29" s="1190"/>
      <c r="F29" s="3"/>
      <c r="G29" s="3"/>
      <c r="H29" s="3"/>
      <c r="I29" s="3"/>
      <c r="J29" s="3"/>
      <c r="K29" s="1190"/>
      <c r="L29" s="3"/>
      <c r="M29" s="3"/>
      <c r="N29" s="3"/>
    </row>
    <row r="30" spans="2:14" ht="13.5" x14ac:dyDescent="0.35">
      <c r="B30" s="652" t="s">
        <v>777</v>
      </c>
      <c r="C30" s="173">
        <f>SUM(C9:C15)</f>
        <v>409.69491062562184</v>
      </c>
      <c r="D30" s="3"/>
      <c r="E30" s="1190"/>
      <c r="F30" s="3"/>
      <c r="G30" s="3"/>
      <c r="H30" s="3"/>
      <c r="I30" s="3"/>
      <c r="J30" s="3"/>
      <c r="K30" s="1190"/>
      <c r="L30" s="3"/>
      <c r="M30" s="3"/>
      <c r="N30" s="3"/>
    </row>
    <row r="31" spans="2:14" ht="13.5" x14ac:dyDescent="0.35">
      <c r="B31" s="652" t="s">
        <v>640</v>
      </c>
      <c r="C31" s="173">
        <f>SUM(C9:C19)</f>
        <v>479.50333412621279</v>
      </c>
      <c r="D31" s="3"/>
      <c r="E31" s="1190"/>
      <c r="F31" s="3"/>
      <c r="G31" s="3"/>
      <c r="H31" s="3"/>
      <c r="I31" s="3"/>
      <c r="J31" s="3"/>
      <c r="K31" s="1190"/>
      <c r="L31" s="3"/>
      <c r="M31" s="3"/>
      <c r="N31" s="3"/>
    </row>
    <row r="32" spans="2:14" ht="13.5" x14ac:dyDescent="0.35">
      <c r="B32" s="652" t="s">
        <v>229</v>
      </c>
      <c r="C32" s="173">
        <f>SUM(C9:C23)-(C7)</f>
        <v>527.46841815891901</v>
      </c>
      <c r="D32" s="3"/>
      <c r="E32" s="1190"/>
      <c r="F32" s="3"/>
      <c r="G32" s="3"/>
      <c r="H32" s="3"/>
      <c r="I32" s="3"/>
      <c r="J32" s="3"/>
      <c r="K32" s="1190"/>
      <c r="L32" s="3"/>
      <c r="M32" s="3"/>
      <c r="N32" s="3"/>
    </row>
    <row r="33" spans="2:3" ht="13.5" x14ac:dyDescent="0.35">
      <c r="B33" s="173" t="s">
        <v>249</v>
      </c>
      <c r="C33" s="173">
        <f>SUM(C26:C28)</f>
        <v>141.29136262745436</v>
      </c>
    </row>
    <row r="34" spans="2:3" ht="13.5" x14ac:dyDescent="0.35">
      <c r="B34" s="308" t="s">
        <v>650</v>
      </c>
      <c r="C34" s="173">
        <f>C32+C33</f>
        <v>668.75978078637331</v>
      </c>
    </row>
    <row r="35" spans="2:3" ht="13.5" x14ac:dyDescent="0.35">
      <c r="B35" s="308" t="s">
        <v>761</v>
      </c>
      <c r="C35" s="173">
        <f>(C4*C5*C6)-C24-C34</f>
        <v>-170.00978078637331</v>
      </c>
    </row>
  </sheetData>
  <sheetProtection selectLockedCells="1"/>
  <hyperlinks>
    <hyperlink ref="B1" location="Budget!F1" display="Return to Budget Worksheet" xr:uid="{00000000-0004-0000-1F00-000000000000}"/>
    <hyperlink ref="G1" location="Irrigation!B7" display="Goto Irrigation Worksheet" xr:uid="{00000000-0004-0000-1F00-000001000000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O7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2.75" x14ac:dyDescent="0.35"/>
  <cols>
    <col min="1" max="1" width="2.73046875" customWidth="1"/>
    <col min="2" max="2" width="31.265625" bestFit="1" customWidth="1"/>
  </cols>
  <sheetData>
    <row r="1" spans="2:15" x14ac:dyDescent="0.35">
      <c r="B1" s="1789" t="s">
        <v>1012</v>
      </c>
      <c r="C1" s="39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13.15" x14ac:dyDescent="0.4">
      <c r="B2" s="1366" t="s">
        <v>840</v>
      </c>
      <c r="C2" s="1434"/>
      <c r="D2" s="1431"/>
      <c r="E2" s="1435"/>
      <c r="F2" s="1432"/>
      <c r="G2" s="1436" t="s">
        <v>884</v>
      </c>
      <c r="H2" s="1437"/>
      <c r="I2" s="1437"/>
      <c r="J2" s="1437"/>
      <c r="K2" s="1438"/>
      <c r="L2" s="1438"/>
      <c r="M2" s="1438"/>
      <c r="N2" s="1438"/>
      <c r="O2" s="1439"/>
    </row>
    <row r="3" spans="2:15" ht="13.15" x14ac:dyDescent="0.4">
      <c r="B3" s="1430"/>
      <c r="C3" s="1435" t="s">
        <v>885</v>
      </c>
      <c r="D3" s="1431"/>
      <c r="E3" s="1432"/>
      <c r="F3" s="1433"/>
      <c r="G3" s="1529" t="s">
        <v>963</v>
      </c>
      <c r="H3" s="1424"/>
      <c r="I3" s="1425" t="s">
        <v>964</v>
      </c>
      <c r="J3" s="1426"/>
      <c r="K3" s="1427" t="s">
        <v>883</v>
      </c>
      <c r="L3" s="1428"/>
      <c r="M3" s="1440" t="s">
        <v>886</v>
      </c>
      <c r="N3" s="1429"/>
      <c r="O3" s="1389"/>
    </row>
    <row r="4" spans="2:15" ht="13.15" x14ac:dyDescent="0.4">
      <c r="B4" s="1364" t="s">
        <v>217</v>
      </c>
      <c r="C4" s="1360" t="s">
        <v>117</v>
      </c>
      <c r="D4" s="1365" t="s">
        <v>216</v>
      </c>
      <c r="E4" s="1351" t="s">
        <v>47</v>
      </c>
      <c r="F4" s="1352" t="s">
        <v>48</v>
      </c>
      <c r="G4" s="1390" t="s">
        <v>47</v>
      </c>
      <c r="H4" s="1391" t="s">
        <v>48</v>
      </c>
      <c r="I4" s="1397" t="s">
        <v>47</v>
      </c>
      <c r="J4" s="994" t="s">
        <v>48</v>
      </c>
      <c r="K4" s="1402" t="s">
        <v>47</v>
      </c>
      <c r="L4" s="1403" t="s">
        <v>48</v>
      </c>
      <c r="M4" s="1409" t="s">
        <v>47</v>
      </c>
      <c r="N4" s="1410" t="s">
        <v>48</v>
      </c>
      <c r="O4" s="1417" t="s">
        <v>117</v>
      </c>
    </row>
    <row r="5" spans="2:15" x14ac:dyDescent="0.35">
      <c r="B5" s="253" t="str">
        <f>Machine!A14</f>
        <v>Paratill</v>
      </c>
      <c r="C5" s="1361">
        <f>A6_Machine_Look_Up!J14</f>
        <v>8</v>
      </c>
      <c r="D5" s="31" t="str">
        <f>IF(Machine!B14&gt;0,Machine!B14," ")</f>
        <v xml:space="preserve"> </v>
      </c>
      <c r="E5" s="1524"/>
      <c r="F5" s="1354" t="str">
        <f>IF(Machine!$B14&gt;0,E5*Trips!$M4*$D5," ")</f>
        <v xml:space="preserve"> </v>
      </c>
      <c r="G5" s="1392">
        <f>IF(AND($D5&gt;0,Machine!$H14&lt;=170),$E5,0)</f>
        <v>0</v>
      </c>
      <c r="H5" s="1393" t="str">
        <f>IF(Machine!$B14&gt;0,G5*Trips!$M4*$D5," ")</f>
        <v xml:space="preserve"> </v>
      </c>
      <c r="I5" s="1398">
        <f>IF(AND($D5&gt;0,Machine!$H14&gt;170,Machine!$H14&lt;200),$E5,0)</f>
        <v>0</v>
      </c>
      <c r="J5" s="1399" t="str">
        <f>IF(Machine!$B14&gt;0,I5*Trips!$M4*$D5," ")</f>
        <v xml:space="preserve"> </v>
      </c>
      <c r="K5" s="1404">
        <f>IF(AND($D5&gt;0,Machine!$H14&gt;=200,Machine!$H14&lt;250),$E5,0)</f>
        <v>0</v>
      </c>
      <c r="L5" s="1405" t="str">
        <f>IF(Machine!$B14&gt;0,K5*Trips!$M4*$D5," ")</f>
        <v xml:space="preserve"> </v>
      </c>
      <c r="M5" s="1411">
        <f>IF(AND($D5&gt;0,Machine!$H14&gt;=250),$E5,0)</f>
        <v>0</v>
      </c>
      <c r="N5" s="1412" t="str">
        <f>IF(Machine!$B14&gt;0,M5*Trips!$M4*$D5," ")</f>
        <v xml:space="preserve"> </v>
      </c>
      <c r="O5" s="1418">
        <f>A6_Machine_Look_Up!L14</f>
        <v>8</v>
      </c>
    </row>
    <row r="6" spans="2:15" x14ac:dyDescent="0.35">
      <c r="B6" s="253" t="str">
        <f>Machine!A15</f>
        <v>Subsoiler, 25 ft.</v>
      </c>
      <c r="C6" s="1361">
        <f>A6_Machine_Look_Up!J15</f>
        <v>8</v>
      </c>
      <c r="D6" s="1355" t="str">
        <f>IF(Machine!B15&gt;0,Machine!B15," ")</f>
        <v xml:space="preserve"> </v>
      </c>
      <c r="E6" s="1525"/>
      <c r="F6" s="1354" t="str">
        <f>IF(Machine!$B15&gt;0,E6*Trips!$M5*$D6," ")</f>
        <v xml:space="preserve"> </v>
      </c>
      <c r="G6" s="1394">
        <f>IF(AND($D6&gt;0,Machine!$H15&lt;=170),$E6,0)</f>
        <v>0</v>
      </c>
      <c r="H6" s="1393" t="str">
        <f>IF(Machine!$B15&gt;0,G6*Trips!$M5*$D6," ")</f>
        <v xml:space="preserve"> </v>
      </c>
      <c r="I6" s="1398">
        <f>IF(AND($D6&gt;0,Machine!$H15&gt;170,Machine!$H15&lt;200),$E6,0)</f>
        <v>0</v>
      </c>
      <c r="J6" s="1399" t="str">
        <f>IF(Machine!$B15&gt;0,I6*Trips!$M5*$D6," ")</f>
        <v xml:space="preserve"> </v>
      </c>
      <c r="K6" s="1404">
        <f>IF(AND($D6&gt;0,Machine!$H15&gt;=200,Machine!$H15&lt;250),$E6,0)</f>
        <v>0</v>
      </c>
      <c r="L6" s="1405" t="str">
        <f>IF(Machine!$B15&gt;0,K6*Trips!$M5*$D6," ")</f>
        <v xml:space="preserve"> </v>
      </c>
      <c r="M6" s="1413">
        <f>IF(AND($D6&gt;0,Machine!$H15&gt;=250),$E6,0)</f>
        <v>0</v>
      </c>
      <c r="N6" s="1412" t="str">
        <f>IF(Machine!$B15&gt;0,M6*Trips!$M5*$D6," ")</f>
        <v xml:space="preserve"> </v>
      </c>
      <c r="O6" s="1419">
        <f>A6_Machine_Look_Up!L15</f>
        <v>8</v>
      </c>
    </row>
    <row r="7" spans="2:15" x14ac:dyDescent="0.35">
      <c r="B7" s="253" t="str">
        <f>Machine!A16</f>
        <v>Subsoiler, 5 shank</v>
      </c>
      <c r="C7" s="1361">
        <f>A6_Machine_Look_Up!J16</f>
        <v>8</v>
      </c>
      <c r="D7" s="1355" t="str">
        <f>IF(Machine!B16&gt;0,Machine!B16," ")</f>
        <v xml:space="preserve"> </v>
      </c>
      <c r="E7" s="1525"/>
      <c r="F7" s="1354" t="str">
        <f>IF(Machine!$B16&gt;0,E7*Trips!$M6*$D7," ")</f>
        <v xml:space="preserve"> </v>
      </c>
      <c r="G7" s="1394">
        <f>IF(AND($D7&gt;0,Machine!$H16&lt;=170),$E7,0)</f>
        <v>0</v>
      </c>
      <c r="H7" s="1393" t="str">
        <f>IF(Machine!$B16&gt;0,G7*Trips!$M6*$D7," ")</f>
        <v xml:space="preserve"> </v>
      </c>
      <c r="I7" s="1398">
        <f>IF(AND($D7&gt;0,Machine!$H16&gt;170,Machine!$H16&lt;200),$E7,0)</f>
        <v>0</v>
      </c>
      <c r="J7" s="1399" t="str">
        <f>IF(Machine!$B16&gt;0,I7*Trips!$M6*$D7," ")</f>
        <v xml:space="preserve"> </v>
      </c>
      <c r="K7" s="1404">
        <f>IF(AND($D7&gt;0,Machine!$H16&gt;=200,Machine!$H16&lt;250),$E7,0)</f>
        <v>0</v>
      </c>
      <c r="L7" s="1405" t="str">
        <f>IF(Machine!$B16&gt;0,K7*Trips!$M6*$D7," ")</f>
        <v xml:space="preserve"> </v>
      </c>
      <c r="M7" s="1413">
        <f>IF(AND($D7&gt;0,Machine!$H16&gt;=250),$E7,0)</f>
        <v>0</v>
      </c>
      <c r="N7" s="1412" t="str">
        <f>IF(Machine!$B16&gt;0,M7*Trips!$M6*$D7," ")</f>
        <v xml:space="preserve"> </v>
      </c>
      <c r="O7" s="1419">
        <f>A6_Machine_Look_Up!L16</f>
        <v>8</v>
      </c>
    </row>
    <row r="8" spans="2:15" x14ac:dyDescent="0.35">
      <c r="B8" s="253" t="str">
        <f>Machine!A17</f>
        <v>Bedder, Rip/Disk</v>
      </c>
      <c r="C8" s="1361">
        <f>A6_Machine_Look_Up!J17</f>
        <v>8</v>
      </c>
      <c r="D8" s="1355" t="str">
        <f>IF(Machine!B17&gt;0,Machine!B17," ")</f>
        <v xml:space="preserve"> </v>
      </c>
      <c r="E8" s="1525"/>
      <c r="F8" s="1354" t="str">
        <f>IF(Machine!$B17&gt;0,E8*Trips!$M7*$D8," ")</f>
        <v xml:space="preserve"> </v>
      </c>
      <c r="G8" s="1394">
        <f>IF(AND($D8&gt;0,Machine!$H17&lt;=170),$E8,0)</f>
        <v>0</v>
      </c>
      <c r="H8" s="1393" t="str">
        <f>IF(Machine!$B17&gt;0,G8*Trips!$M7*$D8," ")</f>
        <v xml:space="preserve"> </v>
      </c>
      <c r="I8" s="1398">
        <f>IF(AND($D8&gt;0,Machine!$H17&gt;170,Machine!$H17&lt;200),$E8,0)</f>
        <v>0</v>
      </c>
      <c r="J8" s="1399" t="str">
        <f>IF(Machine!$B17&gt;0,I8*Trips!$M7*$D8," ")</f>
        <v xml:space="preserve"> </v>
      </c>
      <c r="K8" s="1404">
        <f>IF(AND($D8&gt;0,Machine!$H17&gt;=200,Machine!$H17&lt;250),$E8,0)</f>
        <v>0</v>
      </c>
      <c r="L8" s="1405" t="str">
        <f>IF(Machine!$B17&gt;0,K8*Trips!$M7*$D8," ")</f>
        <v xml:space="preserve"> </v>
      </c>
      <c r="M8" s="1413">
        <f>IF(AND($D8&gt;0,Machine!$H17&gt;=250),$E8,0)</f>
        <v>0</v>
      </c>
      <c r="N8" s="1412" t="str">
        <f>IF(Machine!$B17&gt;0,M8*Trips!$M7*$D8," ")</f>
        <v xml:space="preserve"> </v>
      </c>
      <c r="O8" s="1419">
        <f>A6_Machine_Look_Up!L17</f>
        <v>8</v>
      </c>
    </row>
    <row r="9" spans="2:15" x14ac:dyDescent="0.35">
      <c r="B9" s="253" t="str">
        <f>Machine!A18</f>
        <v>Bedder, Lister</v>
      </c>
      <c r="C9" s="1361">
        <f>A6_Machine_Look_Up!J18</f>
        <v>8</v>
      </c>
      <c r="D9" s="1355" t="str">
        <f>IF(Machine!B18&gt;0,Machine!B18," ")</f>
        <v xml:space="preserve"> </v>
      </c>
      <c r="E9" s="1525"/>
      <c r="F9" s="1354" t="str">
        <f>IF(Machine!$B18&gt;0,E9*Trips!$M8*$D9," ")</f>
        <v xml:space="preserve"> </v>
      </c>
      <c r="G9" s="1394">
        <f>IF(AND($D9&gt;0,Machine!$H18&lt;=170),$E9,0)</f>
        <v>0</v>
      </c>
      <c r="H9" s="1393" t="str">
        <f>IF(Machine!$B18&gt;0,G9*Trips!$M8*$D9," ")</f>
        <v xml:space="preserve"> </v>
      </c>
      <c r="I9" s="1398">
        <f>IF(AND($D9&gt;0,Machine!$H18&gt;170,Machine!$H18&lt;200),$E9,0)</f>
        <v>0</v>
      </c>
      <c r="J9" s="1399" t="str">
        <f>IF(Machine!$B18&gt;0,I9*Trips!$M8*$D9," ")</f>
        <v xml:space="preserve"> </v>
      </c>
      <c r="K9" s="1404">
        <f>IF(AND($D9&gt;0,Machine!$H18&gt;=200,Machine!$H18&lt;250),$E9,0)</f>
        <v>0</v>
      </c>
      <c r="L9" s="1405" t="str">
        <f>IF(Machine!$B18&gt;0,K9*Trips!$M8*$D9," ")</f>
        <v xml:space="preserve"> </v>
      </c>
      <c r="M9" s="1413">
        <f>IF(AND($D9&gt;0,Machine!$H18&gt;=250),$E9,0)</f>
        <v>0</v>
      </c>
      <c r="N9" s="1412" t="str">
        <f>IF(Machine!$B18&gt;0,M9*Trips!$M8*$D9," ")</f>
        <v xml:space="preserve"> </v>
      </c>
      <c r="O9" s="1419">
        <f>A6_Machine_Look_Up!L18</f>
        <v>8</v>
      </c>
    </row>
    <row r="10" spans="2:15" x14ac:dyDescent="0.35">
      <c r="B10" s="253" t="str">
        <f>Machine!A19</f>
        <v>Disk</v>
      </c>
      <c r="C10" s="1361">
        <f>A6_Machine_Look_Up!J19</f>
        <v>8</v>
      </c>
      <c r="D10" s="1355" t="str">
        <f>IF(Machine!B19&gt;0,Machine!B19," ")</f>
        <v xml:space="preserve"> </v>
      </c>
      <c r="E10" s="1525"/>
      <c r="F10" s="1354" t="str">
        <f>IF(Machine!$B19&gt;0,E10*Trips!$M9*$D10," ")</f>
        <v xml:space="preserve"> </v>
      </c>
      <c r="G10" s="1394">
        <f>IF(AND($D10&gt;0,Machine!$H19&lt;=170),$E10,0)</f>
        <v>0</v>
      </c>
      <c r="H10" s="1393" t="str">
        <f>IF(Machine!$B19&gt;0,G10*Trips!$M9*$D10," ")</f>
        <v xml:space="preserve"> </v>
      </c>
      <c r="I10" s="1398">
        <f>IF(AND($D10&gt;0,Machine!$H19&gt;170,Machine!$H19&lt;200),$E10,0)</f>
        <v>0</v>
      </c>
      <c r="J10" s="1399" t="str">
        <f>IF(Machine!$B19&gt;0,I10*Trips!$M9*$D10," ")</f>
        <v xml:space="preserve"> </v>
      </c>
      <c r="K10" s="1404">
        <f>IF(AND($D10&gt;0,Machine!$H19&gt;=200,Machine!$H19&lt;250),$E10,0)</f>
        <v>0</v>
      </c>
      <c r="L10" s="1405" t="str">
        <f>IF(Machine!$B19&gt;0,K10*Trips!$M9*$D10," ")</f>
        <v xml:space="preserve"> </v>
      </c>
      <c r="M10" s="1413">
        <f>IF(AND($D10&gt;0,Machine!$H19&gt;=250),$E10,0)</f>
        <v>0</v>
      </c>
      <c r="N10" s="1412" t="str">
        <f>IF(Machine!$B19&gt;0,M10*Trips!$M9*$D10," ")</f>
        <v xml:space="preserve"> </v>
      </c>
      <c r="O10" s="1419">
        <f>A6_Machine_Look_Up!L19</f>
        <v>8</v>
      </c>
    </row>
    <row r="11" spans="2:15" x14ac:dyDescent="0.35">
      <c r="B11" s="253" t="str">
        <f>Machine!A20</f>
        <v>Bedder, Hipper</v>
      </c>
      <c r="C11" s="1361">
        <f>A6_Machine_Look_Up!J20</f>
        <v>8</v>
      </c>
      <c r="D11" s="1355">
        <f>IF(Machine!B20&gt;0,Machine!B20," ")</f>
        <v>2</v>
      </c>
      <c r="E11" s="1525">
        <v>1000</v>
      </c>
      <c r="F11" s="1354">
        <f>IF(Machine!$B20&gt;0,E11*Trips!$M10*$D11," ")</f>
        <v>120.6140350877193</v>
      </c>
      <c r="G11" s="1394">
        <f>IF(AND($D11&gt;0,Machine!$H20&lt;=170),$E11,0)</f>
        <v>0</v>
      </c>
      <c r="H11" s="1393">
        <f>IF(Machine!$B20&gt;0,G11*Trips!$M10*$D11," ")</f>
        <v>0</v>
      </c>
      <c r="I11" s="1398">
        <f>IF(AND($D11&gt;0,Machine!$H20&gt;170,Machine!$H20&lt;200),$E11,0)</f>
        <v>0</v>
      </c>
      <c r="J11" s="1399">
        <f>IF(Machine!$B20&gt;0,I11*Trips!$M10*$D11," ")</f>
        <v>0</v>
      </c>
      <c r="K11" s="1404">
        <f>IF(AND($D11&gt;0,Machine!$H20&gt;=200,Machine!$H20&lt;250),$E11,0)</f>
        <v>1000</v>
      </c>
      <c r="L11" s="1405">
        <f>IF(Machine!$B20&gt;0,K11*Trips!$M10*$D11," ")</f>
        <v>120.6140350877193</v>
      </c>
      <c r="M11" s="1413">
        <f>IF(AND($D11&gt;0,Machine!$H20&gt;=250),$E11,0)</f>
        <v>0</v>
      </c>
      <c r="N11" s="1412">
        <f>IF(Machine!$B20&gt;0,M11*Trips!$M10*$D11," ")</f>
        <v>0</v>
      </c>
      <c r="O11" s="1419">
        <f>A6_Machine_Look_Up!L20</f>
        <v>8</v>
      </c>
    </row>
    <row r="12" spans="2:15" x14ac:dyDescent="0.35">
      <c r="B12" s="253" t="str">
        <f>Machine!A21</f>
        <v>Chisel Plow</v>
      </c>
      <c r="C12" s="1361">
        <f>A6_Machine_Look_Up!J21</f>
        <v>8</v>
      </c>
      <c r="D12" s="1355" t="str">
        <f>IF(Machine!B21&gt;0,Machine!B21," ")</f>
        <v xml:space="preserve"> </v>
      </c>
      <c r="E12" s="1525"/>
      <c r="F12" s="1354" t="str">
        <f>IF(Machine!$B21&gt;0,E12*Trips!$M11*$D12," ")</f>
        <v xml:space="preserve"> </v>
      </c>
      <c r="G12" s="1394">
        <f>IF(AND($D12&gt;0,Machine!$H21&lt;=170),$E12,0)</f>
        <v>0</v>
      </c>
      <c r="H12" s="1393" t="str">
        <f>IF(Machine!$B21&gt;0,G12*Trips!$M11*$D12," ")</f>
        <v xml:space="preserve"> </v>
      </c>
      <c r="I12" s="1398">
        <f>IF(AND($D12&gt;0,Machine!$H21&gt;170,Machine!$H21&lt;200),$E12,0)</f>
        <v>0</v>
      </c>
      <c r="J12" s="1399" t="str">
        <f>IF(Machine!$B21&gt;0,I12*Trips!$M11*$D12," ")</f>
        <v xml:space="preserve"> </v>
      </c>
      <c r="K12" s="1404">
        <f>IF(AND($D12&gt;0,Machine!$H21&gt;=200,Machine!$H21&lt;250),$E12,0)</f>
        <v>0</v>
      </c>
      <c r="L12" s="1405" t="str">
        <f>IF(Machine!$B21&gt;0,K12*Trips!$M11*$D12," ")</f>
        <v xml:space="preserve"> </v>
      </c>
      <c r="M12" s="1413">
        <f>IF(AND($D12&gt;0,Machine!$H21&gt;=250),$E12,0)</f>
        <v>0</v>
      </c>
      <c r="N12" s="1412" t="str">
        <f>IF(Machine!$B21&gt;0,M12*Trips!$M11*$D12," ")</f>
        <v xml:space="preserve"> </v>
      </c>
      <c r="O12" s="1419">
        <f>A6_Machine_Look_Up!L21</f>
        <v>8</v>
      </c>
    </row>
    <row r="13" spans="2:15" x14ac:dyDescent="0.35">
      <c r="B13" s="253" t="str">
        <f>Machine!A22</f>
        <v>Harrow</v>
      </c>
      <c r="C13" s="1361">
        <f>A6_Machine_Look_Up!J22</f>
        <v>8</v>
      </c>
      <c r="D13" s="1355" t="str">
        <f>IF(Machine!B22&gt;0,Machine!B22," ")</f>
        <v xml:space="preserve"> </v>
      </c>
      <c r="E13" s="1525"/>
      <c r="F13" s="1354" t="str">
        <f>IF(Machine!$B22&gt;0,E13*Trips!$M12*$D13," ")</f>
        <v xml:space="preserve"> </v>
      </c>
      <c r="G13" s="1394">
        <f>IF(AND($D13&gt;0,Machine!$H22&lt;=170),$E13,0)</f>
        <v>0</v>
      </c>
      <c r="H13" s="1393" t="str">
        <f>IF(Machine!$B22&gt;0,G13*Trips!$M12*$D13," ")</f>
        <v xml:space="preserve"> </v>
      </c>
      <c r="I13" s="1398">
        <f>IF(AND($D13&gt;0,Machine!$H22&gt;170,Machine!$H22&lt;200),$E13,0)</f>
        <v>0</v>
      </c>
      <c r="J13" s="1399" t="str">
        <f>IF(Machine!$B22&gt;0,I13*Trips!$M12*$D13," ")</f>
        <v xml:space="preserve"> </v>
      </c>
      <c r="K13" s="1404">
        <f>IF(AND($D13&gt;0,Machine!$H22&gt;=200,Machine!$H22&lt;250),$E13,0)</f>
        <v>0</v>
      </c>
      <c r="L13" s="1405" t="str">
        <f>IF(Machine!$B22&gt;0,K13*Trips!$M12*$D13," ")</f>
        <v xml:space="preserve"> </v>
      </c>
      <c r="M13" s="1413">
        <f>IF(AND($D13&gt;0,Machine!$H22&gt;=250),$E13,0)</f>
        <v>0</v>
      </c>
      <c r="N13" s="1412" t="str">
        <f>IF(Machine!$B22&gt;0,M13*Trips!$M12*$D13," ")</f>
        <v xml:space="preserve"> </v>
      </c>
      <c r="O13" s="1419">
        <f>A6_Machine_Look_Up!L22</f>
        <v>8</v>
      </c>
    </row>
    <row r="14" spans="2:15" x14ac:dyDescent="0.35">
      <c r="B14" s="253" t="str">
        <f>Machine!A23</f>
        <v>Roller</v>
      </c>
      <c r="C14" s="1361">
        <f>A6_Machine_Look_Up!J23</f>
        <v>8</v>
      </c>
      <c r="D14" s="1355" t="str">
        <f>IF(Machine!B23&gt;0,Machine!B23," ")</f>
        <v xml:space="preserve"> </v>
      </c>
      <c r="E14" s="1525"/>
      <c r="F14" s="1354" t="str">
        <f>IF(Machine!$B23&gt;0,E14*Trips!$M13*$D14," ")</f>
        <v xml:space="preserve"> </v>
      </c>
      <c r="G14" s="1394">
        <f>IF(AND($D14&gt;0,Machine!$H23&lt;=170),$E14,0)</f>
        <v>0</v>
      </c>
      <c r="H14" s="1393" t="str">
        <f>IF(Machine!$B23&gt;0,G14*Trips!$M13*$D14," ")</f>
        <v xml:space="preserve"> </v>
      </c>
      <c r="I14" s="1398">
        <f>IF(AND($D14&gt;0,Machine!$H23&gt;170,Machine!$H23&lt;200),$E14,0)</f>
        <v>0</v>
      </c>
      <c r="J14" s="1399" t="str">
        <f>IF(Machine!$B23&gt;0,I14*Trips!$M13*$D14," ")</f>
        <v xml:space="preserve"> </v>
      </c>
      <c r="K14" s="1404">
        <f>IF(AND($D14&gt;0,Machine!$H23&gt;=200,Machine!$H23&lt;250),$E14,0)</f>
        <v>0</v>
      </c>
      <c r="L14" s="1405" t="str">
        <f>IF(Machine!$B23&gt;0,K14*Trips!$M13*$D14," ")</f>
        <v xml:space="preserve"> </v>
      </c>
      <c r="M14" s="1413">
        <f>IF(AND($D14&gt;0,Machine!$H23&gt;=250),$E14,0)</f>
        <v>0</v>
      </c>
      <c r="N14" s="1412" t="str">
        <f>IF(Machine!$B23&gt;0,M14*Trips!$M13*$D14," ")</f>
        <v xml:space="preserve"> </v>
      </c>
      <c r="O14" s="1419">
        <f>A6_Machine_Look_Up!L23</f>
        <v>8</v>
      </c>
    </row>
    <row r="15" spans="2:15" x14ac:dyDescent="0.35">
      <c r="B15" s="253" t="str">
        <f>Machine!A24</f>
        <v>Bedder-Roller</v>
      </c>
      <c r="C15" s="1361">
        <f>A6_Machine_Look_Up!J24</f>
        <v>8</v>
      </c>
      <c r="D15" s="1355" t="str">
        <f>IF(Machine!B24&gt;0,Machine!B24," ")</f>
        <v xml:space="preserve"> </v>
      </c>
      <c r="E15" s="1525"/>
      <c r="F15" s="1354" t="str">
        <f>IF(Machine!$B24&gt;0,E15*Trips!$M14*$D15," ")</f>
        <v xml:space="preserve"> </v>
      </c>
      <c r="G15" s="1394">
        <f>IF(AND($D15&gt;0,Machine!$H24&lt;=170),$E15,0)</f>
        <v>0</v>
      </c>
      <c r="H15" s="1393" t="str">
        <f>IF(Machine!$B24&gt;0,G15*Trips!$M14*$D15," ")</f>
        <v xml:space="preserve"> </v>
      </c>
      <c r="I15" s="1398">
        <f>IF(AND($D15&gt;0,Machine!$H24&gt;170,Machine!$H24&lt;200),$E15,0)</f>
        <v>0</v>
      </c>
      <c r="J15" s="1399" t="str">
        <f>IF(Machine!$B24&gt;0,I15*Trips!$M14*$D15," ")</f>
        <v xml:space="preserve"> </v>
      </c>
      <c r="K15" s="1404">
        <f>IF(AND($D15&gt;0,Machine!$H24&gt;=200,Machine!$H24&lt;250),$E15,0)</f>
        <v>0</v>
      </c>
      <c r="L15" s="1405" t="str">
        <f>IF(Machine!$B24&gt;0,K15*Trips!$M14*$D15," ")</f>
        <v xml:space="preserve"> </v>
      </c>
      <c r="M15" s="1413">
        <f>IF(AND($D15&gt;0,Machine!$H24&gt;=250),$E15,0)</f>
        <v>0</v>
      </c>
      <c r="N15" s="1412" t="str">
        <f>IF(Machine!$B24&gt;0,M15*Trips!$M14*$D15," ")</f>
        <v xml:space="preserve"> </v>
      </c>
      <c r="O15" s="1419">
        <f>A6_Machine_Look_Up!L24</f>
        <v>8</v>
      </c>
    </row>
    <row r="16" spans="2:15" x14ac:dyDescent="0.35">
      <c r="B16" s="253" t="str">
        <f>Machine!A25</f>
        <v>Ditcher</v>
      </c>
      <c r="C16" s="1361">
        <f>A6_Machine_Look_Up!J25</f>
        <v>8</v>
      </c>
      <c r="D16" s="1355" t="str">
        <f>IF(Machine!B25&gt;0,Machine!B25," ")</f>
        <v xml:space="preserve"> </v>
      </c>
      <c r="E16" s="1525"/>
      <c r="F16" s="1354" t="str">
        <f>IF(Machine!$B25&gt;0,E16*Trips!$M15*$D16," ")</f>
        <v xml:space="preserve"> </v>
      </c>
      <c r="G16" s="1394">
        <f>IF(AND($D16&gt;0,Machine!$H25&lt;=170),$E16,0)</f>
        <v>0</v>
      </c>
      <c r="H16" s="1393" t="str">
        <f>IF(Machine!$B25&gt;0,G16*Trips!$M15*$D16," ")</f>
        <v xml:space="preserve"> </v>
      </c>
      <c r="I16" s="1398">
        <f>IF(AND($D16&gt;0,Machine!$H25&gt;170,Machine!$H25&lt;200),$E16,0)</f>
        <v>0</v>
      </c>
      <c r="J16" s="1399" t="str">
        <f>IF(Machine!$B25&gt;0,I16*Trips!$M15*$D16," ")</f>
        <v xml:space="preserve"> </v>
      </c>
      <c r="K16" s="1404">
        <f>IF(AND($D16&gt;0,Machine!$H25&gt;=200,Machine!$H25&lt;250),$E16,0)</f>
        <v>0</v>
      </c>
      <c r="L16" s="1405" t="str">
        <f>IF(Machine!$B25&gt;0,K16*Trips!$M15*$D16," ")</f>
        <v xml:space="preserve"> </v>
      </c>
      <c r="M16" s="1413">
        <f>IF(AND($D16&gt;0,Machine!$H25&gt;=250),$E16,0)</f>
        <v>0</v>
      </c>
      <c r="N16" s="1412" t="str">
        <f>IF(Machine!$B25&gt;0,M16*Trips!$M15*$D16," ")</f>
        <v xml:space="preserve"> </v>
      </c>
      <c r="O16" s="1419">
        <f>A6_Machine_Look_Up!L25</f>
        <v>8</v>
      </c>
    </row>
    <row r="17" spans="2:15" x14ac:dyDescent="0.35">
      <c r="B17" s="253" t="str">
        <f>Machine!A26</f>
        <v>Turbo Tiller</v>
      </c>
      <c r="C17" s="1361">
        <f>A6_Machine_Look_Up!J26</f>
        <v>8</v>
      </c>
      <c r="D17" s="1355" t="str">
        <f>IF(Machine!B26&gt;0,Machine!B26," ")</f>
        <v xml:space="preserve"> </v>
      </c>
      <c r="E17" s="1525"/>
      <c r="F17" s="1354" t="str">
        <f>IF(Machine!$B26&gt;0,E17*Trips!$M16*$D17," ")</f>
        <v xml:space="preserve"> </v>
      </c>
      <c r="G17" s="1394">
        <f>IF(AND($D17&gt;0,Machine!$H26&lt;=170),$E17,0)</f>
        <v>0</v>
      </c>
      <c r="H17" s="1393" t="str">
        <f>IF(Machine!$B26&gt;0,G17*Trips!$M16*$D17," ")</f>
        <v xml:space="preserve"> </v>
      </c>
      <c r="I17" s="1398">
        <f>IF(AND($D17&gt;0,Machine!$H26&gt;170,Machine!$H26&lt;200),$E17,0)</f>
        <v>0</v>
      </c>
      <c r="J17" s="1399" t="str">
        <f>IF(Machine!$B26&gt;0,I17*Trips!$M16*$D17," ")</f>
        <v xml:space="preserve"> </v>
      </c>
      <c r="K17" s="1404">
        <f>IF(AND($D17&gt;0,Machine!$H26&gt;=200,Machine!$H26&lt;250),$E17,0)</f>
        <v>0</v>
      </c>
      <c r="L17" s="1405" t="str">
        <f>IF(Machine!$B26&gt;0,K17*Trips!$M16*$D17," ")</f>
        <v xml:space="preserve"> </v>
      </c>
      <c r="M17" s="1413">
        <f>IF(AND($D17&gt;0,Machine!$H26&gt;=250),$E17,0)</f>
        <v>0</v>
      </c>
      <c r="N17" s="1412" t="str">
        <f>IF(Machine!$B26&gt;0,M17*Trips!$M16*$D17," ")</f>
        <v xml:space="preserve"> </v>
      </c>
      <c r="O17" s="1419">
        <f>A6_Machine_Look_Up!L26</f>
        <v>8</v>
      </c>
    </row>
    <row r="18" spans="2:15" x14ac:dyDescent="0.35">
      <c r="B18" s="253" t="str">
        <f>Machine!A27</f>
        <v>Rotary Harrow (ex. Phillips)</v>
      </c>
      <c r="C18" s="1361">
        <f>A6_Machine_Look_Up!J27</f>
        <v>8</v>
      </c>
      <c r="D18" s="1355" t="str">
        <f>IF(Machine!B27&gt;0,Machine!B27," ")</f>
        <v xml:space="preserve"> </v>
      </c>
      <c r="E18" s="1525"/>
      <c r="F18" s="1354" t="str">
        <f>IF(Machine!$B27&gt;0,E18*Trips!$M17*$D18," ")</f>
        <v xml:space="preserve"> </v>
      </c>
      <c r="G18" s="1394">
        <f>IF(AND($D18&gt;0,Machine!$H27&lt;=170),$E18,0)</f>
        <v>0</v>
      </c>
      <c r="H18" s="1393" t="str">
        <f>IF(Machine!$B27&gt;0,G18*Trips!$M17*$D18," ")</f>
        <v xml:space="preserve"> </v>
      </c>
      <c r="I18" s="1398">
        <f>IF(AND($D18&gt;0,Machine!$H27&gt;170,Machine!$H27&lt;200),$E18,0)</f>
        <v>0</v>
      </c>
      <c r="J18" s="1399" t="str">
        <f>IF(Machine!$B27&gt;0,I18*Trips!$M17*$D18," ")</f>
        <v xml:space="preserve"> </v>
      </c>
      <c r="K18" s="1404">
        <f>IF(AND($D18&gt;0,Machine!$H27&gt;=200,Machine!$H27&lt;250),$E18,0)</f>
        <v>0</v>
      </c>
      <c r="L18" s="1405" t="str">
        <f>IF(Machine!$B27&gt;0,K18*Trips!$M17*$D18," ")</f>
        <v xml:space="preserve"> </v>
      </c>
      <c r="M18" s="1413">
        <f>IF(AND($D18&gt;0,Machine!$H27&gt;=250),$E18,0)</f>
        <v>0</v>
      </c>
      <c r="N18" s="1412" t="str">
        <f>IF(Machine!$B27&gt;0,M18*Trips!$M17*$D18," ")</f>
        <v xml:space="preserve"> </v>
      </c>
      <c r="O18" s="1419">
        <f>A6_Machine_Look_Up!L27</f>
        <v>8</v>
      </c>
    </row>
    <row r="19" spans="2:15" x14ac:dyDescent="0.35">
      <c r="B19" s="253" t="str">
        <f>Machine!A28</f>
        <v>Field Cultivator</v>
      </c>
      <c r="C19" s="1361">
        <f>A6_Machine_Look_Up!J28</f>
        <v>8</v>
      </c>
      <c r="D19" s="1355" t="str">
        <f>IF(Machine!B28&gt;0,Machine!B28," ")</f>
        <v xml:space="preserve"> </v>
      </c>
      <c r="E19" s="1525"/>
      <c r="F19" s="1354" t="str">
        <f>IF(Machine!$B28&gt;0,E19*Trips!$M18*$D19," ")</f>
        <v xml:space="preserve"> </v>
      </c>
      <c r="G19" s="1394">
        <f>IF(AND($D19&gt;0,Machine!$H28&lt;=170),$E19,0)</f>
        <v>0</v>
      </c>
      <c r="H19" s="1393" t="str">
        <f>IF(Machine!$B28&gt;0,G19*Trips!$M18*$D19," ")</f>
        <v xml:space="preserve"> </v>
      </c>
      <c r="I19" s="1398">
        <f>IF(AND($D19&gt;0,Machine!$H28&gt;170,Machine!$H28&lt;200),$E19,0)</f>
        <v>0</v>
      </c>
      <c r="J19" s="1399" t="str">
        <f>IF(Machine!$B28&gt;0,I19*Trips!$M18*$D19," ")</f>
        <v xml:space="preserve"> </v>
      </c>
      <c r="K19" s="1404">
        <f>IF(AND($D19&gt;0,Machine!$H28&gt;=200,Machine!$H28&lt;250),$E19,0)</f>
        <v>0</v>
      </c>
      <c r="L19" s="1405" t="str">
        <f>IF(Machine!$B28&gt;0,K19*Trips!$M18*$D19," ")</f>
        <v xml:space="preserve"> </v>
      </c>
      <c r="M19" s="1413">
        <f>IF(AND($D19&gt;0,Machine!$H28&gt;=250),$E19,0)</f>
        <v>0</v>
      </c>
      <c r="N19" s="1412" t="str">
        <f>IF(Machine!$B28&gt;0,M19*Trips!$M18*$D19," ")</f>
        <v xml:space="preserve"> </v>
      </c>
      <c r="O19" s="1419">
        <f>A6_Machine_Look_Up!L28</f>
        <v>8</v>
      </c>
    </row>
    <row r="20" spans="2:15" x14ac:dyDescent="0.35">
      <c r="B20" s="253" t="str">
        <f>Machine!A29</f>
        <v>Row Crop Cultivator, Row Middles</v>
      </c>
      <c r="C20" s="1361">
        <f>A6_Machine_Look_Up!J29</f>
        <v>8</v>
      </c>
      <c r="D20" s="1355">
        <f>IF(Machine!B29&gt;0,Machine!B29," ")</f>
        <v>1</v>
      </c>
      <c r="E20" s="1525">
        <v>1000</v>
      </c>
      <c r="F20" s="1354">
        <f>IF(Machine!$B29&gt;0,E20*Trips!$M19*$D20," ")</f>
        <v>38.768796992481192</v>
      </c>
      <c r="G20" s="1394">
        <f>IF(AND($D20&gt;0,Machine!$H29&lt;=170),$E20,0)</f>
        <v>0</v>
      </c>
      <c r="H20" s="1393">
        <f>IF(Machine!$B29&gt;0,G20*Trips!$M19*$D20," ")</f>
        <v>0</v>
      </c>
      <c r="I20" s="1398">
        <f>IF(AND($D20&gt;0,Machine!$H29&gt;170,Machine!$H29&lt;200),$E20,0)</f>
        <v>0</v>
      </c>
      <c r="J20" s="1399">
        <f>IF(Machine!$B29&gt;0,I20*Trips!$M19*$D20," ")</f>
        <v>0</v>
      </c>
      <c r="K20" s="1404">
        <f>IF(AND($D20&gt;0,Machine!$H29&gt;=200,Machine!$H29&lt;250),$E20,0)</f>
        <v>1000</v>
      </c>
      <c r="L20" s="1405">
        <f>IF(Machine!$B29&gt;0,K20*Trips!$M19*$D20," ")</f>
        <v>38.768796992481192</v>
      </c>
      <c r="M20" s="1413">
        <f>IF(AND($D20&gt;0,Machine!$H29&gt;=250),$E20,0)</f>
        <v>0</v>
      </c>
      <c r="N20" s="1412">
        <f>IF(Machine!$B29&gt;0,M20*Trips!$M19*$D20," ")</f>
        <v>0</v>
      </c>
      <c r="O20" s="1419">
        <f>A6_Machine_Look_Up!L29</f>
        <v>8</v>
      </c>
    </row>
    <row r="21" spans="2:15" x14ac:dyDescent="0.35">
      <c r="B21" s="253" t="str">
        <f>Machine!A30</f>
        <v>Sprayer, Tractor Mounted (ft)</v>
      </c>
      <c r="C21" s="1361">
        <f>A6_Machine_Look_Up!J30</f>
        <v>8</v>
      </c>
      <c r="D21" s="1355" t="str">
        <f>IF(Machine!B30&gt;0,Machine!B30," ")</f>
        <v xml:space="preserve"> </v>
      </c>
      <c r="E21" s="1525"/>
      <c r="F21" s="1354" t="str">
        <f>IF(Machine!$B30&gt;0,E21*Trips!$M20*$D21," ")</f>
        <v xml:space="preserve"> </v>
      </c>
      <c r="G21" s="1394">
        <f>IF(AND($D21&gt;0,Machine!$H30&lt;=170),$E21,0)</f>
        <v>0</v>
      </c>
      <c r="H21" s="1393" t="str">
        <f>IF(Machine!$B30&gt;0,G21*Trips!$M20*$D21," ")</f>
        <v xml:space="preserve"> </v>
      </c>
      <c r="I21" s="1398">
        <f>IF(AND($D21&gt;0,Machine!$H30&gt;170,Machine!$H30&lt;200),$E21,0)</f>
        <v>0</v>
      </c>
      <c r="J21" s="1399" t="str">
        <f>IF(Machine!$B30&gt;0,I21*Trips!$M20*$D21," ")</f>
        <v xml:space="preserve"> </v>
      </c>
      <c r="K21" s="1404">
        <f>IF(AND($D21&gt;0,Machine!$H30&gt;=200,Machine!$H30&lt;250),$E21,0)</f>
        <v>0</v>
      </c>
      <c r="L21" s="1405" t="str">
        <f>IF(Machine!$B30&gt;0,K21*Trips!$M20*$D21," ")</f>
        <v xml:space="preserve"> </v>
      </c>
      <c r="M21" s="1413">
        <f>IF(AND($D21&gt;0,Machine!$H30&gt;=250),$E21,0)</f>
        <v>0</v>
      </c>
      <c r="N21" s="1412" t="str">
        <f>IF(Machine!$B30&gt;0,M21*Trips!$M20*$D21," ")</f>
        <v xml:space="preserve"> </v>
      </c>
      <c r="O21" s="1419">
        <f>A6_Machine_Look_Up!L30</f>
        <v>8</v>
      </c>
    </row>
    <row r="22" spans="2:15" x14ac:dyDescent="0.35">
      <c r="B22" s="253" t="str">
        <f>Machine!A31</f>
        <v>Sprayer, Tractor Mounted (row)</v>
      </c>
      <c r="C22" s="1361">
        <f>A6_Machine_Look_Up!J31</f>
        <v>8</v>
      </c>
      <c r="D22" s="1355" t="str">
        <f>IF(Machine!B31&gt;0,Machine!B31," ")</f>
        <v xml:space="preserve"> </v>
      </c>
      <c r="E22" s="1525"/>
      <c r="F22" s="1354" t="str">
        <f>IF(Machine!$B31&gt;0,E22*Trips!$M21*$D22," ")</f>
        <v xml:space="preserve"> </v>
      </c>
      <c r="G22" s="1394">
        <f>IF(AND($D22&gt;0,Machine!$H31&lt;=170),$E22,0)</f>
        <v>0</v>
      </c>
      <c r="H22" s="1393" t="str">
        <f>IF(Machine!$B31&gt;0,G22*Trips!$M21*$D22," ")</f>
        <v xml:space="preserve"> </v>
      </c>
      <c r="I22" s="1398">
        <f>IF(AND($D22&gt;0,Machine!$H31&gt;170,Machine!$H31&lt;200),$E22,0)</f>
        <v>0</v>
      </c>
      <c r="J22" s="1399" t="str">
        <f>IF(Machine!$B31&gt;0,I22*Trips!$M21*$D22," ")</f>
        <v xml:space="preserve"> </v>
      </c>
      <c r="K22" s="1404">
        <f>IF(AND($D22&gt;0,Machine!$H31&gt;=200,Machine!$H31&lt;250),$E22,0)</f>
        <v>0</v>
      </c>
      <c r="L22" s="1405" t="str">
        <f>IF(Machine!$B31&gt;0,K22*Trips!$M21*$D22," ")</f>
        <v xml:space="preserve"> </v>
      </c>
      <c r="M22" s="1413">
        <f>IF(AND($D22&gt;0,Machine!$H31&gt;=250),$E22,0)</f>
        <v>0</v>
      </c>
      <c r="N22" s="1412" t="str">
        <f>IF(Machine!$B31&gt;0,M22*Trips!$M21*$D22," ")</f>
        <v xml:space="preserve"> </v>
      </c>
      <c r="O22" s="1419">
        <f>A6_Machine_Look_Up!L31</f>
        <v>8</v>
      </c>
    </row>
    <row r="23" spans="2:15" x14ac:dyDescent="0.35">
      <c r="B23" s="253" t="str">
        <f>Machine!A32</f>
        <v>Land Plane</v>
      </c>
      <c r="C23" s="1361">
        <f>A6_Machine_Look_Up!J32</f>
        <v>8</v>
      </c>
      <c r="D23" s="1355" t="str">
        <f>IF(Machine!B32&gt;0,Machine!B32," ")</f>
        <v xml:space="preserve"> </v>
      </c>
      <c r="E23" s="1525"/>
      <c r="F23" s="1354" t="str">
        <f>IF(Machine!$B32&gt;0,E23*Trips!$M22*$D23," ")</f>
        <v xml:space="preserve"> </v>
      </c>
      <c r="G23" s="1394">
        <f>IF(AND($D23&gt;0,Machine!$H32&lt;=170),$E23,0)</f>
        <v>0</v>
      </c>
      <c r="H23" s="1393" t="str">
        <f>IF(Machine!$B32&gt;0,G23*Trips!$M22*$D23," ")</f>
        <v xml:space="preserve"> </v>
      </c>
      <c r="I23" s="1398">
        <f>IF(AND($D23&gt;0,Machine!$H32&gt;170,Machine!$H32&lt;200),$E23,0)</f>
        <v>0</v>
      </c>
      <c r="J23" s="1399" t="str">
        <f>IF(Machine!$B32&gt;0,I23*Trips!$M22*$D23," ")</f>
        <v xml:space="preserve"> </v>
      </c>
      <c r="K23" s="1404">
        <f>IF(AND($D23&gt;0,Machine!$H32&gt;=200,Machine!$H32&lt;250),$E23,0)</f>
        <v>0</v>
      </c>
      <c r="L23" s="1405" t="str">
        <f>IF(Machine!$B32&gt;0,K23*Trips!$M22*$D23," ")</f>
        <v xml:space="preserve"> </v>
      </c>
      <c r="M23" s="1413">
        <f>IF(AND($D23&gt;0,Machine!$H32&gt;=250),$E23,0)</f>
        <v>0</v>
      </c>
      <c r="N23" s="1412" t="str">
        <f>IF(Machine!$B32&gt;0,M23*Trips!$M22*$D23," ")</f>
        <v xml:space="preserve"> </v>
      </c>
      <c r="O23" s="1419">
        <f>A6_Machine_Look_Up!L32</f>
        <v>8</v>
      </c>
    </row>
    <row r="24" spans="2:15" x14ac:dyDescent="0.35">
      <c r="B24" s="253" t="str">
        <f>Machine!A33</f>
        <v>Fertilizer, Broadcast Spreader</v>
      </c>
      <c r="C24" s="1361">
        <f>A6_Machine_Look_Up!J33</f>
        <v>8</v>
      </c>
      <c r="D24" s="1355" t="str">
        <f>IF(Machine!B33&gt;0,Machine!B33," ")</f>
        <v xml:space="preserve"> </v>
      </c>
      <c r="E24" s="1525">
        <v>1000</v>
      </c>
      <c r="F24" s="1354" t="str">
        <f>IF(Machine!$B33&gt;0,E24*Trips!$M23*$D24," ")</f>
        <v xml:space="preserve"> </v>
      </c>
      <c r="G24" s="1394">
        <f>IF(AND($D24&gt;0,Machine!$H33&lt;=170),$E24,0)</f>
        <v>0</v>
      </c>
      <c r="H24" s="1393" t="str">
        <f>IF(Machine!$B33&gt;0,G24*Trips!$M23*$D24," ")</f>
        <v xml:space="preserve"> </v>
      </c>
      <c r="I24" s="1398">
        <f>IF(AND($D24&gt;0,Machine!$H33&gt;170,Machine!$H33&lt;200),$E24,0)</f>
        <v>1000</v>
      </c>
      <c r="J24" s="1399" t="str">
        <f>IF(Machine!$B33&gt;0,I24*Trips!$M23*$D24," ")</f>
        <v xml:space="preserve"> </v>
      </c>
      <c r="K24" s="1404">
        <f>IF(AND($D24&gt;0,Machine!$H33&gt;=200,Machine!$H33&lt;250),$E24,0)</f>
        <v>0</v>
      </c>
      <c r="L24" s="1405" t="str">
        <f>IF(Machine!$B33&gt;0,K24*Trips!$M23*$D24," ")</f>
        <v xml:space="preserve"> </v>
      </c>
      <c r="M24" s="1413">
        <f>IF(AND($D24&gt;0,Machine!$H33&gt;=250),$E24,0)</f>
        <v>0</v>
      </c>
      <c r="N24" s="1412" t="str">
        <f>IF(Machine!$B33&gt;0,M24*Trips!$M23*$D24," ")</f>
        <v xml:space="preserve"> </v>
      </c>
      <c r="O24" s="1419">
        <f>A6_Machine_Look_Up!L33</f>
        <v>8</v>
      </c>
    </row>
    <row r="25" spans="2:15" x14ac:dyDescent="0.35">
      <c r="B25" s="253" t="str">
        <f>Machine!A34</f>
        <v>Do All, Seedbed Finisher</v>
      </c>
      <c r="C25" s="1361">
        <f>A6_Machine_Look_Up!J34</f>
        <v>8</v>
      </c>
      <c r="D25" s="1355">
        <f>IF(Machine!B34&gt;0,Machine!B34," ")</f>
        <v>1</v>
      </c>
      <c r="E25" s="1525">
        <v>1000</v>
      </c>
      <c r="F25" s="1354">
        <f>IF(Machine!$B34&gt;0,E25*Trips!$M24*$D25," ")</f>
        <v>36.488279522335247</v>
      </c>
      <c r="G25" s="1394">
        <f>IF(AND($D25&gt;0,Machine!$H34&lt;=170),$E25,0)</f>
        <v>0</v>
      </c>
      <c r="H25" s="1393">
        <f>IF(Machine!$B34&gt;0,G25*Trips!$M24*$D25," ")</f>
        <v>0</v>
      </c>
      <c r="I25" s="1398">
        <f>IF(AND($D25&gt;0,Machine!$H34&gt;170,Machine!$H34&lt;200),$E25,0)</f>
        <v>0</v>
      </c>
      <c r="J25" s="1399">
        <f>IF(Machine!$B34&gt;0,I25*Trips!$M24*$D25," ")</f>
        <v>0</v>
      </c>
      <c r="K25" s="1404">
        <f>IF(AND($D25&gt;0,Machine!$H34&gt;=200,Machine!$H34&lt;250),$E25,0)</f>
        <v>1000</v>
      </c>
      <c r="L25" s="1405">
        <f>IF(Machine!$B34&gt;0,K25*Trips!$M24*$D25," ")</f>
        <v>36.488279522335247</v>
      </c>
      <c r="M25" s="1413">
        <f>IF(AND($D25&gt;0,Machine!$H34&gt;=250),$E25,0)</f>
        <v>0</v>
      </c>
      <c r="N25" s="1412">
        <f>IF(Machine!$B34&gt;0,M25*Trips!$M24*$D25," ")</f>
        <v>0</v>
      </c>
      <c r="O25" s="1419">
        <f>A6_Machine_Look_Up!L34</f>
        <v>8</v>
      </c>
    </row>
    <row r="26" spans="2:15" x14ac:dyDescent="0.35">
      <c r="B26" s="253" t="str">
        <f>Machine!A35</f>
        <v>Planter</v>
      </c>
      <c r="C26" s="1361">
        <f>A6_Machine_Look_Up!J35</f>
        <v>8</v>
      </c>
      <c r="D26" s="1355">
        <f>IF(Machine!B35&gt;0,Machine!B35," ")</f>
        <v>1</v>
      </c>
      <c r="E26" s="1525">
        <v>1000</v>
      </c>
      <c r="F26" s="1354">
        <f>IF(Machine!$B35&gt;0,E26*Trips!$M25*$D26," ")</f>
        <v>58.760683760683754</v>
      </c>
      <c r="G26" s="1394">
        <f>IF(AND($D26&gt;0,Machine!$H35&lt;=170),$E26,0)</f>
        <v>0</v>
      </c>
      <c r="H26" s="1393">
        <f>IF(Machine!$B35&gt;0,G26*Trips!$M25*$D26," ")</f>
        <v>0</v>
      </c>
      <c r="I26" s="1398">
        <f>IF(AND($D26&gt;0,Machine!$H35&gt;170,Machine!$H35&lt;200),$E26,0)</f>
        <v>1000</v>
      </c>
      <c r="J26" s="1399">
        <f>IF(Machine!$B35&gt;0,I26*Trips!$M25*$D26," ")</f>
        <v>58.760683760683754</v>
      </c>
      <c r="K26" s="1404">
        <f>IF(AND($D26&gt;0,Machine!$H35&gt;=200,Machine!$H35&lt;250),$E26,0)</f>
        <v>0</v>
      </c>
      <c r="L26" s="1405">
        <f>IF(Machine!$B35&gt;0,K26*Trips!$M25*$D26," ")</f>
        <v>0</v>
      </c>
      <c r="M26" s="1413">
        <f>IF(AND($D26&gt;0,Machine!$H35&gt;=250),$E26,0)</f>
        <v>0</v>
      </c>
      <c r="N26" s="1412">
        <f>IF(Machine!$B35&gt;0,M26*Trips!$M25*$D26," ")</f>
        <v>0</v>
      </c>
      <c r="O26" s="1419">
        <f>A6_Machine_Look_Up!L35</f>
        <v>8</v>
      </c>
    </row>
    <row r="27" spans="2:15" x14ac:dyDescent="0.35">
      <c r="B27" s="253" t="str">
        <f>Machine!A36</f>
        <v>Planter Twin Row</v>
      </c>
      <c r="C27" s="1361">
        <f>A6_Machine_Look_Up!J36</f>
        <v>8</v>
      </c>
      <c r="D27" s="1355" t="str">
        <f>IF(Machine!B36&gt;0,Machine!B36," ")</f>
        <v xml:space="preserve"> </v>
      </c>
      <c r="E27" s="1525"/>
      <c r="F27" s="1354" t="str">
        <f>IF(Machine!$B36&gt;0,E27*Trips!$M26*$D27," ")</f>
        <v xml:space="preserve"> </v>
      </c>
      <c r="G27" s="1394">
        <f>IF(AND($D27&gt;0,Machine!$H36&lt;=170),$E27,0)</f>
        <v>0</v>
      </c>
      <c r="H27" s="1393" t="str">
        <f>IF(Machine!$B36&gt;0,G27*Trips!$M26*$D27," ")</f>
        <v xml:space="preserve"> </v>
      </c>
      <c r="I27" s="1398">
        <f>IF(AND($D27&gt;0,Machine!$H36&gt;170,Machine!$H36&lt;200),$E27,0)</f>
        <v>0</v>
      </c>
      <c r="J27" s="1399" t="str">
        <f>IF(Machine!$B36&gt;0,I27*Trips!$M26*$D27," ")</f>
        <v xml:space="preserve"> </v>
      </c>
      <c r="K27" s="1404">
        <f>IF(AND($D27&gt;0,Machine!$H36&gt;=200,Machine!$H36&lt;250),$E27,0)</f>
        <v>0</v>
      </c>
      <c r="L27" s="1405" t="str">
        <f>IF(Machine!$B36&gt;0,K27*Trips!$M26*$D27," ")</f>
        <v xml:space="preserve"> </v>
      </c>
      <c r="M27" s="1413">
        <f>IF(AND($D27&gt;0,Machine!$H36&gt;=250),$E27,0)</f>
        <v>0</v>
      </c>
      <c r="N27" s="1412" t="str">
        <f>IF(Machine!$B36&gt;0,M27*Trips!$M26*$D27," ")</f>
        <v xml:space="preserve"> </v>
      </c>
      <c r="O27" s="1419">
        <f>A6_Machine_Look_Up!L36</f>
        <v>8</v>
      </c>
    </row>
    <row r="28" spans="2:15" x14ac:dyDescent="0.35">
      <c r="B28" s="253" t="str">
        <f>Machine!A37</f>
        <v>Plant Grain Drill</v>
      </c>
      <c r="C28" s="1361">
        <f>A6_Machine_Look_Up!J37</f>
        <v>8</v>
      </c>
      <c r="D28" s="1355" t="str">
        <f>IF(Machine!B37&gt;0,Machine!B37," ")</f>
        <v xml:space="preserve"> </v>
      </c>
      <c r="E28" s="1525"/>
      <c r="F28" s="1354" t="str">
        <f>IF(Machine!$B37&gt;0,E28*Trips!$M27*$D28," ")</f>
        <v xml:space="preserve"> </v>
      </c>
      <c r="G28" s="1394">
        <f>IF(AND($D28&gt;0,Machine!$H37&lt;=170),$E28,0)</f>
        <v>0</v>
      </c>
      <c r="H28" s="1393" t="str">
        <f>IF(Machine!$B37&gt;0,G28*Trips!$M27*$D28," ")</f>
        <v xml:space="preserve"> </v>
      </c>
      <c r="I28" s="1398">
        <f>IF(AND($D28&gt;0,Machine!$H37&gt;170,Machine!$H37&lt;200),$E28,0)</f>
        <v>0</v>
      </c>
      <c r="J28" s="1399" t="str">
        <f>IF(Machine!$B37&gt;0,I28*Trips!$M27*$D28," ")</f>
        <v xml:space="preserve"> </v>
      </c>
      <c r="K28" s="1404">
        <f>IF(AND($D28&gt;0,Machine!$H37&gt;=200,Machine!$H37&lt;250),$E28,0)</f>
        <v>0</v>
      </c>
      <c r="L28" s="1405" t="str">
        <f>IF(Machine!$B37&gt;0,K28*Trips!$M27*$D28," ")</f>
        <v xml:space="preserve"> </v>
      </c>
      <c r="M28" s="1413">
        <f>IF(AND($D28&gt;0,Machine!$H37&gt;=250),$E28,0)</f>
        <v>0</v>
      </c>
      <c r="N28" s="1412" t="str">
        <f>IF(Machine!$B37&gt;0,M28*Trips!$M27*$D28," ")</f>
        <v xml:space="preserve"> </v>
      </c>
      <c r="O28" s="1419">
        <f>A6_Machine_Look_Up!L37</f>
        <v>8</v>
      </c>
    </row>
    <row r="29" spans="2:15" x14ac:dyDescent="0.35">
      <c r="B29" s="253" t="str">
        <f>Machine!A38</f>
        <v>Plant No-Till Air Drill</v>
      </c>
      <c r="C29" s="1361">
        <f>A6_Machine_Look_Up!J38</f>
        <v>8</v>
      </c>
      <c r="D29" s="1355" t="str">
        <f>IF(Machine!B38&gt;0,Machine!B38," ")</f>
        <v xml:space="preserve"> </v>
      </c>
      <c r="E29" s="1525"/>
      <c r="F29" s="1354" t="str">
        <f>IF(Machine!$B38&gt;0,E29*Trips!$M28*$D29," ")</f>
        <v xml:space="preserve"> </v>
      </c>
      <c r="G29" s="1394">
        <f>IF(AND($D29&gt;0,Machine!$H38&lt;=170),$E29,0)</f>
        <v>0</v>
      </c>
      <c r="H29" s="1393" t="str">
        <f>IF(Machine!$B38&gt;0,G29*Trips!$M28*$D29," ")</f>
        <v xml:space="preserve"> </v>
      </c>
      <c r="I29" s="1398">
        <f>IF(AND($D29&gt;0,Machine!$H38&gt;170,Machine!$H38&lt;200),$E29,0)</f>
        <v>0</v>
      </c>
      <c r="J29" s="1399" t="str">
        <f>IF(Machine!$B38&gt;0,I29*Trips!$M28*$D29," ")</f>
        <v xml:space="preserve"> </v>
      </c>
      <c r="K29" s="1404">
        <f>IF(AND($D29&gt;0,Machine!$H38&gt;=200,Machine!$H38&lt;250),$E29,0)</f>
        <v>0</v>
      </c>
      <c r="L29" s="1405" t="str">
        <f>IF(Machine!$B38&gt;0,K29*Trips!$M28*$D29," ")</f>
        <v xml:space="preserve"> </v>
      </c>
      <c r="M29" s="1413">
        <f>IF(AND($D29&gt;0,Machine!$H38&gt;=250),$E29,0)</f>
        <v>0</v>
      </c>
      <c r="N29" s="1412" t="str">
        <f>IF(Machine!$B38&gt;0,M29*Trips!$M28*$D29," ")</f>
        <v xml:space="preserve"> </v>
      </c>
      <c r="O29" s="1419">
        <f>A6_Machine_Look_Up!L38</f>
        <v>8</v>
      </c>
    </row>
    <row r="30" spans="2:15" x14ac:dyDescent="0.35">
      <c r="B30" s="253" t="str">
        <f>Machine!A39</f>
        <v>Liquid Fertilizer Applicator</v>
      </c>
      <c r="C30" s="1361">
        <f>A6_Machine_Look_Up!J39</f>
        <v>8</v>
      </c>
      <c r="D30" s="1355" t="str">
        <f>IF(Machine!B39&gt;0,Machine!B39," ")</f>
        <v xml:space="preserve"> </v>
      </c>
      <c r="E30" s="1525"/>
      <c r="F30" s="1354" t="str">
        <f>IF(Machine!$B39&gt;0,E30*Trips!$M29*$D30," ")</f>
        <v xml:space="preserve"> </v>
      </c>
      <c r="G30" s="1394">
        <f>IF(AND($D30&gt;0,Machine!$H39&lt;=170),$E30,0)</f>
        <v>0</v>
      </c>
      <c r="H30" s="1393" t="str">
        <f>IF(Machine!$B39&gt;0,G30*Trips!$M29*$D30," ")</f>
        <v xml:space="preserve"> </v>
      </c>
      <c r="I30" s="1398">
        <f>IF(AND($D30&gt;0,Machine!$H39&gt;170,Machine!$H39&lt;200),$E30,0)</f>
        <v>0</v>
      </c>
      <c r="J30" s="1399" t="str">
        <f>IF(Machine!$B39&gt;0,I30*Trips!$M29*$D30," ")</f>
        <v xml:space="preserve"> </v>
      </c>
      <c r="K30" s="1404">
        <f>IF(AND($D30&gt;0,Machine!$H39&gt;=200,Machine!$H39&lt;250),$E30,0)</f>
        <v>0</v>
      </c>
      <c r="L30" s="1405" t="str">
        <f>IF(Machine!$B39&gt;0,K30*Trips!$M29*$D30," ")</f>
        <v xml:space="preserve"> </v>
      </c>
      <c r="M30" s="1413">
        <f>IF(AND($D30&gt;0,Machine!$H39&gt;=250),$E30,0)</f>
        <v>0</v>
      </c>
      <c r="N30" s="1412" t="str">
        <f>IF(Machine!$B39&gt;0,M30*Trips!$M29*$D30," ")</f>
        <v xml:space="preserve"> </v>
      </c>
      <c r="O30" s="1419">
        <f>A6_Machine_Look_Up!L39</f>
        <v>8</v>
      </c>
    </row>
    <row r="31" spans="2:15" x14ac:dyDescent="0.35">
      <c r="B31" s="253" t="str">
        <f>Machine!A40</f>
        <v>Fertilizer, Knife Rig 12 Row</v>
      </c>
      <c r="C31" s="1361">
        <f>A6_Machine_Look_Up!J40</f>
        <v>8</v>
      </c>
      <c r="D31" s="1355" t="str">
        <f>IF(Machine!B40&gt;0,Machine!B40," ")</f>
        <v xml:space="preserve"> </v>
      </c>
      <c r="E31" s="1525">
        <v>1000</v>
      </c>
      <c r="F31" s="1354" t="str">
        <f>IF(Machine!$B40&gt;0,E31*Trips!$M30*$D31," ")</f>
        <v xml:space="preserve"> </v>
      </c>
      <c r="G31" s="1394">
        <f>IF(AND($D31&gt;0,Machine!$H40&lt;=170),$E31,0)</f>
        <v>0</v>
      </c>
      <c r="H31" s="1393" t="str">
        <f>IF(Machine!$B40&gt;0,G31*Trips!$M30*$D31," ")</f>
        <v xml:space="preserve"> </v>
      </c>
      <c r="I31" s="1398">
        <f>IF(AND($D31&gt;0,Machine!$H40&gt;170,Machine!$H40&lt;200),$E31,0)</f>
        <v>0</v>
      </c>
      <c r="J31" s="1399" t="str">
        <f>IF(Machine!$B40&gt;0,I31*Trips!$M30*$D31," ")</f>
        <v xml:space="preserve"> </v>
      </c>
      <c r="K31" s="1404">
        <f>IF(AND($D31&gt;0,Machine!$H40&gt;=200,Machine!$H40&lt;250),$E31,0)</f>
        <v>1000</v>
      </c>
      <c r="L31" s="1405" t="str">
        <f>IF(Machine!$B40&gt;0,K31*Trips!$M30*$D31," ")</f>
        <v xml:space="preserve"> </v>
      </c>
      <c r="M31" s="1413">
        <f>IF(AND($D31&gt;0,Machine!$H40&gt;=250),$E31,0)</f>
        <v>0</v>
      </c>
      <c r="N31" s="1412" t="str">
        <f>IF(Machine!$B40&gt;0,M31*Trips!$M30*$D31," ")</f>
        <v xml:space="preserve"> </v>
      </c>
      <c r="O31" s="1419">
        <f>A6_Machine_Look_Up!L40</f>
        <v>8</v>
      </c>
    </row>
    <row r="32" spans="2:15" x14ac:dyDescent="0.35">
      <c r="B32" s="253" t="str">
        <f>Machine!A41</f>
        <v>Polypipe; Roll Out, Punch, Take Up</v>
      </c>
      <c r="C32" s="1361">
        <f>A6_Machine_Look_Up!J41</f>
        <v>8</v>
      </c>
      <c r="D32" s="1355">
        <f>IF(Machine!B41&gt;0,Machine!B41," ")</f>
        <v>1</v>
      </c>
      <c r="E32" s="1525">
        <v>1000</v>
      </c>
      <c r="F32" s="1354">
        <f>IF(Machine!$B41&gt;0,E32*Trips!$M31*$D32," ")</f>
        <v>49.930699897395449</v>
      </c>
      <c r="G32" s="1394">
        <f>IF(AND($D32&gt;0,Machine!$H41&lt;=170),$E32,0)</f>
        <v>0</v>
      </c>
      <c r="H32" s="1393">
        <f>IF(Machine!$B41&gt;0,G32*Trips!$M31*$D32," ")</f>
        <v>0</v>
      </c>
      <c r="I32" s="1398">
        <f>IF(AND($D32&gt;0,Machine!$H41&gt;170,Machine!$H41&lt;200),$E32,0)</f>
        <v>1000</v>
      </c>
      <c r="J32" s="1399">
        <f>IF(Machine!$B41&gt;0,I32*Trips!$M31*$D32," ")</f>
        <v>49.930699897395449</v>
      </c>
      <c r="K32" s="1404">
        <f>IF(AND($D32&gt;0,Machine!$H41&gt;=200,Machine!$H41&lt;250),$E32,0)</f>
        <v>0</v>
      </c>
      <c r="L32" s="1405">
        <f>IF(Machine!$B41&gt;0,K32*Trips!$M31*$D32," ")</f>
        <v>0</v>
      </c>
      <c r="M32" s="1413">
        <f>IF(AND($D32&gt;0,Machine!$H41&gt;=250),$E32,0)</f>
        <v>0</v>
      </c>
      <c r="N32" s="1412">
        <f>IF(Machine!$B41&gt;0,M32*Trips!$M31*$D32," ")</f>
        <v>0</v>
      </c>
      <c r="O32" s="1419">
        <f>A6_Machine_Look_Up!L41</f>
        <v>8</v>
      </c>
    </row>
    <row r="33" spans="2:15" x14ac:dyDescent="0.35">
      <c r="B33" s="253" t="str">
        <f>Machine!A42</f>
        <v>Hooded Sprayer</v>
      </c>
      <c r="C33" s="1361">
        <f>A6_Machine_Look_Up!J42</f>
        <v>8</v>
      </c>
      <c r="D33" s="1355" t="str">
        <f>IF(Machine!B42&gt;0,Machine!B42," ")</f>
        <v xml:space="preserve"> </v>
      </c>
      <c r="E33" s="1525">
        <v>1000</v>
      </c>
      <c r="F33" s="1354" t="str">
        <f>IF(Machine!$B42&gt;0,E33*Trips!$M32*$D33," ")</f>
        <v xml:space="preserve"> </v>
      </c>
      <c r="G33" s="1394">
        <f>IF(AND($D33&gt;0,Machine!$H42&lt;=170),$E33,0)</f>
        <v>0</v>
      </c>
      <c r="H33" s="1393" t="str">
        <f>IF(Machine!$B42&gt;0,G33*Trips!$M32*$D33," ")</f>
        <v xml:space="preserve"> </v>
      </c>
      <c r="I33" s="1398">
        <f>IF(AND($D33&gt;0,Machine!$H42&gt;170,Machine!$H42&lt;200),$E33,0)</f>
        <v>1000</v>
      </c>
      <c r="J33" s="1399" t="str">
        <f>IF(Machine!$B42&gt;0,I33*Trips!$M32*$D33," ")</f>
        <v xml:space="preserve"> </v>
      </c>
      <c r="K33" s="1404">
        <f>IF(AND($D33&gt;0,Machine!$H42&gt;=200,Machine!$H42&lt;250),$E33,0)</f>
        <v>0</v>
      </c>
      <c r="L33" s="1405" t="str">
        <f>IF(Machine!$B42&gt;0,K33*Trips!$M32*$D33," ")</f>
        <v xml:space="preserve"> </v>
      </c>
      <c r="M33" s="1413">
        <f>IF(AND($D33&gt;0,Machine!$H42&gt;=250),$E33,0)</f>
        <v>0</v>
      </c>
      <c r="N33" s="1412" t="str">
        <f>IF(Machine!$B42&gt;0,M33*Trips!$M32*$D33," ")</f>
        <v xml:space="preserve"> </v>
      </c>
      <c r="O33" s="1419">
        <f>A6_Machine_Look_Up!L42</f>
        <v>8</v>
      </c>
    </row>
    <row r="34" spans="2:15" x14ac:dyDescent="0.35">
      <c r="B34" s="253" t="str">
        <f>Machine!A43</f>
        <v>Levee Pull</v>
      </c>
      <c r="C34" s="1361">
        <f>A6_Machine_Look_Up!J43</f>
        <v>8</v>
      </c>
      <c r="D34" s="1355" t="str">
        <f>IF(Machine!B43&gt;0,Machine!B43," ")</f>
        <v xml:space="preserve"> </v>
      </c>
      <c r="E34" s="1525"/>
      <c r="F34" s="1354" t="str">
        <f>IF(Machine!$B43&gt;0,E34*Trips!$M33*$D34," ")</f>
        <v xml:space="preserve"> </v>
      </c>
      <c r="G34" s="1394">
        <f>IF(AND($D34&gt;0,Machine!$H43&lt;=170),$E34,0)</f>
        <v>0</v>
      </c>
      <c r="H34" s="1393" t="str">
        <f>IF(Machine!$B43&gt;0,G34*Trips!$M33*$D34," ")</f>
        <v xml:space="preserve"> </v>
      </c>
      <c r="I34" s="1398">
        <f>IF(AND($D34&gt;0,Machine!$H43&gt;170,Machine!$H43&lt;200),$E34,0)</f>
        <v>0</v>
      </c>
      <c r="J34" s="1399" t="str">
        <f>IF(Machine!$B43&gt;0,I34*Trips!$M33*$D34," ")</f>
        <v xml:space="preserve"> </v>
      </c>
      <c r="K34" s="1404">
        <f>IF(AND($D34&gt;0,Machine!$H43&gt;=200,Machine!$H43&lt;250),$E34,0)</f>
        <v>0</v>
      </c>
      <c r="L34" s="1405" t="str">
        <f>IF(Machine!$B43&gt;0,K34*Trips!$M33*$D34," ")</f>
        <v xml:space="preserve"> </v>
      </c>
      <c r="M34" s="1413">
        <f>IF(AND($D34&gt;0,Machine!$H43&gt;=250),$E34,0)</f>
        <v>0</v>
      </c>
      <c r="N34" s="1412" t="str">
        <f>IF(Machine!$B43&gt;0,M34*Trips!$M33*$D34," ")</f>
        <v xml:space="preserve"> </v>
      </c>
      <c r="O34" s="1419">
        <f>A6_Machine_Look_Up!L43</f>
        <v>8</v>
      </c>
    </row>
    <row r="35" spans="2:15" x14ac:dyDescent="0.35">
      <c r="B35" s="253" t="str">
        <f>Machine!A44</f>
        <v>Levee Pull, Planter/Incorporate</v>
      </c>
      <c r="C35" s="1361">
        <f>A6_Machine_Look_Up!J44</f>
        <v>8</v>
      </c>
      <c r="D35" s="1355" t="str">
        <f>IF(Machine!B44&gt;0,Machine!B44," ")</f>
        <v xml:space="preserve"> </v>
      </c>
      <c r="E35" s="1525"/>
      <c r="F35" s="1354" t="str">
        <f>IF(Machine!$B44&gt;0,E35*Trips!$M34*$D35," ")</f>
        <v xml:space="preserve"> </v>
      </c>
      <c r="G35" s="1394">
        <f>IF(AND($D35&gt;0,Machine!$H44&lt;=170),$E35,0)</f>
        <v>0</v>
      </c>
      <c r="H35" s="1393" t="str">
        <f>IF(Machine!$B44&gt;0,G35*Trips!$M34*$D35," ")</f>
        <v xml:space="preserve"> </v>
      </c>
      <c r="I35" s="1398">
        <f>IF(AND($D35&gt;0,Machine!$H44&gt;170,Machine!$H44&lt;200),$E35,0)</f>
        <v>0</v>
      </c>
      <c r="J35" s="1399" t="str">
        <f>IF(Machine!$B44&gt;0,I35*Trips!$M34*$D35," ")</f>
        <v xml:space="preserve"> </v>
      </c>
      <c r="K35" s="1404">
        <f>IF(AND($D35&gt;0,Machine!$H44&gt;=200,Machine!$H44&lt;250),$E35,0)</f>
        <v>0</v>
      </c>
      <c r="L35" s="1405" t="str">
        <f>IF(Machine!$B44&gt;0,K35*Trips!$M34*$D35," ")</f>
        <v xml:space="preserve"> </v>
      </c>
      <c r="M35" s="1413">
        <f>IF(AND($D35&gt;0,Machine!$H44&gt;=250),$E35,0)</f>
        <v>0</v>
      </c>
      <c r="N35" s="1412" t="str">
        <f>IF(Machine!$B44&gt;0,M35*Trips!$M34*$D35," ")</f>
        <v xml:space="preserve"> </v>
      </c>
      <c r="O35" s="1419">
        <f>A6_Machine_Look_Up!L44</f>
        <v>8</v>
      </c>
    </row>
    <row r="36" spans="2:15" x14ac:dyDescent="0.35">
      <c r="B36" s="253" t="str">
        <f>Machine!A45</f>
        <v>Levee Roller-Packer-Shaper</v>
      </c>
      <c r="C36" s="1361">
        <f>A6_Machine_Look_Up!J45</f>
        <v>8</v>
      </c>
      <c r="D36" s="1355" t="str">
        <f>IF(Machine!B45&gt;0,Machine!B45," ")</f>
        <v xml:space="preserve"> </v>
      </c>
      <c r="E36" s="1525"/>
      <c r="F36" s="1354" t="str">
        <f>IF(Machine!$B45&gt;0,E36*Trips!$M35*$D36," ")</f>
        <v xml:space="preserve"> </v>
      </c>
      <c r="G36" s="1394">
        <f>IF(AND($D36&gt;0,Machine!$H45&lt;=170),$E36,0)</f>
        <v>0</v>
      </c>
      <c r="H36" s="1393" t="str">
        <f>IF(Machine!$B45&gt;0,G36*Trips!$M35*$D36," ")</f>
        <v xml:space="preserve"> </v>
      </c>
      <c r="I36" s="1398">
        <f>IF(AND($D36&gt;0,Machine!$H45&gt;170,Machine!$H45&lt;200),$E36,0)</f>
        <v>0</v>
      </c>
      <c r="J36" s="1399" t="str">
        <f>IF(Machine!$B45&gt;0,I36*Trips!$M35*$D36," ")</f>
        <v xml:space="preserve"> </v>
      </c>
      <c r="K36" s="1404">
        <f>IF(AND($D36&gt;0,Machine!$H45&gt;=200,Machine!$H45&lt;250),$E36,0)</f>
        <v>0</v>
      </c>
      <c r="L36" s="1405" t="str">
        <f>IF(Machine!$B45&gt;0,K36*Trips!$M35*$D36," ")</f>
        <v xml:space="preserve"> </v>
      </c>
      <c r="M36" s="1413">
        <f>IF(AND($D36&gt;0,Machine!$H45&gt;=250),$E36,0)</f>
        <v>0</v>
      </c>
      <c r="N36" s="1412" t="str">
        <f>IF(Machine!$B45&gt;0,M36*Trips!$M35*$D36," ")</f>
        <v xml:space="preserve"> </v>
      </c>
      <c r="O36" s="1419">
        <f>A6_Machine_Look_Up!L45</f>
        <v>8</v>
      </c>
    </row>
    <row r="37" spans="2:15" x14ac:dyDescent="0.35">
      <c r="B37" s="253" t="str">
        <f>Machine!A46</f>
        <v>Install Gates &amp; Remove</v>
      </c>
      <c r="C37" s="1361">
        <f>A6_Machine_Look_Up!J46</f>
        <v>8</v>
      </c>
      <c r="D37" s="1355" t="str">
        <f>IF(Machine!B46&gt;0,Machine!B46," ")</f>
        <v xml:space="preserve"> </v>
      </c>
      <c r="E37" s="1525"/>
      <c r="F37" s="1354" t="str">
        <f>IF(Machine!$B46&gt;0,E37*Trips!$M36*$D37," ")</f>
        <v xml:space="preserve"> </v>
      </c>
      <c r="G37" s="1394">
        <f>IF(AND($D37&gt;0,Machine!$H46&lt;=170),$E37,0)</f>
        <v>0</v>
      </c>
      <c r="H37" s="1393" t="str">
        <f>IF(Machine!$B46&gt;0,G37*Trips!$M36*$D37," ")</f>
        <v xml:space="preserve"> </v>
      </c>
      <c r="I37" s="1398">
        <f>IF(AND($D37&gt;0,Machine!$H46&gt;170,Machine!$H46&lt;200),$E37,0)</f>
        <v>0</v>
      </c>
      <c r="J37" s="1399" t="str">
        <f>IF(Machine!$B46&gt;0,I37*Trips!$M36*$D37," ")</f>
        <v xml:space="preserve"> </v>
      </c>
      <c r="K37" s="1404">
        <f>IF(AND($D37&gt;0,Machine!$H46&gt;=200,Machine!$H46&lt;250),$E37,0)</f>
        <v>0</v>
      </c>
      <c r="L37" s="1405" t="str">
        <f>IF(Machine!$B46&gt;0,K37*Trips!$M36*$D37," ")</f>
        <v xml:space="preserve"> </v>
      </c>
      <c r="M37" s="1413">
        <f>IF(AND($D37&gt;0,Machine!$H46&gt;=250),$E37,0)</f>
        <v>0</v>
      </c>
      <c r="N37" s="1412" t="str">
        <f>IF(Machine!$B46&gt;0,M37*Trips!$M36*$D37," ")</f>
        <v xml:space="preserve"> </v>
      </c>
      <c r="O37" s="1419">
        <f>A6_Machine_Look_Up!L46</f>
        <v>8</v>
      </c>
    </row>
    <row r="38" spans="2:15" x14ac:dyDescent="0.35">
      <c r="B38" s="253" t="str">
        <f>Machine!A47</f>
        <v>Take Down Levees</v>
      </c>
      <c r="C38" s="1361">
        <f>A6_Machine_Look_Up!J47</f>
        <v>8</v>
      </c>
      <c r="D38" s="1355" t="str">
        <f>IF(Machine!B47&gt;0,Machine!B47," ")</f>
        <v xml:space="preserve"> </v>
      </c>
      <c r="E38" s="1525"/>
      <c r="F38" s="1354" t="str">
        <f>IF(Machine!$B47&gt;0,E38*Trips!$M37*$D38," ")</f>
        <v xml:space="preserve"> </v>
      </c>
      <c r="G38" s="1394">
        <f>IF(AND($D38&gt;0,Machine!$H47&lt;=170),$E38,0)</f>
        <v>0</v>
      </c>
      <c r="H38" s="1393" t="str">
        <f>IF(Machine!$B47&gt;0,G38*Trips!$M37*$D38," ")</f>
        <v xml:space="preserve"> </v>
      </c>
      <c r="I38" s="1398">
        <f>IF(AND($D38&gt;0,Machine!$H47&gt;170,Machine!$H47&lt;200),$E38,0)</f>
        <v>0</v>
      </c>
      <c r="J38" s="1399" t="str">
        <f>IF(Machine!$B47&gt;0,I38*Trips!$M37*$D38," ")</f>
        <v xml:space="preserve"> </v>
      </c>
      <c r="K38" s="1404">
        <f>IF(AND($D38&gt;0,Machine!$H47&gt;=200,Machine!$H47&lt;250),$E38,0)</f>
        <v>0</v>
      </c>
      <c r="L38" s="1405" t="str">
        <f>IF(Machine!$B47&gt;0,K38*Trips!$M37*$D38," ")</f>
        <v xml:space="preserve"> </v>
      </c>
      <c r="M38" s="1413">
        <f>IF(AND($D38&gt;0,Machine!$H47&gt;=250),$E38,0)</f>
        <v>0</v>
      </c>
      <c r="N38" s="1412" t="str">
        <f>IF(Machine!$B47&gt;0,M38*Trips!$M37*$D38," ")</f>
        <v xml:space="preserve"> </v>
      </c>
      <c r="O38" s="1419">
        <f>A6_Machine_Look_Up!L47</f>
        <v>8</v>
      </c>
    </row>
    <row r="39" spans="2:15" x14ac:dyDescent="0.35">
      <c r="B39" s="253" t="str">
        <f>Machine!A48</f>
        <v>Peanut Digger/Inverter</v>
      </c>
      <c r="C39" s="1361">
        <f>A6_Machine_Look_Up!J48</f>
        <v>8</v>
      </c>
      <c r="D39" s="1355" t="str">
        <f>IF(Machine!B48&gt;0,Machine!B48," ")</f>
        <v xml:space="preserve"> </v>
      </c>
      <c r="E39" s="1525"/>
      <c r="F39" s="1354" t="str">
        <f>IF(Machine!$B48&gt;0,E39*Trips!$M38*$D39," ")</f>
        <v xml:space="preserve"> </v>
      </c>
      <c r="G39" s="1394">
        <f>IF(AND($D39&gt;0,Machine!$H48&lt;=170),$E39,0)</f>
        <v>0</v>
      </c>
      <c r="H39" s="1393" t="str">
        <f>IF(Machine!$B48&gt;0,G39*Trips!$M38*$D39," ")</f>
        <v xml:space="preserve"> </v>
      </c>
      <c r="I39" s="1398">
        <f>IF(AND($D39&gt;0,Machine!$H48&gt;170,Machine!$H48&lt;200),$E39,0)</f>
        <v>0</v>
      </c>
      <c r="J39" s="1399" t="str">
        <f>IF(Machine!$B48&gt;0,I39*Trips!$M38*$D39," ")</f>
        <v xml:space="preserve"> </v>
      </c>
      <c r="K39" s="1404">
        <f>IF(AND($D39&gt;0,Machine!$H48&gt;=200,Machine!$H48&lt;250),$E39,0)</f>
        <v>0</v>
      </c>
      <c r="L39" s="1405" t="str">
        <f>IF(Machine!$B48&gt;0,K39*Trips!$M38*$D39," ")</f>
        <v xml:space="preserve"> </v>
      </c>
      <c r="M39" s="1413">
        <f>IF(AND($D39&gt;0,Machine!$H48&gt;=250),$E39,0)</f>
        <v>0</v>
      </c>
      <c r="N39" s="1412" t="str">
        <f>IF(Machine!$B48&gt;0,M39*Trips!$M38*$D39," ")</f>
        <v xml:space="preserve"> </v>
      </c>
      <c r="O39" s="1419">
        <f>A6_Machine_Look_Up!L48</f>
        <v>8</v>
      </c>
    </row>
    <row r="40" spans="2:15" x14ac:dyDescent="0.35">
      <c r="B40" s="253" t="str">
        <f>Machine!A49</f>
        <v>Peanut Conditioner</v>
      </c>
      <c r="C40" s="1361">
        <f>A6_Machine_Look_Up!J49</f>
        <v>8</v>
      </c>
      <c r="D40" s="1355" t="str">
        <f>IF(Machine!B49&gt;0,Machine!B49," ")</f>
        <v xml:space="preserve"> </v>
      </c>
      <c r="E40" s="1525"/>
      <c r="F40" s="1354" t="str">
        <f>IF(Machine!$B49&gt;0,E40*Trips!$M39*$D40," ")</f>
        <v xml:space="preserve"> </v>
      </c>
      <c r="G40" s="1394">
        <f>IF(AND($D40&gt;0,Machine!$H49&lt;=170),$E40,0)</f>
        <v>0</v>
      </c>
      <c r="H40" s="1393" t="str">
        <f>IF(Machine!$B49&gt;0,G40*Trips!$M39*$D40," ")</f>
        <v xml:space="preserve"> </v>
      </c>
      <c r="I40" s="1398">
        <f>IF(AND($D40&gt;0,Machine!$H49&gt;170,Machine!$H49&lt;200),$E40,0)</f>
        <v>0</v>
      </c>
      <c r="J40" s="1399" t="str">
        <f>IF(Machine!$B49&gt;0,I40*Trips!$M39*$D40," ")</f>
        <v xml:space="preserve"> </v>
      </c>
      <c r="K40" s="1404">
        <f>IF(AND($D40&gt;0,Machine!$H49&gt;=200,Machine!$H49&lt;250),$E40,0)</f>
        <v>0</v>
      </c>
      <c r="L40" s="1405" t="str">
        <f>IF(Machine!$B49&gt;0,K40*Trips!$M39*$D40," ")</f>
        <v xml:space="preserve"> </v>
      </c>
      <c r="M40" s="1413">
        <f>IF(AND($D40&gt;0,Machine!$H49&gt;=250),$E40,0)</f>
        <v>0</v>
      </c>
      <c r="N40" s="1412" t="str">
        <f>IF(Machine!$B49&gt;0,M40*Trips!$M39*$D40," ")</f>
        <v xml:space="preserve"> </v>
      </c>
      <c r="O40" s="1419">
        <f>A6_Machine_Look_Up!L49</f>
        <v>8</v>
      </c>
    </row>
    <row r="41" spans="2:15" x14ac:dyDescent="0.35">
      <c r="B41" s="253" t="str">
        <f>Machine!A50</f>
        <v>Peanut Conditiner &amp; Lifter</v>
      </c>
      <c r="C41" s="1361">
        <f>A6_Machine_Look_Up!J50</f>
        <v>8</v>
      </c>
      <c r="D41" s="1355" t="str">
        <f>IF(Machine!B50&gt;0,Machine!B50," ")</f>
        <v xml:space="preserve"> </v>
      </c>
      <c r="E41" s="1525"/>
      <c r="F41" s="1354" t="str">
        <f>IF(Machine!$B50&gt;0,E41*Trips!$M40*$D41," ")</f>
        <v xml:space="preserve"> </v>
      </c>
      <c r="G41" s="1394">
        <f>IF(AND($D41&gt;0,Machine!$H50&lt;=170),$E41,0)</f>
        <v>0</v>
      </c>
      <c r="H41" s="1393" t="str">
        <f>IF(Machine!$B50&gt;0,G41*Trips!$M40*$D41," ")</f>
        <v xml:space="preserve"> </v>
      </c>
      <c r="I41" s="1398">
        <f>IF(AND($D41&gt;0,Machine!$H50&gt;170,Machine!$H50&lt;200),$E41,0)</f>
        <v>0</v>
      </c>
      <c r="J41" s="1399" t="str">
        <f>IF(Machine!$B50&gt;0,I41*Trips!$M40*$D41," ")</f>
        <v xml:space="preserve"> </v>
      </c>
      <c r="K41" s="1404">
        <f>IF(AND($D41&gt;0,Machine!$H50&gt;=200,Machine!$H50&lt;250),$E41,0)</f>
        <v>0</v>
      </c>
      <c r="L41" s="1405" t="str">
        <f>IF(Machine!$B50&gt;0,K41*Trips!$M40*$D41," ")</f>
        <v xml:space="preserve"> </v>
      </c>
      <c r="M41" s="1413">
        <f>IF(AND($D41&gt;0,Machine!$H50&gt;=250),$E41,0)</f>
        <v>0</v>
      </c>
      <c r="N41" s="1412" t="str">
        <f>IF(Machine!$B50&gt;0,M41*Trips!$M40*$D41," ")</f>
        <v xml:space="preserve"> </v>
      </c>
      <c r="O41" s="1419">
        <f>A6_Machine_Look_Up!L50</f>
        <v>8</v>
      </c>
    </row>
    <row r="42" spans="2:15" x14ac:dyDescent="0.35">
      <c r="B42" s="253" t="str">
        <f>Machine!A51</f>
        <v>Mower, Stalk Shredder</v>
      </c>
      <c r="C42" s="1361">
        <f>A6_Machine_Look_Up!J51</f>
        <v>8</v>
      </c>
      <c r="D42" s="1355" t="str">
        <f>IF(Machine!B51&gt;0,Machine!B51," ")</f>
        <v xml:space="preserve"> </v>
      </c>
      <c r="E42" s="1525">
        <v>1000</v>
      </c>
      <c r="F42" s="1354" t="str">
        <f>IF(Machine!$B51&gt;0,E42*Trips!$M41*$D42," ")</f>
        <v xml:space="preserve"> </v>
      </c>
      <c r="G42" s="1394">
        <f>IF(AND($D42&gt;0,Machine!$H51&lt;=170),$E42,0)</f>
        <v>0</v>
      </c>
      <c r="H42" s="1393" t="str">
        <f>IF(Machine!$B51&gt;0,G42*Trips!$M41*$D42," ")</f>
        <v xml:space="preserve"> </v>
      </c>
      <c r="I42" s="1398">
        <f>IF(AND($D42&gt;0,Machine!$H51&gt;170,Machine!$H51&lt;200),$E42,0)</f>
        <v>1000</v>
      </c>
      <c r="J42" s="1399" t="str">
        <f>IF(Machine!$B51&gt;0,I42*Trips!$M41*$D42," ")</f>
        <v xml:space="preserve"> </v>
      </c>
      <c r="K42" s="1404">
        <f>IF(AND($D42&gt;0,Machine!$H51&gt;=200,Machine!$H51&lt;250),$E42,0)</f>
        <v>0</v>
      </c>
      <c r="L42" s="1405" t="str">
        <f>IF(Machine!$B51&gt;0,K42*Trips!$M41*$D42," ")</f>
        <v xml:space="preserve"> </v>
      </c>
      <c r="M42" s="1413">
        <f>IF(AND($D42&gt;0,Machine!$H51&gt;=250),$E42,0)</f>
        <v>0</v>
      </c>
      <c r="N42" s="1412" t="str">
        <f>IF(Machine!$B51&gt;0,M42*Trips!$M41*$D42," ")</f>
        <v xml:space="preserve"> </v>
      </c>
      <c r="O42" s="1419">
        <f>A6_Machine_Look_Up!L51</f>
        <v>8</v>
      </c>
    </row>
    <row r="43" spans="2:15" x14ac:dyDescent="0.35">
      <c r="B43" s="253" t="str">
        <f>Machine!A52</f>
        <v>Stubble Roller</v>
      </c>
      <c r="C43" s="1361">
        <f>A6_Machine_Look_Up!J52</f>
        <v>8</v>
      </c>
      <c r="D43" s="1355" t="str">
        <f>IF(Machine!B52&gt;0,Machine!B52," ")</f>
        <v xml:space="preserve"> </v>
      </c>
      <c r="E43" s="1525"/>
      <c r="F43" s="1354" t="str">
        <f>IF(Machine!$B52&gt;0,E43*Trips!$M42*$D43," ")</f>
        <v xml:space="preserve"> </v>
      </c>
      <c r="G43" s="1394">
        <f>IF(AND($D43&gt;0,Machine!$H52&lt;=170),$E43,0)</f>
        <v>0</v>
      </c>
      <c r="H43" s="1393" t="str">
        <f>IF(Machine!$B52&gt;0,G43*Trips!$M42*$D43," ")</f>
        <v xml:space="preserve"> </v>
      </c>
      <c r="I43" s="1398">
        <f>IF(AND($D43&gt;0,Machine!$H52&gt;170,Machine!$H52&lt;200),$E43,0)</f>
        <v>0</v>
      </c>
      <c r="J43" s="1399" t="str">
        <f>IF(Machine!$B52&gt;0,I43*Trips!$M42*$D43," ")</f>
        <v xml:space="preserve"> </v>
      </c>
      <c r="K43" s="1404">
        <f>IF(AND($D43&gt;0,Machine!$H52&gt;=200,Machine!$H52&lt;250),$E43,0)</f>
        <v>0</v>
      </c>
      <c r="L43" s="1405" t="str">
        <f>IF(Machine!$B52&gt;0,K43*Trips!$M42*$D43," ")</f>
        <v xml:space="preserve"> </v>
      </c>
      <c r="M43" s="1413">
        <f>IF(AND($D43&gt;0,Machine!$H52&gt;=250),$E43,0)</f>
        <v>0</v>
      </c>
      <c r="N43" s="1412" t="str">
        <f>IF(Machine!$B52&gt;0,M43*Trips!$M42*$D43," ")</f>
        <v xml:space="preserve"> </v>
      </c>
      <c r="O43" s="1419">
        <f>A6_Machine_Look_Up!L52</f>
        <v>8</v>
      </c>
    </row>
    <row r="44" spans="2:15" x14ac:dyDescent="0.35">
      <c r="B44" s="253" t="str">
        <f>Machine!A53</f>
        <v>Other Equipment</v>
      </c>
      <c r="C44" s="1361">
        <f>A6_Machine_Look_Up!J53</f>
        <v>8</v>
      </c>
      <c r="D44" s="1355" t="str">
        <f>IF(Machine!B53&gt;0,Machine!B53," ")</f>
        <v xml:space="preserve"> </v>
      </c>
      <c r="E44" s="1525"/>
      <c r="F44" s="1354" t="str">
        <f>IF(Machine!$B53&gt;0,E44*Trips!$M43*$D44," ")</f>
        <v xml:space="preserve"> </v>
      </c>
      <c r="G44" s="1394">
        <f>IF(AND($D44&gt;0,Machine!$H53&lt;=170),$E44,0)</f>
        <v>0</v>
      </c>
      <c r="H44" s="1393" t="str">
        <f>IF(Machine!$B53&gt;0,G44*Trips!$M43*$D44," ")</f>
        <v xml:space="preserve"> </v>
      </c>
      <c r="I44" s="1398">
        <f>IF(AND($D44&gt;0,Machine!$H53&gt;170,Machine!$H53&lt;200),$E44,0)</f>
        <v>0</v>
      </c>
      <c r="J44" s="1399" t="str">
        <f>IF(Machine!$B53&gt;0,I44*Trips!$M43*$D44," ")</f>
        <v xml:space="preserve"> </v>
      </c>
      <c r="K44" s="1404">
        <f>IF(AND($D44&gt;0,Machine!$H53&gt;=200,Machine!$H53&lt;250),$E44,0)</f>
        <v>0</v>
      </c>
      <c r="L44" s="1405" t="str">
        <f>IF(Machine!$B53&gt;0,K44*Trips!$M43*$D44," ")</f>
        <v xml:space="preserve"> </v>
      </c>
      <c r="M44" s="1413">
        <f>IF(AND($D44&gt;0,Machine!$H53&gt;=250),$E44,0)</f>
        <v>0</v>
      </c>
      <c r="N44" s="1412" t="str">
        <f>IF(Machine!$B53&gt;0,M44*Trips!$M43*$D44," ")</f>
        <v xml:space="preserve"> </v>
      </c>
      <c r="O44" s="1419">
        <f>A6_Machine_Look_Up!L53</f>
        <v>8</v>
      </c>
    </row>
    <row r="45" spans="2:15" x14ac:dyDescent="0.35">
      <c r="B45" s="253" t="str">
        <f>Machine!A54</f>
        <v>Other Equipment</v>
      </c>
      <c r="C45" s="1362">
        <f>A6_Machine_Look_Up!J54</f>
        <v>8</v>
      </c>
      <c r="D45" s="1355" t="str">
        <f>IF(Machine!B54&gt;0,Machine!B54," ")</f>
        <v xml:space="preserve"> </v>
      </c>
      <c r="E45" s="1525"/>
      <c r="F45" s="1354" t="str">
        <f>IF(Machine!$B54&gt;0,E45*Trips!$M44*$D45," ")</f>
        <v xml:space="preserve"> </v>
      </c>
      <c r="G45" s="1394">
        <f>IF(AND($D45&gt;0,Machine!$H54&lt;=170),$E45,0)</f>
        <v>0</v>
      </c>
      <c r="H45" s="1393" t="str">
        <f>IF(Machine!$B54&gt;0,G45*Trips!$M44*$D45," ")</f>
        <v xml:space="preserve"> </v>
      </c>
      <c r="I45" s="1398">
        <f>IF(AND($D45&gt;0,Machine!$H54&gt;170,Machine!$H54&lt;200),$E45,0)</f>
        <v>0</v>
      </c>
      <c r="J45" s="1399" t="str">
        <f>IF(Machine!$B54&gt;0,I45*Trips!$M44*$D45," ")</f>
        <v xml:space="preserve"> </v>
      </c>
      <c r="K45" s="1404">
        <f>IF(AND($D45&gt;0,Machine!$H54&gt;=200,Machine!$H54&lt;250),$E45,0)</f>
        <v>0</v>
      </c>
      <c r="L45" s="1405" t="str">
        <f>IF(Machine!$B54&gt;0,K45*Trips!$M44*$D45," ")</f>
        <v xml:space="preserve"> </v>
      </c>
      <c r="M45" s="1413">
        <f>IF(AND($D45&gt;0,Machine!$H54&gt;=250),$E45,0)</f>
        <v>0</v>
      </c>
      <c r="N45" s="1412" t="str">
        <f>IF(Machine!$B54&gt;0,M45*Trips!$M44*$D45," ")</f>
        <v xml:space="preserve"> </v>
      </c>
      <c r="O45" s="1420">
        <f>A6_Machine_Look_Up!L54</f>
        <v>8</v>
      </c>
    </row>
    <row r="46" spans="2:15" x14ac:dyDescent="0.35">
      <c r="B46" s="253"/>
      <c r="C46" s="31"/>
      <c r="D46" s="31"/>
      <c r="E46" s="1526"/>
      <c r="F46" s="31"/>
      <c r="G46" s="886"/>
      <c r="H46" s="886"/>
      <c r="I46" s="301"/>
      <c r="J46" s="301"/>
      <c r="K46" s="282"/>
      <c r="L46" s="282"/>
      <c r="M46" s="1414"/>
      <c r="N46" s="1414"/>
      <c r="O46" s="1421"/>
    </row>
    <row r="47" spans="2:15" x14ac:dyDescent="0.35">
      <c r="B47" s="253"/>
      <c r="C47" s="31"/>
      <c r="D47" s="31"/>
      <c r="E47" s="1526"/>
      <c r="F47" s="31"/>
      <c r="G47" s="886"/>
      <c r="H47" s="886"/>
      <c r="I47" s="301"/>
      <c r="J47" s="301"/>
      <c r="K47" s="282"/>
      <c r="L47" s="282"/>
      <c r="M47" s="1414"/>
      <c r="N47" s="1414"/>
      <c r="O47" s="1421"/>
    </row>
    <row r="48" spans="2:15" ht="13.15" x14ac:dyDescent="0.4">
      <c r="B48" s="1353" t="str">
        <f>Machine!A57</f>
        <v>Self-Propelled Pre-Harvest</v>
      </c>
      <c r="C48" s="1355"/>
      <c r="D48" s="1355"/>
      <c r="E48" s="1526"/>
      <c r="F48" s="31"/>
      <c r="G48" s="886"/>
      <c r="H48" s="886"/>
      <c r="I48" s="301"/>
      <c r="J48" s="301"/>
      <c r="K48" s="282"/>
      <c r="L48" s="282"/>
      <c r="M48" s="1414"/>
      <c r="N48" s="1414"/>
      <c r="O48" s="1422"/>
    </row>
    <row r="49" spans="2:15" x14ac:dyDescent="0.35">
      <c r="B49" s="253" t="str">
        <f>Machine!A58</f>
        <v>Self-Propelled Sprayer</v>
      </c>
      <c r="C49" s="1363">
        <f>A6_Machine_Look_Up!J58</f>
        <v>8</v>
      </c>
      <c r="D49" s="1355" t="str">
        <f>IF(Machine!B58&gt;0,Machine!B58," ")</f>
        <v xml:space="preserve"> </v>
      </c>
      <c r="E49" s="1525">
        <v>1000</v>
      </c>
      <c r="F49" s="1354" t="str">
        <f>IF(Machine!$B58&gt;0,E49*Trips!$M48*$D49," ")</f>
        <v xml:space="preserve"> </v>
      </c>
      <c r="G49" s="886"/>
      <c r="H49" s="886"/>
      <c r="I49" s="301"/>
      <c r="J49" s="301"/>
      <c r="K49" s="282"/>
      <c r="L49" s="282"/>
      <c r="M49" s="1414"/>
      <c r="N49" s="1414"/>
      <c r="O49" s="1423"/>
    </row>
    <row r="50" spans="2:15" x14ac:dyDescent="0.35">
      <c r="B50" s="253" t="str">
        <f>Machine!A59</f>
        <v>ATV with  Spot, Levee Sprayer</v>
      </c>
      <c r="C50" s="1361">
        <f>A6_Machine_Look_Up!J59</f>
        <v>8</v>
      </c>
      <c r="D50" s="1355" t="str">
        <f>IF(Machine!B59&gt;0,Machine!B59," ")</f>
        <v xml:space="preserve"> </v>
      </c>
      <c r="E50" s="1525"/>
      <c r="F50" s="1354" t="str">
        <f>IF(Machine!$B59&gt;0,E50*Trips!$M49*$D50," ")</f>
        <v xml:space="preserve"> </v>
      </c>
      <c r="G50" s="886"/>
      <c r="H50" s="886"/>
      <c r="I50" s="301"/>
      <c r="J50" s="301"/>
      <c r="K50" s="282"/>
      <c r="L50" s="282"/>
      <c r="M50" s="1414"/>
      <c r="N50" s="1414"/>
      <c r="O50" s="1423"/>
    </row>
    <row r="51" spans="2:15" x14ac:dyDescent="0.35">
      <c r="B51" s="253" t="str">
        <f>Machine!A60</f>
        <v>Dry Box Spreader</v>
      </c>
      <c r="C51" s="1362">
        <f>A6_Machine_Look_Up!J60</f>
        <v>8</v>
      </c>
      <c r="D51" s="1355" t="str">
        <f>IF(Machine!B60&gt;0,Machine!B60," ")</f>
        <v xml:space="preserve"> </v>
      </c>
      <c r="E51" s="1525"/>
      <c r="F51" s="1354" t="str">
        <f>IF(Machine!$B60&gt;0,E51*Trips!$M50*$D51," ")</f>
        <v xml:space="preserve"> </v>
      </c>
      <c r="G51" s="886"/>
      <c r="H51" s="886"/>
      <c r="I51" s="301"/>
      <c r="J51" s="301"/>
      <c r="K51" s="282"/>
      <c r="L51" s="282"/>
      <c r="M51" s="1414"/>
      <c r="N51" s="1414"/>
      <c r="O51" s="1423"/>
    </row>
    <row r="52" spans="2:15" x14ac:dyDescent="0.35">
      <c r="B52" s="253"/>
      <c r="C52" s="1355"/>
      <c r="D52" s="1355" t="str">
        <f>IF(Machine!B61&gt;0,Machine!B61," ")</f>
        <v xml:space="preserve"> </v>
      </c>
      <c r="E52" s="1526"/>
      <c r="F52" s="31"/>
      <c r="G52" s="886"/>
      <c r="H52" s="886"/>
      <c r="I52" s="301"/>
      <c r="J52" s="301"/>
      <c r="K52" s="282"/>
      <c r="L52" s="282"/>
      <c r="M52" s="1414"/>
      <c r="N52" s="1414"/>
      <c r="O52" s="1422"/>
    </row>
    <row r="53" spans="2:15" x14ac:dyDescent="0.35">
      <c r="B53" s="253"/>
      <c r="C53" s="1355"/>
      <c r="D53" s="1355" t="str">
        <f>IF(Machine!B62&gt;0,Machine!B62," ")</f>
        <v xml:space="preserve"> </v>
      </c>
      <c r="E53" s="1526"/>
      <c r="F53" s="31"/>
      <c r="G53" s="886"/>
      <c r="H53" s="886"/>
      <c r="I53" s="301"/>
      <c r="J53" s="301"/>
      <c r="K53" s="282"/>
      <c r="L53" s="282"/>
      <c r="M53" s="1414"/>
      <c r="N53" s="1414"/>
      <c r="O53" s="1422"/>
    </row>
    <row r="54" spans="2:15" ht="13.15" x14ac:dyDescent="0.4">
      <c r="B54" s="1353" t="str">
        <f>Machine!A63</f>
        <v>Self-Propelled and Other Harvest</v>
      </c>
      <c r="C54" s="1355"/>
      <c r="D54" s="1355"/>
      <c r="E54" s="1526"/>
      <c r="F54" s="31"/>
      <c r="G54" s="886"/>
      <c r="H54" s="886"/>
      <c r="I54" s="301"/>
      <c r="J54" s="301"/>
      <c r="K54" s="282"/>
      <c r="L54" s="282"/>
      <c r="M54" s="1414"/>
      <c r="N54" s="1414"/>
      <c r="O54" s="1422"/>
    </row>
    <row r="55" spans="2:15" x14ac:dyDescent="0.35">
      <c r="B55" s="253" t="str">
        <f>Machine!A64</f>
        <v>Cotton Picker</v>
      </c>
      <c r="C55" s="1363">
        <f>A6_Machine_Look_Up!J64</f>
        <v>8</v>
      </c>
      <c r="D55" s="1355" t="str">
        <f>IF(Machine!B64&gt;0,Machine!B64," ")</f>
        <v xml:space="preserve"> </v>
      </c>
      <c r="E55" s="1525">
        <v>1000</v>
      </c>
      <c r="F55" s="1354" t="str">
        <f>IF(Machine!$B64&gt;0,E55*Trips!$M$54*$D55," ")</f>
        <v xml:space="preserve"> </v>
      </c>
      <c r="G55" s="1395"/>
      <c r="H55" s="1393"/>
      <c r="I55" s="1400"/>
      <c r="J55" s="1399"/>
      <c r="K55" s="1406"/>
      <c r="L55" s="1405"/>
      <c r="M55" s="1415"/>
      <c r="N55" s="1412"/>
      <c r="O55" s="1423"/>
    </row>
    <row r="56" spans="2:15" x14ac:dyDescent="0.35">
      <c r="B56" s="253" t="str">
        <f>Machine!A65</f>
        <v>Boll Buggy with Tractor</v>
      </c>
      <c r="C56" s="1361">
        <f>A6_Machine_Look_Up!J65</f>
        <v>8</v>
      </c>
      <c r="D56" s="1355" t="str">
        <f>IF(Machine!B65&gt;0,Machine!B65," ")</f>
        <v xml:space="preserve"> </v>
      </c>
      <c r="E56" s="1525">
        <v>1000</v>
      </c>
      <c r="F56" s="1354" t="str">
        <f>IF(Machine!$B65&gt;0,E56*Trips!$M$54*$D56," ")</f>
        <v xml:space="preserve"> </v>
      </c>
      <c r="G56" s="1394">
        <f>IF(AND($D56&gt;0,Machine!$H65&lt;=170),$E56,0)</f>
        <v>0</v>
      </c>
      <c r="H56" s="1393" t="str">
        <f>IF(Machine!$B65&gt;0,G56*Trips!$M$54*$D56," ")</f>
        <v xml:space="preserve"> </v>
      </c>
      <c r="I56" s="1398">
        <f>IF(AND($D56&gt;0,Machine!$H65&gt;170,Machine!$H65&lt;200),$E56,0)</f>
        <v>1000</v>
      </c>
      <c r="J56" s="1399" t="str">
        <f>IF(Machine!$B65&gt;0,I56*Trips!$M$54*$D56," ")</f>
        <v xml:space="preserve"> </v>
      </c>
      <c r="K56" s="1404">
        <f>IF(AND($D56&gt;0,Machine!$H65&gt;=200,Machine!$H65&lt;250),$E56,0)</f>
        <v>0</v>
      </c>
      <c r="L56" s="1405" t="str">
        <f>IF(Machine!$B65&gt;0,K56*Trips!$M$54*$D56," ")</f>
        <v xml:space="preserve"> </v>
      </c>
      <c r="M56" s="1413">
        <f>IF(AND($D56&gt;0,Machine!$H65&gt;=250),$E56,0)</f>
        <v>0</v>
      </c>
      <c r="N56" s="1412" t="str">
        <f>IF(Machine!$B65&gt;0,M56*Trips!$M$54*$D56," ")</f>
        <v xml:space="preserve"> </v>
      </c>
      <c r="O56" s="1418">
        <f>A6_Machine_Look_Up!L65</f>
        <v>8</v>
      </c>
    </row>
    <row r="57" spans="2:15" x14ac:dyDescent="0.35">
      <c r="B57" s="253" t="str">
        <f>Machine!A66</f>
        <v>Module Builder with Tractor</v>
      </c>
      <c r="C57" s="1361">
        <f>A6_Machine_Look_Up!J66</f>
        <v>8</v>
      </c>
      <c r="D57" s="1355" t="str">
        <f>IF(Machine!B66&gt;0,Machine!B66," ")</f>
        <v xml:space="preserve"> </v>
      </c>
      <c r="E57" s="1525">
        <v>1000</v>
      </c>
      <c r="F57" s="1354" t="str">
        <f>IF(Machine!$B66&gt;0,E57*Trips!$M$54*$D57," ")</f>
        <v xml:space="preserve"> </v>
      </c>
      <c r="G57" s="1394">
        <f>IF(AND($D57&gt;0,Machine!$H66&lt;=170),$E57,0)</f>
        <v>0</v>
      </c>
      <c r="H57" s="1393" t="str">
        <f>IF(Machine!$B66&gt;0,G57*Trips!$M$54*$D57," ")</f>
        <v xml:space="preserve"> </v>
      </c>
      <c r="I57" s="1398">
        <f>IF(AND($D57&gt;0,Machine!$H66&gt;170,Machine!$H66&lt;200),$E57,0)</f>
        <v>1000</v>
      </c>
      <c r="J57" s="1399" t="str">
        <f>IF(Machine!$B66&gt;0,I57*Trips!$M$54*$D57," ")</f>
        <v xml:space="preserve"> </v>
      </c>
      <c r="K57" s="1404">
        <f>IF(AND($D57&gt;0,Machine!$H66&gt;=200,Machine!$H66&lt;250),$E57,0)</f>
        <v>0</v>
      </c>
      <c r="L57" s="1405" t="str">
        <f>IF(Machine!$B66&gt;0,K57*Trips!$M$54*$D57," ")</f>
        <v xml:space="preserve"> </v>
      </c>
      <c r="M57" s="1413">
        <f>IF(AND($D57&gt;0,Machine!$H66&gt;=250),$E57,0)</f>
        <v>0</v>
      </c>
      <c r="N57" s="1412" t="str">
        <f>IF(Machine!$B66&gt;0,M57*Trips!$M$54*$D57," ")</f>
        <v xml:space="preserve"> </v>
      </c>
      <c r="O57" s="1419">
        <f>A6_Machine_Look_Up!L66</f>
        <v>8</v>
      </c>
    </row>
    <row r="58" spans="2:15" x14ac:dyDescent="0.35">
      <c r="B58" s="253" t="str">
        <f>Machine!A67</f>
        <v>Cotton Picker: Module-Building</v>
      </c>
      <c r="C58" s="1361">
        <f>A6_Machine_Look_Up!J67</f>
        <v>8</v>
      </c>
      <c r="D58" s="1355" t="str">
        <f>IF(Machine!B67&gt;0,Machine!B67," ")</f>
        <v xml:space="preserve"> </v>
      </c>
      <c r="E58" s="1525"/>
      <c r="F58" s="1354" t="str">
        <f>IF(Machine!$B67&gt;0,E58*Trips!$M$57*$D58," ")</f>
        <v xml:space="preserve"> </v>
      </c>
      <c r="G58" s="1395"/>
      <c r="H58" s="1393"/>
      <c r="I58" s="1400"/>
      <c r="J58" s="1399"/>
      <c r="K58" s="1407"/>
      <c r="L58" s="1405"/>
      <c r="M58" s="1415"/>
      <c r="N58" s="1412"/>
      <c r="O58" s="1419"/>
    </row>
    <row r="59" spans="2:15" x14ac:dyDescent="0.35">
      <c r="B59" s="253" t="str">
        <f>Machine!A68</f>
        <v>Module Handler with Tractor</v>
      </c>
      <c r="C59" s="1361">
        <f>A6_Machine_Look_Up!J68</f>
        <v>8</v>
      </c>
      <c r="D59" s="1355" t="str">
        <f>IF(Machine!B68&gt;0,Machine!B68," ")</f>
        <v xml:space="preserve"> </v>
      </c>
      <c r="E59" s="1525"/>
      <c r="F59" s="1354" t="str">
        <f>IF(Machine!$B68&gt;0,E59*Trips!$M$57*$D59," ")</f>
        <v xml:space="preserve"> </v>
      </c>
      <c r="G59" s="1394">
        <f>IF(AND($D59&gt;0,Machine!$H68&lt;=170),$E59,0)</f>
        <v>0</v>
      </c>
      <c r="H59" s="1393" t="str">
        <f>IF(Machine!$B68&gt;0,G59*Trips!$M$57*$D59," ")</f>
        <v xml:space="preserve"> </v>
      </c>
      <c r="I59" s="1398">
        <f>IF(AND($D59&gt;0,Machine!$H68&gt;170,Machine!$H68&lt;200),$E59,0)</f>
        <v>0</v>
      </c>
      <c r="J59" s="1399" t="str">
        <f>IF(Machine!$B68&gt;0,I59*Trips!$M$57*$D59," ")</f>
        <v xml:space="preserve"> </v>
      </c>
      <c r="K59" s="1404">
        <f>IF(AND($D59&gt;0,Machine!$H68&gt;=200,Machine!$H68&lt;250),$E59,0)</f>
        <v>0</v>
      </c>
      <c r="L59" s="1405" t="str">
        <f>IF(Machine!$B68&gt;0,K59*Trips!$M$57*$D59," ")</f>
        <v xml:space="preserve"> </v>
      </c>
      <c r="M59" s="1413">
        <f>IF(AND($D59&gt;0,Machine!$H68&gt;=250),$E59,0)</f>
        <v>0</v>
      </c>
      <c r="N59" s="1412" t="str">
        <f>IF(Machine!$B68&gt;0,M59*Trips!$M$57*$D59," ")</f>
        <v xml:space="preserve"> </v>
      </c>
      <c r="O59" s="1419">
        <f>A6_Machine_Look_Up!L68</f>
        <v>8</v>
      </c>
    </row>
    <row r="60" spans="2:15" x14ac:dyDescent="0.35">
      <c r="B60" s="253" t="str">
        <f>Machine!A69</f>
        <v>Combine</v>
      </c>
      <c r="C60" s="1361">
        <f>A6_Machine_Look_Up!J69</f>
        <v>8</v>
      </c>
      <c r="D60" s="1355">
        <f>IF(Machine!B69&gt;0,Machine!B69," ")</f>
        <v>1</v>
      </c>
      <c r="E60" s="1525"/>
      <c r="F60" s="1354">
        <f>IF(Machine!$B69&gt;0,E60*Trips!$M$59*$D60," ")</f>
        <v>0</v>
      </c>
      <c r="G60" s="1395"/>
      <c r="H60" s="1393"/>
      <c r="I60" s="1400"/>
      <c r="J60" s="1399"/>
      <c r="K60" s="1407"/>
      <c r="L60" s="1405"/>
      <c r="M60" s="1415"/>
      <c r="N60" s="1412"/>
      <c r="O60" s="1419"/>
    </row>
    <row r="61" spans="2:15" x14ac:dyDescent="0.35">
      <c r="B61" s="253" t="str">
        <f>Machine!A70</f>
        <v>Corn Head</v>
      </c>
      <c r="C61" s="1361">
        <f>A6_Machine_Look_Up!J70</f>
        <v>8</v>
      </c>
      <c r="D61" s="1355" t="str">
        <f>IF(Machine!B70&gt;0,Machine!B70," ")</f>
        <v xml:space="preserve"> </v>
      </c>
      <c r="E61" s="1525"/>
      <c r="F61" s="1354" t="str">
        <f>IF(Machine!$B70&gt;0,E61*Trips!$M$59*$D61," ")</f>
        <v xml:space="preserve"> </v>
      </c>
      <c r="G61" s="1395"/>
      <c r="H61" s="1393"/>
      <c r="I61" s="1400"/>
      <c r="J61" s="1399"/>
      <c r="K61" s="1407"/>
      <c r="L61" s="1405"/>
      <c r="M61" s="1415"/>
      <c r="N61" s="1412"/>
      <c r="O61" s="1419"/>
    </row>
    <row r="62" spans="2:15" x14ac:dyDescent="0.35">
      <c r="B62" s="253" t="str">
        <f>Machine!A71</f>
        <v>Soybean Head</v>
      </c>
      <c r="C62" s="1361">
        <f>A6_Machine_Look_Up!J71</f>
        <v>8</v>
      </c>
      <c r="D62" s="1355" t="str">
        <f>IF(Machine!B71&gt;0,Machine!B71," ")</f>
        <v xml:space="preserve"> </v>
      </c>
      <c r="E62" s="1525"/>
      <c r="F62" s="1354" t="str">
        <f>IF(Machine!$B71&gt;0,E62*Trips!$M$59*$D62," ")</f>
        <v xml:space="preserve"> </v>
      </c>
      <c r="G62" s="1395"/>
      <c r="H62" s="1393"/>
      <c r="I62" s="1400"/>
      <c r="J62" s="1399"/>
      <c r="K62" s="1407"/>
      <c r="L62" s="1405"/>
      <c r="M62" s="1415"/>
      <c r="N62" s="1412"/>
      <c r="O62" s="1419"/>
    </row>
    <row r="63" spans="2:15" x14ac:dyDescent="0.35">
      <c r="B63" s="253" t="str">
        <f>Machine!A72</f>
        <v>Rice Head</v>
      </c>
      <c r="C63" s="1361">
        <f>A6_Machine_Look_Up!J72</f>
        <v>8</v>
      </c>
      <c r="D63" s="1355" t="str">
        <f>IF(Machine!B72&gt;0,Machine!B72," ")</f>
        <v xml:space="preserve"> </v>
      </c>
      <c r="E63" s="1525"/>
      <c r="F63" s="1354" t="str">
        <f>IF(Machine!$B72&gt;0,E63*Trips!$M$59*$D63," ")</f>
        <v xml:space="preserve"> </v>
      </c>
      <c r="G63" s="1395"/>
      <c r="H63" s="1393"/>
      <c r="I63" s="1400"/>
      <c r="J63" s="1399"/>
      <c r="K63" s="1407"/>
      <c r="L63" s="1405"/>
      <c r="M63" s="1415"/>
      <c r="N63" s="1412"/>
      <c r="O63" s="1419"/>
    </row>
    <row r="64" spans="2:15" x14ac:dyDescent="0.35">
      <c r="B64" s="253" t="str">
        <f>Machine!A73</f>
        <v>Wheat/Sorghum Head</v>
      </c>
      <c r="C64" s="1361">
        <f>A6_Machine_Look_Up!J73</f>
        <v>8</v>
      </c>
      <c r="D64" s="1355">
        <f>IF(Machine!B73&gt;0,Machine!B73," ")</f>
        <v>1</v>
      </c>
      <c r="E64" s="1525"/>
      <c r="F64" s="1354">
        <f>IF(Machine!$B73&gt;0,E64*Trips!$M$59*$D64," ")</f>
        <v>0</v>
      </c>
      <c r="G64" s="1395"/>
      <c r="H64" s="1393"/>
      <c r="I64" s="1400"/>
      <c r="J64" s="1399"/>
      <c r="K64" s="1407"/>
      <c r="L64" s="1405"/>
      <c r="M64" s="1415"/>
      <c r="N64" s="1412"/>
      <c r="O64" s="1419"/>
    </row>
    <row r="65" spans="2:15" x14ac:dyDescent="0.35">
      <c r="B65" s="253" t="str">
        <f>Machine!A74</f>
        <v>Grain Cart with Tractor</v>
      </c>
      <c r="C65" s="1361">
        <f>A6_Machine_Look_Up!J74</f>
        <v>8</v>
      </c>
      <c r="D65" s="1355">
        <f>IF(Machine!B74&gt;0,Machine!B74," ")</f>
        <v>1</v>
      </c>
      <c r="E65" s="1525"/>
      <c r="F65" s="1354">
        <f>IF(Machine!$B74&gt;0,E65*Trips!$M$59*$D65," ")</f>
        <v>0</v>
      </c>
      <c r="G65" s="1394">
        <f>IF(AND($D65&gt;0,Machine!$H74&lt;=170),$E65,0)</f>
        <v>0</v>
      </c>
      <c r="H65" s="1393">
        <f>IF(Machine!$B74&gt;0,G65*Trips!$M$59*$D65," ")</f>
        <v>0</v>
      </c>
      <c r="I65" s="1398">
        <f>IF(AND($D65&gt;0,Machine!$H74&gt;170,Machine!$H74&lt;200),$E65,0)</f>
        <v>0</v>
      </c>
      <c r="J65" s="1399">
        <f>IF(Machine!$B74&gt;0,I65*Trips!$M$59*$D65," ")</f>
        <v>0</v>
      </c>
      <c r="K65" s="1404">
        <f>IF(AND($D65&gt;0,Machine!$H74&gt;=200,Machine!$H74&lt;250),$E65,0)</f>
        <v>0</v>
      </c>
      <c r="L65" s="1405">
        <f>IF(Machine!$B74&gt;0,K65*Trips!$M$59*$D65," ")</f>
        <v>0</v>
      </c>
      <c r="M65" s="1413">
        <f>IF(AND($D65&gt;0,Machine!$H74&gt;=250),$E65,0)</f>
        <v>0</v>
      </c>
      <c r="N65" s="1412">
        <f>IF(Machine!$B74&gt;0,M65*Trips!$M$59*$D65," ")</f>
        <v>0</v>
      </c>
      <c r="O65" s="1419">
        <f>A6_Machine_Look_Up!L74</f>
        <v>8</v>
      </c>
    </row>
    <row r="66" spans="2:15" x14ac:dyDescent="0.35">
      <c r="B66" s="253" t="str">
        <f>Machine!A75</f>
        <v>Other Harvest</v>
      </c>
      <c r="C66" s="1361">
        <f>A6_Machine_Look_Up!J75</f>
        <v>8</v>
      </c>
      <c r="D66" s="1355" t="str">
        <f>IF(Machine!B75&gt;0,Machine!B75," ")</f>
        <v xml:space="preserve"> </v>
      </c>
      <c r="E66" s="1525"/>
      <c r="F66" s="1354"/>
      <c r="G66" s="1395"/>
      <c r="H66" s="1393"/>
      <c r="I66" s="1400"/>
      <c r="J66" s="1399"/>
      <c r="K66" s="1407"/>
      <c r="L66" s="1405"/>
      <c r="M66" s="1415"/>
      <c r="N66" s="1412"/>
      <c r="O66" s="1419"/>
    </row>
    <row r="67" spans="2:15" x14ac:dyDescent="0.35">
      <c r="B67" s="253" t="str">
        <f>Machine!A76</f>
        <v>Peanut Harvester, with Tractor</v>
      </c>
      <c r="C67" s="1361">
        <f>A6_Machine_Look_Up!J76</f>
        <v>8</v>
      </c>
      <c r="D67" s="1355" t="str">
        <f>IF(Machine!B76&gt;0,Machine!B76," ")</f>
        <v xml:space="preserve"> </v>
      </c>
      <c r="E67" s="1525"/>
      <c r="F67" s="1354" t="str">
        <f>IF(Machine!$B76&gt;0,E67*Trips!$M$66*$D67," ")</f>
        <v xml:space="preserve"> </v>
      </c>
      <c r="G67" s="1394">
        <f>IF(AND($D67&gt;0,Machine!$H76&lt;=170),$E67,0)</f>
        <v>0</v>
      </c>
      <c r="H67" s="1393" t="str">
        <f>IF(Machine!$B76&gt;0,G67*Trips!$M$66*$D67," ")</f>
        <v xml:space="preserve"> </v>
      </c>
      <c r="I67" s="1398">
        <f>IF(AND($D67&gt;0,Machine!$H76&gt;170,Machine!$H76&lt;200),$E67,0)</f>
        <v>0</v>
      </c>
      <c r="J67" s="1399" t="str">
        <f>IF(Machine!$B76&gt;0,I67*Trips!$M$66*$D67," ")</f>
        <v xml:space="preserve"> </v>
      </c>
      <c r="K67" s="1404">
        <f>IF(AND($D67&gt;0,Machine!$H76&gt;=200,Machine!$H76&lt;250),$E67,0)</f>
        <v>0</v>
      </c>
      <c r="L67" s="1405" t="str">
        <f>IF(Machine!$B76&gt;0,K67*Trips!$M$66*$D67," ")</f>
        <v xml:space="preserve"> </v>
      </c>
      <c r="M67" s="1413">
        <f>IF(AND($D67&gt;0,Machine!$H76&gt;=250),$E67,0)</f>
        <v>0</v>
      </c>
      <c r="N67" s="1412" t="str">
        <f>IF(Machine!$B76&gt;0,M67*Trips!$M$66*$D67," ")</f>
        <v xml:space="preserve"> </v>
      </c>
      <c r="O67" s="1419">
        <f>A6_Machine_Look_Up!L76</f>
        <v>8</v>
      </c>
    </row>
    <row r="68" spans="2:15" x14ac:dyDescent="0.35">
      <c r="B68" s="253" t="str">
        <f>Machine!A77</f>
        <v>Peanut Dump Cart with Tractor</v>
      </c>
      <c r="C68" s="1361">
        <f>A6_Machine_Look_Up!J77</f>
        <v>8</v>
      </c>
      <c r="D68" s="1355" t="str">
        <f>IF(Machine!B77&gt;0,Machine!B77," ")</f>
        <v xml:space="preserve"> </v>
      </c>
      <c r="E68" s="1525"/>
      <c r="F68" s="1354" t="str">
        <f>IF(Machine!$B77&gt;0,E68*Trips!$M$66*$D68," ")</f>
        <v xml:space="preserve"> </v>
      </c>
      <c r="G68" s="1394">
        <f>IF(AND($D68&gt;0,Machine!$H77&lt;=170),$E68,0)</f>
        <v>0</v>
      </c>
      <c r="H68" s="1393" t="str">
        <f>IF(Machine!$B77&gt;0,G68*Trips!$M$66*$D68," ")</f>
        <v xml:space="preserve"> </v>
      </c>
      <c r="I68" s="1398">
        <f>IF(AND($D68&gt;0,Machine!$H77&gt;170,Machine!$H77&lt;200),$E68,0)</f>
        <v>0</v>
      </c>
      <c r="J68" s="1399" t="str">
        <f>IF(Machine!$B77&gt;0,I68*Trips!$M$66*$D68," ")</f>
        <v xml:space="preserve"> </v>
      </c>
      <c r="K68" s="1404">
        <f>IF(AND($D68&gt;0,Machine!$H77&gt;=200,Machine!$H77&lt;250),$E68,0)</f>
        <v>0</v>
      </c>
      <c r="L68" s="1405" t="str">
        <f>IF(Machine!$B77&gt;0,K68*Trips!$M$66*$D68," ")</f>
        <v xml:space="preserve"> </v>
      </c>
      <c r="M68" s="1413">
        <f>IF(AND($D68&gt;0,Machine!$H77&gt;=250),$E68,0)</f>
        <v>0</v>
      </c>
      <c r="N68" s="1412" t="str">
        <f>IF(Machine!$B77&gt;0,M68*Trips!$M$66*$D68," ")</f>
        <v xml:space="preserve"> </v>
      </c>
      <c r="O68" s="1419">
        <f>A6_Machine_Look_Up!L77</f>
        <v>8</v>
      </c>
    </row>
    <row r="69" spans="2:15" x14ac:dyDescent="0.35">
      <c r="B69" s="253" t="str">
        <f>Machine!A78</f>
        <v>Peanut Wagon, 28 ft., with Tractor</v>
      </c>
      <c r="C69" s="1361">
        <f>A6_Machine_Look_Up!J78</f>
        <v>8</v>
      </c>
      <c r="D69" s="1355" t="str">
        <f>IF(Machine!B78&gt;0,Machine!B78," ")</f>
        <v xml:space="preserve"> </v>
      </c>
      <c r="E69" s="1525"/>
      <c r="F69" s="1354" t="str">
        <f>IF(Machine!$B78&gt;0,E69*Trips!$M$66*$D69," ")</f>
        <v xml:space="preserve"> </v>
      </c>
      <c r="G69" s="1394">
        <f>IF(AND($D69&gt;0,Machine!$H78&lt;=170),$E69,0)</f>
        <v>0</v>
      </c>
      <c r="H69" s="1393" t="str">
        <f>IF(Machine!$B78&gt;0,G69*Trips!$M$66*$D69," ")</f>
        <v xml:space="preserve"> </v>
      </c>
      <c r="I69" s="1398">
        <f>IF(AND($D69&gt;0,Machine!$H78&gt;170,Machine!$H78&lt;200),$E69,0)</f>
        <v>0</v>
      </c>
      <c r="J69" s="1399" t="str">
        <f>IF(Machine!$B78&gt;0,I69*Trips!$M$66*$D69," ")</f>
        <v xml:space="preserve"> </v>
      </c>
      <c r="K69" s="1404">
        <f>IF(AND($D69&gt;0,Machine!$H78&gt;=200,Machine!$H78&lt;250),$E69,0)</f>
        <v>0</v>
      </c>
      <c r="L69" s="1405" t="str">
        <f>IF(Machine!$B78&gt;0,K69*Trips!$M$66*$D69," ")</f>
        <v xml:space="preserve"> </v>
      </c>
      <c r="M69" s="1413">
        <f>IF(AND($D69&gt;0,Machine!$H78&gt;=250),$E69,0)</f>
        <v>0</v>
      </c>
      <c r="N69" s="1412" t="str">
        <f>IF(Machine!$B78&gt;0,M69*Trips!$M$66*$D69," ")</f>
        <v xml:space="preserve"> </v>
      </c>
      <c r="O69" s="1419">
        <f>A6_Machine_Look_Up!L78</f>
        <v>8</v>
      </c>
    </row>
    <row r="70" spans="2:15" x14ac:dyDescent="0.35">
      <c r="B70" s="253" t="str">
        <f>Machine!A79</f>
        <v>Other Harvest</v>
      </c>
      <c r="C70" s="1361">
        <f>A6_Machine_Look_Up!J79</f>
        <v>8</v>
      </c>
      <c r="D70" s="1355" t="str">
        <f>IF(Machine!B79&gt;0,Machine!B79," ")</f>
        <v xml:space="preserve"> </v>
      </c>
      <c r="E70" s="1525"/>
      <c r="F70" s="1354"/>
      <c r="G70" s="1395"/>
      <c r="H70" s="1393"/>
      <c r="I70" s="1400"/>
      <c r="J70" s="1399"/>
      <c r="K70" s="1407"/>
      <c r="L70" s="1405"/>
      <c r="M70" s="1415"/>
      <c r="N70" s="1412"/>
      <c r="O70" s="1419"/>
    </row>
    <row r="71" spans="2:15" x14ac:dyDescent="0.35">
      <c r="B71" s="253" t="str">
        <f>Machine!A80</f>
        <v>Other Harvest</v>
      </c>
      <c r="C71" s="1361">
        <f>A6_Machine_Look_Up!J80</f>
        <v>8</v>
      </c>
      <c r="D71" s="1355" t="str">
        <f>IF(Machine!B80&gt;0,Machine!B80," ")</f>
        <v xml:space="preserve"> </v>
      </c>
      <c r="E71" s="1525"/>
      <c r="F71" s="1354"/>
      <c r="G71" s="1394">
        <f>IF(AND($D71&gt;0,Machine!$H80&lt;=170),$E71,0)</f>
        <v>0</v>
      </c>
      <c r="H71" s="1393"/>
      <c r="I71" s="1398">
        <f>IF(AND($D71&gt;0,Machine!$H80&gt;170,Machine!$H80&lt;200),$E71,0)</f>
        <v>0</v>
      </c>
      <c r="J71" s="1399"/>
      <c r="K71" s="1404">
        <f>IF(AND($D71&gt;0,Machine!$H80&gt;=200,Machine!$H80&lt;250),$E71,0)</f>
        <v>0</v>
      </c>
      <c r="L71" s="1405"/>
      <c r="M71" s="1413">
        <f>IF(AND($D71&gt;0,Machine!$H80&gt;=250),$E71,0)</f>
        <v>0</v>
      </c>
      <c r="N71" s="1412"/>
      <c r="O71" s="1419">
        <f>A6_Machine_Look_Up!L80</f>
        <v>8</v>
      </c>
    </row>
    <row r="72" spans="2:15" x14ac:dyDescent="0.35">
      <c r="B72" s="279" t="str">
        <f>Machine!A81</f>
        <v>Other Harvest</v>
      </c>
      <c r="C72" s="1362">
        <f>A6_Machine_Look_Up!J81</f>
        <v>8</v>
      </c>
      <c r="D72" s="1356" t="str">
        <f>IF(Machine!B81&gt;0,Machine!B81," ")</f>
        <v xml:space="preserve"> </v>
      </c>
      <c r="E72" s="1525"/>
      <c r="F72" s="1357"/>
      <c r="G72" s="1394">
        <f>IF(AND($D72&gt;0,Machine!$H81&lt;=170),$E72,0)</f>
        <v>0</v>
      </c>
      <c r="H72" s="1396"/>
      <c r="I72" s="1398">
        <f>IF(AND($D72&gt;0,Machine!$H81&gt;170,Machine!$H81&lt;200),$E72,0)</f>
        <v>0</v>
      </c>
      <c r="J72" s="1401"/>
      <c r="K72" s="1404">
        <f>IF(AND($D72&gt;0,Machine!$H81&gt;=200,Machine!$H81&lt;250),$E72,0)</f>
        <v>0</v>
      </c>
      <c r="L72" s="1408"/>
      <c r="M72" s="1413">
        <f>IF(AND($D72&gt;0,Machine!$H81&gt;=250),$E72,0)</f>
        <v>0</v>
      </c>
      <c r="N72" s="1416"/>
      <c r="O72" s="1420">
        <f>A6_Machine_Look_Up!L81</f>
        <v>8</v>
      </c>
    </row>
    <row r="73" spans="2:15" ht="13.15" x14ac:dyDescent="0.4">
      <c r="B73" s="1358" t="s">
        <v>841</v>
      </c>
      <c r="C73" s="921"/>
      <c r="D73" s="921"/>
      <c r="E73" s="3"/>
      <c r="F73" s="3"/>
      <c r="G73" s="3"/>
      <c r="H73" s="1359">
        <f>SUM(H5:H72)</f>
        <v>0</v>
      </c>
      <c r="I73" s="3"/>
      <c r="J73" s="1359">
        <f>SUM(J5:J72)</f>
        <v>108.6913836580792</v>
      </c>
      <c r="K73" s="3"/>
      <c r="L73" s="1359">
        <f>SUM(L5:L72)</f>
        <v>195.87111160253573</v>
      </c>
      <c r="M73" s="3"/>
      <c r="N73" s="1359">
        <f>SUM(N5:N72)</f>
        <v>0</v>
      </c>
      <c r="O73" s="3"/>
    </row>
  </sheetData>
  <sheetProtection selectLockedCells="1"/>
  <hyperlinks>
    <hyperlink ref="B1" location="Budget!B3" display="Return to Budget Worksheet" xr:uid="{00000000-0004-0000-20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9"/>
  <sheetViews>
    <sheetView workbookViewId="0"/>
  </sheetViews>
  <sheetFormatPr defaultRowHeight="12.75" x14ac:dyDescent="0.35"/>
  <cols>
    <col min="1" max="1" width="1.73046875" customWidth="1"/>
    <col min="2" max="7" width="11.73046875" customWidth="1"/>
  </cols>
  <sheetData>
    <row r="1" spans="2:9" ht="15" customHeight="1" thickBot="1" x14ac:dyDescent="0.4">
      <c r="B1" s="1451" t="s">
        <v>908</v>
      </c>
      <c r="C1" s="1452"/>
      <c r="D1" s="1452"/>
      <c r="E1" s="1452"/>
      <c r="F1" s="1452"/>
      <c r="G1" s="1452"/>
      <c r="H1" s="1475"/>
      <c r="I1" s="1476"/>
    </row>
    <row r="2" spans="2:9" ht="15" customHeight="1" x14ac:dyDescent="0.4">
      <c r="B2" s="1453" t="s">
        <v>183</v>
      </c>
      <c r="C2" s="183" t="s">
        <v>184</v>
      </c>
      <c r="D2" s="4"/>
      <c r="E2" s="4"/>
      <c r="F2" s="4"/>
      <c r="G2" s="4"/>
      <c r="H2" s="3"/>
      <c r="I2" s="1466"/>
    </row>
    <row r="3" spans="2:9" ht="15" customHeight="1" x14ac:dyDescent="0.4">
      <c r="B3" s="1454" t="s">
        <v>891</v>
      </c>
      <c r="C3" s="530" t="s">
        <v>548</v>
      </c>
      <c r="D3" s="4"/>
      <c r="E3" s="4"/>
      <c r="F3" s="4"/>
      <c r="G3" s="4"/>
      <c r="H3" s="3"/>
      <c r="I3" s="1466"/>
    </row>
    <row r="4" spans="2:9" ht="15" customHeight="1" x14ac:dyDescent="0.4">
      <c r="B4" s="578">
        <f>SUM(A5_Chem_Look_Up!G6:G19)</f>
        <v>118.4</v>
      </c>
      <c r="C4" s="182">
        <f>SUM(A5_Chem_Look_Up!G24:G33)+SUM(A5_Chem_Look_Up!G38:G39)</f>
        <v>18</v>
      </c>
      <c r="D4" s="4"/>
      <c r="E4" s="4"/>
      <c r="F4" s="4"/>
      <c r="G4" s="4"/>
      <c r="H4" s="3"/>
      <c r="I4" s="1466"/>
    </row>
    <row r="5" spans="2:9" ht="15" customHeight="1" x14ac:dyDescent="0.4">
      <c r="B5" s="1113">
        <f>IF(A2_Budget_Look_Up!B13=0,SUM(A5_Chem_Look_Up!G44:G50),0)+SUM(A5_Chem_Look_Up!G55:G61)</f>
        <v>0</v>
      </c>
      <c r="C5" s="585">
        <f>IF(A2_Budget_Look_Up!B13&gt;0,SUM(A5_Chem_Look_Up!G44:G50),0)</f>
        <v>0</v>
      </c>
      <c r="D5" s="4"/>
      <c r="E5" s="4"/>
      <c r="F5" s="4"/>
      <c r="G5" s="4"/>
      <c r="H5" s="3"/>
      <c r="I5" s="1466"/>
    </row>
    <row r="6" spans="2:9" ht="15" customHeight="1" x14ac:dyDescent="0.4">
      <c r="B6" s="578">
        <f>B4+B5</f>
        <v>118.4</v>
      </c>
      <c r="C6" s="182">
        <f>C4+C5</f>
        <v>18</v>
      </c>
      <c r="D6" s="481" t="s">
        <v>902</v>
      </c>
      <c r="E6" s="4">
        <v>33.814</v>
      </c>
      <c r="F6" s="4"/>
      <c r="G6" s="4"/>
      <c r="H6" s="3"/>
      <c r="I6" s="1466"/>
    </row>
    <row r="7" spans="2:9" ht="15" customHeight="1" x14ac:dyDescent="0.4">
      <c r="B7" s="1455">
        <f>B6/$E$6</f>
        <v>3.5015082510202875</v>
      </c>
      <c r="C7" s="1456">
        <f>C6/$E$6</f>
        <v>0.53232388951321941</v>
      </c>
      <c r="D7" s="481" t="s">
        <v>893</v>
      </c>
      <c r="E7" s="1456">
        <v>1</v>
      </c>
      <c r="F7" s="4"/>
      <c r="G7" s="4"/>
      <c r="H7" s="3"/>
      <c r="I7" s="1466"/>
    </row>
    <row r="8" spans="2:9" ht="15" customHeight="1" x14ac:dyDescent="0.4">
      <c r="B8" s="1457">
        <v>6.44</v>
      </c>
      <c r="C8" s="1450">
        <v>5.44</v>
      </c>
      <c r="D8" s="4" t="s">
        <v>894</v>
      </c>
      <c r="E8" s="4"/>
      <c r="F8" s="4"/>
      <c r="G8" s="4"/>
      <c r="H8" s="3"/>
      <c r="I8" s="1466"/>
    </row>
    <row r="9" spans="2:9" ht="15" customHeight="1" x14ac:dyDescent="0.35">
      <c r="B9" s="1458">
        <f>B7*B8</f>
        <v>22.549713136570652</v>
      </c>
      <c r="C9" s="1459">
        <f>C7*C8</f>
        <v>2.8958419589519138</v>
      </c>
      <c r="D9" s="308" t="s">
        <v>915</v>
      </c>
      <c r="E9" s="308"/>
      <c r="F9" s="308"/>
      <c r="G9" s="308"/>
      <c r="H9" s="3"/>
      <c r="I9" s="1466"/>
    </row>
    <row r="10" spans="2:9" ht="15" customHeight="1" x14ac:dyDescent="0.35">
      <c r="B10" s="1460"/>
      <c r="C10" s="167"/>
      <c r="D10" s="167"/>
      <c r="E10" s="167"/>
      <c r="F10" s="167"/>
      <c r="G10" s="167"/>
      <c r="H10" s="3"/>
      <c r="I10" s="1466"/>
    </row>
    <row r="11" spans="2:9" ht="15" customHeight="1" x14ac:dyDescent="0.4">
      <c r="B11" s="175" t="s">
        <v>903</v>
      </c>
      <c r="C11" s="3"/>
      <c r="D11" s="3"/>
      <c r="E11" s="409" t="s">
        <v>895</v>
      </c>
      <c r="F11" s="409"/>
      <c r="G11" s="4"/>
      <c r="H11" s="3"/>
      <c r="I11" s="1466"/>
    </row>
    <row r="12" spans="2:9" ht="15" customHeight="1" x14ac:dyDescent="0.4">
      <c r="B12" s="1455">
        <f>35.274/16</f>
        <v>2.2046250000000001</v>
      </c>
      <c r="C12" s="4"/>
      <c r="D12" s="3"/>
      <c r="E12" s="183" t="s">
        <v>904</v>
      </c>
      <c r="F12" s="183" t="s">
        <v>22</v>
      </c>
      <c r="G12" s="4"/>
      <c r="H12" s="3"/>
      <c r="I12" s="1466"/>
    </row>
    <row r="13" spans="2:9" ht="15" customHeight="1" x14ac:dyDescent="0.4">
      <c r="B13" s="175"/>
      <c r="C13" s="4"/>
      <c r="D13" s="3"/>
      <c r="E13" s="183" t="s">
        <v>905</v>
      </c>
      <c r="F13" s="183" t="s">
        <v>911</v>
      </c>
      <c r="G13" s="4"/>
      <c r="H13" s="3"/>
      <c r="I13" s="1466"/>
    </row>
    <row r="14" spans="2:9" ht="15" customHeight="1" x14ac:dyDescent="0.4">
      <c r="B14" s="1461" t="s">
        <v>364</v>
      </c>
      <c r="C14" s="530" t="s">
        <v>896</v>
      </c>
      <c r="D14" s="530" t="s">
        <v>897</v>
      </c>
      <c r="E14" s="530" t="s">
        <v>897</v>
      </c>
      <c r="F14" s="530" t="s">
        <v>897</v>
      </c>
      <c r="G14" s="4"/>
      <c r="H14" s="3"/>
      <c r="I14" s="1466"/>
    </row>
    <row r="15" spans="2:9" ht="15" customHeight="1" x14ac:dyDescent="0.4">
      <c r="B15" s="175" t="s">
        <v>898</v>
      </c>
      <c r="C15" s="468">
        <f>Budget!D7</f>
        <v>350</v>
      </c>
      <c r="D15" s="1456">
        <f>C15/$B$12</f>
        <v>158.75715824686739</v>
      </c>
      <c r="E15" s="1456">
        <v>1.3</v>
      </c>
      <c r="F15" s="1456">
        <f>D15*E15</f>
        <v>206.38430572092761</v>
      </c>
      <c r="G15" s="4"/>
      <c r="H15" s="3"/>
      <c r="I15" s="1466"/>
    </row>
    <row r="16" spans="2:9" ht="15" customHeight="1" x14ac:dyDescent="0.4">
      <c r="B16" s="175" t="s">
        <v>899</v>
      </c>
      <c r="C16" s="468">
        <f>Budget!D8</f>
        <v>150</v>
      </c>
      <c r="D16" s="1456">
        <f>C16/$B$12</f>
        <v>68.038782105800308</v>
      </c>
      <c r="E16" s="1456">
        <v>0.2</v>
      </c>
      <c r="F16" s="1456">
        <f>D16*E16</f>
        <v>13.607756421160062</v>
      </c>
      <c r="G16" s="4"/>
      <c r="H16" s="3"/>
      <c r="I16" s="1466"/>
    </row>
    <row r="17" spans="2:9" ht="15" customHeight="1" x14ac:dyDescent="0.4">
      <c r="B17" s="175" t="s">
        <v>900</v>
      </c>
      <c r="C17" s="468">
        <f>Budget!D9</f>
        <v>120</v>
      </c>
      <c r="D17" s="1456">
        <f>C17/$B$12</f>
        <v>54.431025684640247</v>
      </c>
      <c r="E17" s="1456">
        <v>0.16</v>
      </c>
      <c r="F17" s="1456">
        <f>D17*E17</f>
        <v>8.708964109542439</v>
      </c>
      <c r="G17" s="4"/>
      <c r="H17" s="3"/>
      <c r="I17" s="1466"/>
    </row>
    <row r="18" spans="2:9" ht="15" customHeight="1" x14ac:dyDescent="0.4">
      <c r="B18" s="1462" t="s">
        <v>901</v>
      </c>
      <c r="C18" s="1243">
        <v>0</v>
      </c>
      <c r="D18" s="1450">
        <f>C18/$B$12</f>
        <v>0</v>
      </c>
      <c r="E18" s="1450">
        <v>0.06</v>
      </c>
      <c r="F18" s="1450">
        <f>D18*E18</f>
        <v>0</v>
      </c>
      <c r="G18" s="4"/>
      <c r="H18" s="3"/>
      <c r="I18" s="1466"/>
    </row>
    <row r="19" spans="2:9" ht="15" customHeight="1" x14ac:dyDescent="0.4">
      <c r="B19" s="1463" t="s">
        <v>916</v>
      </c>
      <c r="C19" s="4"/>
      <c r="D19" s="4"/>
      <c r="E19" s="4"/>
      <c r="F19" s="1459">
        <f>SUM(F15:F18)</f>
        <v>228.70102625163011</v>
      </c>
      <c r="G19" s="4"/>
      <c r="H19" s="3"/>
      <c r="I19" s="1466"/>
    </row>
    <row r="20" spans="2:9" ht="15" customHeight="1" x14ac:dyDescent="0.55000000000000004">
      <c r="B20" s="1464" t="s">
        <v>906</v>
      </c>
      <c r="C20" s="1246"/>
      <c r="D20" s="1246"/>
      <c r="E20" s="1246"/>
      <c r="F20" s="1246"/>
      <c r="G20" s="1246"/>
      <c r="H20" s="3"/>
      <c r="I20" s="1466"/>
    </row>
    <row r="21" spans="2:9" ht="15" customHeight="1" x14ac:dyDescent="0.4">
      <c r="B21" s="1461" t="s">
        <v>364</v>
      </c>
      <c r="C21" s="530" t="s">
        <v>896</v>
      </c>
      <c r="D21" s="530" t="s">
        <v>897</v>
      </c>
      <c r="E21" s="530" t="s">
        <v>897</v>
      </c>
      <c r="F21" s="530" t="s">
        <v>897</v>
      </c>
      <c r="G21" s="4"/>
      <c r="H21" s="3"/>
      <c r="I21" s="1466"/>
    </row>
    <row r="22" spans="2:9" ht="15" customHeight="1" x14ac:dyDescent="0.4">
      <c r="B22" s="175" t="s">
        <v>898</v>
      </c>
      <c r="C22" s="468">
        <f>C15</f>
        <v>350</v>
      </c>
      <c r="D22" s="1456">
        <f>C22/$B$12</f>
        <v>158.75715824686739</v>
      </c>
      <c r="E22" s="1456">
        <v>1.27</v>
      </c>
      <c r="F22" s="1459">
        <f>D22*E22</f>
        <v>201.62159097352159</v>
      </c>
      <c r="G22" s="4"/>
      <c r="H22" s="3"/>
      <c r="I22" s="1466"/>
    </row>
    <row r="23" spans="2:9" ht="15" customHeight="1" x14ac:dyDescent="0.4">
      <c r="B23" s="175"/>
      <c r="C23" s="4"/>
      <c r="D23" s="4"/>
      <c r="E23" s="4"/>
      <c r="F23" s="4"/>
      <c r="G23" s="4"/>
      <c r="H23" s="3"/>
      <c r="I23" s="1466"/>
    </row>
    <row r="24" spans="2:9" ht="15" customHeight="1" x14ac:dyDescent="0.4">
      <c r="B24" s="175" t="s">
        <v>907</v>
      </c>
      <c r="C24" s="4"/>
      <c r="D24" s="4"/>
      <c r="E24" s="409" t="s">
        <v>895</v>
      </c>
      <c r="F24" s="409"/>
      <c r="G24" s="4"/>
      <c r="H24" s="3"/>
      <c r="I24" s="1466"/>
    </row>
    <row r="25" spans="2:9" ht="15" customHeight="1" x14ac:dyDescent="0.4">
      <c r="B25" s="1465">
        <v>0.26417000000000002</v>
      </c>
      <c r="C25" s="4"/>
      <c r="D25" s="4"/>
      <c r="E25" s="183" t="s">
        <v>904</v>
      </c>
      <c r="F25" s="183" t="s">
        <v>22</v>
      </c>
      <c r="G25" s="4"/>
      <c r="H25" s="3"/>
      <c r="I25" s="1466"/>
    </row>
    <row r="26" spans="2:9" ht="15" customHeight="1" x14ac:dyDescent="0.4">
      <c r="B26" s="175"/>
      <c r="C26" s="4"/>
      <c r="D26" s="4"/>
      <c r="E26" s="183" t="s">
        <v>905</v>
      </c>
      <c r="F26" s="183" t="s">
        <v>910</v>
      </c>
      <c r="G26" s="4"/>
      <c r="H26" s="3"/>
      <c r="I26" s="1466"/>
    </row>
    <row r="27" spans="2:9" ht="15" customHeight="1" x14ac:dyDescent="0.4">
      <c r="B27" s="1461" t="s">
        <v>909</v>
      </c>
      <c r="C27" s="530" t="s">
        <v>11</v>
      </c>
      <c r="D27" s="530" t="s">
        <v>892</v>
      </c>
      <c r="E27" s="530" t="s">
        <v>897</v>
      </c>
      <c r="F27" s="530" t="s">
        <v>897</v>
      </c>
      <c r="G27" s="4"/>
      <c r="H27" s="3"/>
      <c r="I27" s="1466"/>
    </row>
    <row r="28" spans="2:9" ht="15" customHeight="1" x14ac:dyDescent="0.4">
      <c r="B28" s="175" t="s">
        <v>912</v>
      </c>
      <c r="C28" s="1456">
        <f>Budget!D25+Budget!D27</f>
        <v>5.4390119706003954</v>
      </c>
      <c r="D28" s="1456">
        <f>C28/$B$25</f>
        <v>20.58905996366126</v>
      </c>
      <c r="E28" s="1456">
        <v>0.84</v>
      </c>
      <c r="F28" s="1456">
        <f>D28*E28</f>
        <v>17.294810369475456</v>
      </c>
      <c r="G28" s="4"/>
      <c r="H28" s="3"/>
      <c r="I28" s="1466"/>
    </row>
    <row r="29" spans="2:9" ht="15" customHeight="1" x14ac:dyDescent="0.4">
      <c r="B29" s="1462" t="s">
        <v>7</v>
      </c>
      <c r="C29" s="1450">
        <f>IF(Irrigation!B7=1,(Budget!F29/Irrigation!B14),0)</f>
        <v>11.811310776942356</v>
      </c>
      <c r="D29" s="1450">
        <f>C29/$B$25</f>
        <v>44.71102236038292</v>
      </c>
      <c r="E29" s="1450">
        <v>0.84</v>
      </c>
      <c r="F29" s="1450">
        <f>D29*E29</f>
        <v>37.557258782721654</v>
      </c>
      <c r="G29" s="397"/>
      <c r="H29" s="3"/>
      <c r="I29" s="1466"/>
    </row>
    <row r="30" spans="2:9" ht="13.5" x14ac:dyDescent="0.35">
      <c r="B30" s="1463" t="s">
        <v>917</v>
      </c>
      <c r="C30" s="3"/>
      <c r="D30" s="3"/>
      <c r="E30" s="3"/>
      <c r="F30" s="1459">
        <f>F28+F29</f>
        <v>54.85206915219711</v>
      </c>
      <c r="G30" s="3"/>
      <c r="H30" s="3"/>
      <c r="I30" s="1466"/>
    </row>
    <row r="31" spans="2:9" ht="15" customHeight="1" x14ac:dyDescent="0.35">
      <c r="B31" s="1467"/>
      <c r="C31" s="3"/>
      <c r="D31" s="3"/>
      <c r="E31" s="3"/>
      <c r="F31" s="3"/>
      <c r="G31" s="3"/>
      <c r="H31" s="3"/>
      <c r="I31" s="1466"/>
    </row>
    <row r="32" spans="2:9" ht="15" customHeight="1" x14ac:dyDescent="0.55000000000000004">
      <c r="B32" s="1464" t="s">
        <v>913</v>
      </c>
      <c r="C32" s="1246"/>
      <c r="D32" s="1246"/>
      <c r="E32" s="1246"/>
      <c r="F32" s="1246"/>
      <c r="G32" s="1246"/>
      <c r="H32" s="3"/>
      <c r="I32" s="1466"/>
    </row>
    <row r="33" spans="2:9" ht="13.9" x14ac:dyDescent="0.4">
      <c r="B33" s="175">
        <v>1532</v>
      </c>
      <c r="C33" s="4" t="s">
        <v>922</v>
      </c>
      <c r="D33" s="4"/>
      <c r="E33" s="4"/>
      <c r="F33" s="4"/>
      <c r="G33" s="4"/>
      <c r="H33" s="3"/>
      <c r="I33" s="1466"/>
    </row>
    <row r="34" spans="2:9" ht="13.9" x14ac:dyDescent="0.4">
      <c r="B34" s="175">
        <v>2.4710999999999999</v>
      </c>
      <c r="C34" s="4" t="s">
        <v>914</v>
      </c>
      <c r="D34" s="4"/>
      <c r="E34" s="4"/>
      <c r="F34" s="4"/>
      <c r="G34" s="4"/>
      <c r="H34" s="3"/>
      <c r="I34" s="1466"/>
    </row>
    <row r="35" spans="2:9" ht="14.25" thickBot="1" x14ac:dyDescent="0.45">
      <c r="B35" s="1468">
        <f>IF(A2_Budget_Look_Up!B10&gt;0,B34*B33,0)</f>
        <v>0</v>
      </c>
      <c r="C35" s="186" t="s">
        <v>923</v>
      </c>
      <c r="D35" s="1469"/>
      <c r="E35" s="1469"/>
      <c r="F35" s="1469"/>
      <c r="G35" s="1469"/>
      <c r="H35" s="3"/>
      <c r="I35" s="1466"/>
    </row>
    <row r="36" spans="2:9" ht="13.9" x14ac:dyDescent="0.4">
      <c r="B36" s="1473">
        <f>B9+C9+F19+F22+F30+B35</f>
        <v>510.62024147287133</v>
      </c>
      <c r="C36" s="1470" t="s">
        <v>918</v>
      </c>
      <c r="D36" s="1471"/>
      <c r="E36" s="1471"/>
      <c r="F36" s="1471"/>
      <c r="G36" s="1471"/>
      <c r="H36" s="3"/>
      <c r="I36" s="1466"/>
    </row>
    <row r="37" spans="2:9" ht="15" customHeight="1" x14ac:dyDescent="0.4">
      <c r="B37" s="1473">
        <f>B36*B34</f>
        <v>1261.7936787036122</v>
      </c>
      <c r="C37" s="308" t="s">
        <v>919</v>
      </c>
      <c r="D37" s="4"/>
      <c r="E37" s="4"/>
      <c r="F37" s="4"/>
      <c r="G37" s="4"/>
      <c r="H37" s="3"/>
      <c r="I37" s="1466"/>
    </row>
    <row r="38" spans="2:9" ht="17.100000000000001" customHeight="1" x14ac:dyDescent="0.55000000000000004">
      <c r="B38" s="1473">
        <f>F22*B34</f>
        <v>498.22711345466917</v>
      </c>
      <c r="C38" s="308" t="s">
        <v>920</v>
      </c>
      <c r="D38" s="4"/>
      <c r="E38" s="4"/>
      <c r="F38" s="4"/>
      <c r="G38" s="4"/>
      <c r="H38" s="3"/>
      <c r="I38" s="1466"/>
    </row>
    <row r="39" spans="2:9" ht="17.100000000000001" customHeight="1" thickBot="1" x14ac:dyDescent="0.6">
      <c r="B39" s="1472">
        <f>B37-B38</f>
        <v>763.56656524894299</v>
      </c>
      <c r="C39" s="1469" t="s">
        <v>921</v>
      </c>
      <c r="D39" s="186"/>
      <c r="E39" s="186"/>
      <c r="F39" s="190"/>
      <c r="G39" s="190"/>
      <c r="H39" s="190"/>
      <c r="I39" s="147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8"/>
  <sheetViews>
    <sheetView zoomScaleNormal="100" workbookViewId="0"/>
  </sheetViews>
  <sheetFormatPr defaultRowHeight="12.75" x14ac:dyDescent="0.35"/>
  <cols>
    <col min="1" max="1" width="15.3984375" bestFit="1" customWidth="1"/>
    <col min="2" max="2" width="10.3984375" bestFit="1" customWidth="1"/>
    <col min="3" max="3" width="4" bestFit="1" customWidth="1"/>
    <col min="4" max="4" width="6.06640625" bestFit="1" customWidth="1"/>
    <col min="5" max="5" width="10.59765625" bestFit="1" customWidth="1"/>
    <col min="6" max="6" width="4" bestFit="1" customWidth="1"/>
    <col min="7" max="7" width="6.06640625" bestFit="1" customWidth="1"/>
    <col min="8" max="8" width="10.59765625" bestFit="1" customWidth="1"/>
    <col min="9" max="9" width="4" customWidth="1"/>
    <col min="10" max="10" width="6.06640625" bestFit="1" customWidth="1"/>
    <col min="11" max="11" width="10.3984375" bestFit="1" customWidth="1"/>
    <col min="12" max="12" width="4" bestFit="1" customWidth="1"/>
    <col min="13" max="13" width="5.59765625" bestFit="1" customWidth="1"/>
    <col min="14" max="14" width="12.59765625" bestFit="1" customWidth="1"/>
    <col min="15" max="15" width="4" bestFit="1" customWidth="1"/>
    <col min="16" max="16" width="5.59765625" bestFit="1" customWidth="1"/>
    <col min="17" max="17" width="16.3984375" customWidth="1"/>
    <col min="18" max="18" width="4" customWidth="1"/>
    <col min="19" max="19" width="5.59765625" customWidth="1"/>
    <col min="20" max="20" width="16.59765625" bestFit="1" customWidth="1"/>
    <col min="21" max="21" width="4" customWidth="1"/>
    <col min="22" max="22" width="6.06640625" bestFit="1" customWidth="1"/>
  </cols>
  <sheetData>
    <row r="1" spans="1:22" x14ac:dyDescent="0.35">
      <c r="A1" s="940" t="s">
        <v>699</v>
      </c>
      <c r="B1" s="1078" t="s">
        <v>178</v>
      </c>
      <c r="C1" s="995" t="s">
        <v>700</v>
      </c>
      <c r="D1" s="995" t="s">
        <v>701</v>
      </c>
      <c r="E1" s="1081" t="s">
        <v>177</v>
      </c>
      <c r="F1" s="1082" t="s">
        <v>700</v>
      </c>
      <c r="G1" s="1082" t="s">
        <v>701</v>
      </c>
      <c r="H1" s="1084" t="s">
        <v>180</v>
      </c>
      <c r="I1" s="1084" t="s">
        <v>700</v>
      </c>
      <c r="J1" s="1084" t="s">
        <v>701</v>
      </c>
      <c r="K1" s="1085" t="s">
        <v>182</v>
      </c>
      <c r="L1" s="1086" t="s">
        <v>700</v>
      </c>
      <c r="M1" s="1086" t="s">
        <v>701</v>
      </c>
      <c r="N1" s="1087" t="s">
        <v>179</v>
      </c>
      <c r="O1" s="1088" t="s">
        <v>700</v>
      </c>
      <c r="P1" s="1088" t="s">
        <v>701</v>
      </c>
      <c r="Q1" s="1089" t="s">
        <v>181</v>
      </c>
      <c r="R1" s="1090" t="s">
        <v>700</v>
      </c>
      <c r="S1" s="1090" t="s">
        <v>701</v>
      </c>
      <c r="T1" s="1234" t="s">
        <v>308</v>
      </c>
      <c r="U1" s="1234" t="s">
        <v>700</v>
      </c>
      <c r="V1" s="1234" t="s">
        <v>701</v>
      </c>
    </row>
    <row r="2" spans="1:22" x14ac:dyDescent="0.35">
      <c r="A2" s="3" t="s">
        <v>183</v>
      </c>
      <c r="B2" s="1212" t="s">
        <v>1177</v>
      </c>
      <c r="C2" s="1156" t="s">
        <v>413</v>
      </c>
      <c r="D2" s="993">
        <f>18/8</f>
        <v>2.25</v>
      </c>
      <c r="E2" s="1083" t="str">
        <f>B2</f>
        <v>Roundup Powermax 3</v>
      </c>
      <c r="F2" s="1157" t="s">
        <v>413</v>
      </c>
      <c r="G2" s="1263">
        <f>D2</f>
        <v>2.25</v>
      </c>
      <c r="H2" s="301" t="s">
        <v>682</v>
      </c>
      <c r="I2" s="306" t="s">
        <v>238</v>
      </c>
      <c r="J2" s="1262">
        <v>0.67414062499999994</v>
      </c>
      <c r="K2" s="1260" t="str">
        <f>B2</f>
        <v>Roundup Powermax 3</v>
      </c>
      <c r="L2" s="1158" t="s">
        <v>413</v>
      </c>
      <c r="M2" s="1267">
        <f>D2</f>
        <v>2.25</v>
      </c>
      <c r="N2" s="1261" t="str">
        <f>B2</f>
        <v>Roundup Powermax 3</v>
      </c>
      <c r="O2" s="1164" t="s">
        <v>238</v>
      </c>
      <c r="P2" s="1266">
        <f>D2/16</f>
        <v>0.140625</v>
      </c>
      <c r="Q2" s="1091" t="s">
        <v>683</v>
      </c>
      <c r="R2" s="1163" t="s">
        <v>238</v>
      </c>
      <c r="S2" s="1264">
        <f>66/128</f>
        <v>0.515625</v>
      </c>
      <c r="T2" s="1238" t="s">
        <v>1157</v>
      </c>
      <c r="U2" s="1237" t="s">
        <v>413</v>
      </c>
      <c r="V2" s="1265">
        <f>M9</f>
        <v>0.3633984375</v>
      </c>
    </row>
    <row r="3" spans="1:22" x14ac:dyDescent="0.35">
      <c r="A3" s="3"/>
      <c r="B3" s="1212" t="s">
        <v>684</v>
      </c>
      <c r="C3" s="1001" t="s">
        <v>799</v>
      </c>
      <c r="D3" s="993">
        <f>((15.95+16.95)/2)/4</f>
        <v>4.1124999999999998</v>
      </c>
      <c r="E3" s="1259" t="s">
        <v>1073</v>
      </c>
      <c r="F3" s="1157" t="s">
        <v>238</v>
      </c>
      <c r="G3" s="1263">
        <v>0</v>
      </c>
      <c r="H3" s="301" t="s">
        <v>685</v>
      </c>
      <c r="I3" s="306" t="s">
        <v>238</v>
      </c>
      <c r="J3" s="1262">
        <v>3.3203125</v>
      </c>
      <c r="K3" s="973" t="s">
        <v>415</v>
      </c>
      <c r="L3" s="1162" t="s">
        <v>413</v>
      </c>
      <c r="M3" s="1267">
        <f>D4</f>
        <v>4.8899999999999997</v>
      </c>
      <c r="N3" s="1261" t="s">
        <v>998</v>
      </c>
      <c r="O3" s="1164" t="s">
        <v>238</v>
      </c>
      <c r="P3" s="1266">
        <f>D7/16</f>
        <v>0.2734375</v>
      </c>
      <c r="Q3" s="1091" t="s">
        <v>686</v>
      </c>
      <c r="R3" s="1163" t="s">
        <v>238</v>
      </c>
      <c r="S3" s="1264">
        <v>13.5</v>
      </c>
      <c r="T3" s="1238" t="s">
        <v>1237</v>
      </c>
      <c r="U3" s="1236" t="s">
        <v>238</v>
      </c>
      <c r="V3" s="1265">
        <f>95/16</f>
        <v>5.9375</v>
      </c>
    </row>
    <row r="4" spans="1:22" x14ac:dyDescent="0.35">
      <c r="A4" s="3"/>
      <c r="B4" s="992" t="s">
        <v>800</v>
      </c>
      <c r="C4" s="1156" t="s">
        <v>413</v>
      </c>
      <c r="D4" s="993">
        <f>39.12/8</f>
        <v>4.8899999999999997</v>
      </c>
      <c r="E4" s="1259" t="s">
        <v>1081</v>
      </c>
      <c r="F4" s="1161" t="s">
        <v>413</v>
      </c>
      <c r="G4" s="1263">
        <f>50/8</f>
        <v>6.25</v>
      </c>
      <c r="H4" s="300" t="s">
        <v>1153</v>
      </c>
      <c r="I4" s="302" t="s">
        <v>238</v>
      </c>
      <c r="J4" s="1262">
        <v>17.254999999999999</v>
      </c>
      <c r="K4" s="973" t="s">
        <v>684</v>
      </c>
      <c r="L4" s="1162" t="s">
        <v>799</v>
      </c>
      <c r="M4" s="1267">
        <f>D3</f>
        <v>4.1124999999999998</v>
      </c>
      <c r="N4" s="905" t="s">
        <v>688</v>
      </c>
      <c r="O4" s="1164" t="s">
        <v>413</v>
      </c>
      <c r="P4" s="1266">
        <f>42/8</f>
        <v>5.25</v>
      </c>
      <c r="Q4" s="1091" t="s">
        <v>687</v>
      </c>
      <c r="R4" s="1163" t="s">
        <v>238</v>
      </c>
      <c r="S4" s="1264">
        <f>((32+23.98)/2)/128</f>
        <v>0.21867187500000002</v>
      </c>
      <c r="T4" s="1235" t="s">
        <v>635</v>
      </c>
      <c r="U4" s="1236" t="s">
        <v>238</v>
      </c>
      <c r="V4" s="1265">
        <f>G6</f>
        <v>0.23046875</v>
      </c>
    </row>
    <row r="5" spans="1:22" x14ac:dyDescent="0.35">
      <c r="A5" s="3"/>
      <c r="B5" s="992" t="s">
        <v>878</v>
      </c>
      <c r="C5" s="1156" t="s">
        <v>238</v>
      </c>
      <c r="D5" s="993">
        <v>19</v>
      </c>
      <c r="E5" s="1259" t="s">
        <v>414</v>
      </c>
      <c r="F5" s="1157" t="s">
        <v>413</v>
      </c>
      <c r="G5" s="1263">
        <f>20/8</f>
        <v>2.5</v>
      </c>
      <c r="H5" s="301" t="s">
        <v>689</v>
      </c>
      <c r="I5" s="306" t="s">
        <v>238</v>
      </c>
      <c r="J5" s="1262">
        <v>2.734375</v>
      </c>
      <c r="K5" s="973" t="s">
        <v>998</v>
      </c>
      <c r="L5" s="1158" t="s">
        <v>413</v>
      </c>
      <c r="M5" s="1267">
        <f>D7</f>
        <v>4.375</v>
      </c>
      <c r="N5" s="905" t="s">
        <v>690</v>
      </c>
      <c r="O5" s="1164" t="s">
        <v>238</v>
      </c>
      <c r="P5" s="1266">
        <f>100/128</f>
        <v>0.78125</v>
      </c>
      <c r="Q5" s="1091" t="s">
        <v>1090</v>
      </c>
      <c r="R5" s="1160" t="s">
        <v>238</v>
      </c>
      <c r="S5" s="1264">
        <f>(((67.57/10)/16)+(51/128))/2</f>
        <v>0.41037499999999999</v>
      </c>
      <c r="T5" s="1238" t="s">
        <v>415</v>
      </c>
      <c r="U5" s="1237" t="s">
        <v>413</v>
      </c>
      <c r="V5" s="1265">
        <f>D4</f>
        <v>4.8899999999999997</v>
      </c>
    </row>
    <row r="6" spans="1:22" x14ac:dyDescent="0.35">
      <c r="A6" s="3"/>
      <c r="B6" s="1212" t="s">
        <v>957</v>
      </c>
      <c r="C6" s="1001" t="s">
        <v>413</v>
      </c>
      <c r="D6" s="993">
        <f>55.15/8</f>
        <v>6.8937499999999998</v>
      </c>
      <c r="E6" s="1259" t="s">
        <v>635</v>
      </c>
      <c r="F6" s="1161" t="s">
        <v>238</v>
      </c>
      <c r="G6" s="1263">
        <f>((16.5+42.5)/2)/128</f>
        <v>0.23046875</v>
      </c>
      <c r="H6" s="301" t="s">
        <v>692</v>
      </c>
      <c r="I6" s="302" t="s">
        <v>413</v>
      </c>
      <c r="J6" s="1262">
        <v>19</v>
      </c>
      <c r="K6" s="973" t="s">
        <v>1071</v>
      </c>
      <c r="L6" s="1158" t="s">
        <v>413</v>
      </c>
      <c r="M6" s="1267">
        <f>G7</f>
        <v>5.0387500000000003</v>
      </c>
      <c r="N6" s="905" t="s">
        <v>691</v>
      </c>
      <c r="O6" s="1159" t="s">
        <v>238</v>
      </c>
      <c r="P6" s="1266">
        <f>G10</f>
        <v>0.28875000000000001</v>
      </c>
      <c r="Q6" s="1091" t="s">
        <v>1068</v>
      </c>
      <c r="R6" s="1160" t="s">
        <v>238</v>
      </c>
      <c r="S6" s="1264">
        <f>735/128</f>
        <v>5.7421875</v>
      </c>
      <c r="T6" s="1238" t="s">
        <v>1086</v>
      </c>
      <c r="U6" s="1237" t="s">
        <v>413</v>
      </c>
      <c r="V6" s="1265">
        <f>P9</f>
        <v>5.4325000000000001</v>
      </c>
    </row>
    <row r="7" spans="1:22" x14ac:dyDescent="0.35">
      <c r="A7" s="3"/>
      <c r="B7" s="1212" t="s">
        <v>998</v>
      </c>
      <c r="C7" s="1001" t="s">
        <v>413</v>
      </c>
      <c r="D7" s="993">
        <f>35/8</f>
        <v>4.375</v>
      </c>
      <c r="E7" s="1259" t="s">
        <v>1071</v>
      </c>
      <c r="F7" s="1157" t="s">
        <v>413</v>
      </c>
      <c r="G7" s="1263">
        <f>40.31/8</f>
        <v>5.0387500000000003</v>
      </c>
      <c r="H7" s="300" t="s">
        <v>1077</v>
      </c>
      <c r="I7" s="302" t="s">
        <v>238</v>
      </c>
      <c r="J7" s="304">
        <v>0.6640625</v>
      </c>
      <c r="K7" s="301" t="s">
        <v>1171</v>
      </c>
      <c r="L7" s="306" t="s">
        <v>238</v>
      </c>
      <c r="M7" s="1262">
        <v>3.3203125</v>
      </c>
      <c r="N7" s="1610" t="s">
        <v>1085</v>
      </c>
      <c r="O7" s="1611" t="s">
        <v>238</v>
      </c>
      <c r="P7" s="1612">
        <f>20.82/16</f>
        <v>1.30125</v>
      </c>
      <c r="Q7" s="1091" t="s">
        <v>635</v>
      </c>
      <c r="R7" s="1160" t="s">
        <v>238</v>
      </c>
      <c r="S7" s="1264">
        <v>0.234375</v>
      </c>
      <c r="T7" s="1238" t="s">
        <v>967</v>
      </c>
      <c r="U7" s="1237" t="s">
        <v>413</v>
      </c>
      <c r="V7" s="1265">
        <f>35/8</f>
        <v>4.375</v>
      </c>
    </row>
    <row r="8" spans="1:22" x14ac:dyDescent="0.35">
      <c r="A8" s="3"/>
      <c r="B8" s="1212" t="s">
        <v>1068</v>
      </c>
      <c r="C8" s="1001" t="s">
        <v>238</v>
      </c>
      <c r="D8" s="993">
        <f>735/128</f>
        <v>5.7421875</v>
      </c>
      <c r="E8" s="1259" t="s">
        <v>1072</v>
      </c>
      <c r="F8" s="1161" t="s">
        <v>413</v>
      </c>
      <c r="G8" s="1263">
        <f>35.71/8</f>
        <v>4.4637500000000001</v>
      </c>
      <c r="H8" s="300" t="s">
        <v>1154</v>
      </c>
      <c r="I8" s="302" t="s">
        <v>238</v>
      </c>
      <c r="J8" s="1262">
        <v>3.39</v>
      </c>
      <c r="K8" s="300" t="s">
        <v>1172</v>
      </c>
      <c r="L8" s="302" t="s">
        <v>238</v>
      </c>
      <c r="M8" s="1262">
        <v>3.39</v>
      </c>
      <c r="N8" s="1261" t="s">
        <v>999</v>
      </c>
      <c r="O8" s="1164" t="s">
        <v>238</v>
      </c>
      <c r="P8" s="1266">
        <f>((34.27+36+39+31)/4)/128</f>
        <v>0.27396484375000002</v>
      </c>
      <c r="Q8" s="1091"/>
      <c r="R8" s="1160"/>
      <c r="S8" s="1264"/>
      <c r="T8" s="1238" t="s">
        <v>1238</v>
      </c>
      <c r="U8" s="1237" t="s">
        <v>238</v>
      </c>
      <c r="V8" s="1265">
        <f>735/128</f>
        <v>5.7421875</v>
      </c>
    </row>
    <row r="9" spans="1:22" x14ac:dyDescent="0.35">
      <c r="A9" s="3"/>
      <c r="B9" s="1212" t="s">
        <v>1236</v>
      </c>
      <c r="C9" s="1001" t="s">
        <v>413</v>
      </c>
      <c r="D9" s="993">
        <f>46/8</f>
        <v>5.75</v>
      </c>
      <c r="E9" s="1259" t="s">
        <v>798</v>
      </c>
      <c r="F9" s="1161" t="s">
        <v>799</v>
      </c>
      <c r="G9" s="1263">
        <f>57.5/4</f>
        <v>14.375</v>
      </c>
      <c r="H9" s="300" t="str">
        <f>B2</f>
        <v>Roundup Powermax 3</v>
      </c>
      <c r="I9" s="306" t="s">
        <v>238</v>
      </c>
      <c r="J9" s="1262">
        <v>0.140625</v>
      </c>
      <c r="K9" s="300" t="s">
        <v>776</v>
      </c>
      <c r="L9" s="302" t="s">
        <v>238</v>
      </c>
      <c r="M9" s="1262">
        <v>0.3633984375</v>
      </c>
      <c r="N9" s="1261" t="s">
        <v>1086</v>
      </c>
      <c r="O9" s="1164" t="s">
        <v>413</v>
      </c>
      <c r="P9" s="1266">
        <f>((45.92+41)/2)/8</f>
        <v>5.4325000000000001</v>
      </c>
      <c r="Q9" s="1261" t="s">
        <v>1110</v>
      </c>
      <c r="R9" s="1164" t="s">
        <v>238</v>
      </c>
      <c r="S9" s="1266">
        <f>87.57/128</f>
        <v>0.68414062499999995</v>
      </c>
      <c r="T9" s="1238" t="s">
        <v>1239</v>
      </c>
      <c r="U9" s="1236" t="s">
        <v>238</v>
      </c>
      <c r="V9" s="1265">
        <f>P8</f>
        <v>0.27396484375000002</v>
      </c>
    </row>
    <row r="10" spans="1:22" x14ac:dyDescent="0.35">
      <c r="A10" s="3"/>
      <c r="B10" s="992"/>
      <c r="C10" s="1156"/>
      <c r="D10" s="993"/>
      <c r="E10" s="1259" t="s">
        <v>691</v>
      </c>
      <c r="F10" s="1161" t="s">
        <v>238</v>
      </c>
      <c r="G10" s="1263">
        <f>((39.88+45+26)/3)/128</f>
        <v>0.28875000000000001</v>
      </c>
      <c r="H10" s="301" t="s">
        <v>693</v>
      </c>
      <c r="I10" s="302" t="s">
        <v>238</v>
      </c>
      <c r="J10" s="1262">
        <v>0.2890625</v>
      </c>
      <c r="K10" s="300" t="s">
        <v>1152</v>
      </c>
      <c r="L10" s="302" t="s">
        <v>238</v>
      </c>
      <c r="M10" s="1262">
        <v>14.5</v>
      </c>
      <c r="N10" s="905" t="s">
        <v>635</v>
      </c>
      <c r="O10" s="1159" t="s">
        <v>238</v>
      </c>
      <c r="P10" s="1266">
        <f>G6</f>
        <v>0.23046875</v>
      </c>
      <c r="Q10" s="905" t="s">
        <v>1090</v>
      </c>
      <c r="R10" s="1159" t="s">
        <v>238</v>
      </c>
      <c r="S10" s="1266">
        <f>S5</f>
        <v>0.41037499999999999</v>
      </c>
      <c r="T10" s="1238" t="s">
        <v>1084</v>
      </c>
      <c r="U10" s="1237" t="s">
        <v>238</v>
      </c>
      <c r="V10" s="1265">
        <f>D13/16</f>
        <v>1.59375</v>
      </c>
    </row>
    <row r="11" spans="1:22" x14ac:dyDescent="0.35">
      <c r="A11" s="3"/>
      <c r="B11" s="992"/>
      <c r="C11" s="1156"/>
      <c r="D11" s="993"/>
      <c r="E11" s="1259" t="s">
        <v>1082</v>
      </c>
      <c r="F11" s="1161" t="s">
        <v>238</v>
      </c>
      <c r="G11" s="1263">
        <f>100/128</f>
        <v>0.78125</v>
      </c>
      <c r="H11" s="301" t="s">
        <v>694</v>
      </c>
      <c r="I11" s="302" t="s">
        <v>238</v>
      </c>
      <c r="J11" s="1262">
        <v>66.25</v>
      </c>
      <c r="K11" s="300" t="s">
        <v>1062</v>
      </c>
      <c r="L11" s="302" t="s">
        <v>238</v>
      </c>
      <c r="M11" s="1262">
        <v>6.7</v>
      </c>
      <c r="N11" s="1261" t="s">
        <v>1238</v>
      </c>
      <c r="O11" s="1159" t="s">
        <v>238</v>
      </c>
      <c r="P11" s="1266">
        <f>735/128</f>
        <v>5.7421875</v>
      </c>
      <c r="Q11" s="905" t="s">
        <v>1098</v>
      </c>
      <c r="R11" s="1159" t="s">
        <v>238</v>
      </c>
      <c r="S11" s="1266">
        <f>53.5/128</f>
        <v>0.41796875</v>
      </c>
      <c r="T11" s="1238" t="s">
        <v>1076</v>
      </c>
      <c r="U11" s="1237" t="s">
        <v>238</v>
      </c>
      <c r="V11" s="1265">
        <f>M16/16</f>
        <v>4.1904296874999997E-2</v>
      </c>
    </row>
    <row r="12" spans="1:22" x14ac:dyDescent="0.35">
      <c r="A12" s="3"/>
      <c r="B12" s="1263" t="s">
        <v>1070</v>
      </c>
      <c r="C12" s="1157" t="s">
        <v>238</v>
      </c>
      <c r="D12" s="1263">
        <f>107.82/128</f>
        <v>0.84234374999999995</v>
      </c>
      <c r="E12" s="1259" t="s">
        <v>804</v>
      </c>
      <c r="F12" s="1161" t="s">
        <v>238</v>
      </c>
      <c r="G12" s="1263">
        <v>92.95</v>
      </c>
      <c r="H12" s="301" t="s">
        <v>998</v>
      </c>
      <c r="I12" s="302" t="s">
        <v>238</v>
      </c>
      <c r="J12" s="1262">
        <v>0.30625000000000002</v>
      </c>
      <c r="K12" s="300" t="s">
        <v>1063</v>
      </c>
      <c r="L12" s="302" t="s">
        <v>238</v>
      </c>
      <c r="M12" s="1262">
        <v>0.328125</v>
      </c>
      <c r="N12" s="905" t="s">
        <v>1087</v>
      </c>
      <c r="O12" s="1159" t="s">
        <v>413</v>
      </c>
      <c r="P12" s="1266">
        <f>G7</f>
        <v>5.0387500000000003</v>
      </c>
      <c r="Q12" s="905" t="s">
        <v>1099</v>
      </c>
      <c r="R12" s="1159" t="s">
        <v>238</v>
      </c>
      <c r="S12" s="1266">
        <f>58/128</f>
        <v>0.453125</v>
      </c>
      <c r="T12" s="1238" t="s">
        <v>1070</v>
      </c>
      <c r="U12" s="1237" t="s">
        <v>238</v>
      </c>
      <c r="V12" s="1265">
        <f>S16</f>
        <v>0.984375</v>
      </c>
    </row>
    <row r="13" spans="1:22" x14ac:dyDescent="0.35">
      <c r="A13" s="3"/>
      <c r="B13" s="1263" t="s">
        <v>1084</v>
      </c>
      <c r="C13" s="1161" t="s">
        <v>413</v>
      </c>
      <c r="D13" s="1263">
        <f>204/8</f>
        <v>25.5</v>
      </c>
      <c r="E13" s="1259" t="s">
        <v>805</v>
      </c>
      <c r="F13" s="1161" t="s">
        <v>413</v>
      </c>
      <c r="G13" s="1263">
        <f>25/8</f>
        <v>3.125</v>
      </c>
      <c r="H13" s="300" t="s">
        <v>1074</v>
      </c>
      <c r="I13" s="302" t="s">
        <v>238</v>
      </c>
      <c r="J13" s="1262">
        <v>0.1953125</v>
      </c>
      <c r="K13" s="300" t="s">
        <v>1064</v>
      </c>
      <c r="L13" s="302" t="s">
        <v>238</v>
      </c>
      <c r="M13" s="1262">
        <v>0.33281250000000001</v>
      </c>
      <c r="N13" s="905" t="s">
        <v>1069</v>
      </c>
      <c r="O13" s="1159" t="s">
        <v>238</v>
      </c>
      <c r="P13" s="1266">
        <v>0</v>
      </c>
      <c r="Q13" s="905" t="s">
        <v>1100</v>
      </c>
      <c r="R13" s="1159" t="s">
        <v>238</v>
      </c>
      <c r="S13" s="1266">
        <v>40.119999999999997</v>
      </c>
      <c r="T13" s="1235"/>
      <c r="U13" s="1237"/>
      <c r="V13" s="1265"/>
    </row>
    <row r="14" spans="1:22" x14ac:dyDescent="0.35">
      <c r="A14" s="3"/>
      <c r="B14" s="1259"/>
      <c r="C14" s="1161"/>
      <c r="D14" s="1263"/>
      <c r="E14" s="1259" t="s">
        <v>1083</v>
      </c>
      <c r="F14" s="1161" t="s">
        <v>238</v>
      </c>
      <c r="G14" s="1263">
        <f>(258.95/2.5)/128</f>
        <v>0.80921874999999999</v>
      </c>
      <c r="H14" s="301" t="s">
        <v>875</v>
      </c>
      <c r="I14" s="302" t="s">
        <v>238</v>
      </c>
      <c r="J14" s="1262">
        <v>0.3828125</v>
      </c>
      <c r="K14" s="300" t="s">
        <v>1065</v>
      </c>
      <c r="L14" s="302" t="s">
        <v>238</v>
      </c>
      <c r="M14" s="1262">
        <v>2.1125781250000002</v>
      </c>
      <c r="N14" s="905" t="s">
        <v>1088</v>
      </c>
      <c r="O14" s="1159" t="s">
        <v>238</v>
      </c>
      <c r="P14" s="1266">
        <f>5.92/16</f>
        <v>0.37</v>
      </c>
      <c r="Q14" s="905" t="s">
        <v>1101</v>
      </c>
      <c r="R14" s="1159" t="s">
        <v>238</v>
      </c>
      <c r="S14" s="1266">
        <f>(227/2.5)/16</f>
        <v>5.6749999999999998</v>
      </c>
      <c r="T14" s="1235"/>
      <c r="U14" s="1237"/>
      <c r="V14" s="1265"/>
    </row>
    <row r="15" spans="1:22" x14ac:dyDescent="0.35">
      <c r="A15" s="3"/>
      <c r="B15" s="1259"/>
      <c r="C15" s="1157"/>
      <c r="D15" s="1263"/>
      <c r="E15" s="1259" t="s">
        <v>998</v>
      </c>
      <c r="F15" s="1157" t="s">
        <v>413</v>
      </c>
      <c r="G15" s="1263">
        <f>D7</f>
        <v>4.375</v>
      </c>
      <c r="H15" s="301" t="s">
        <v>876</v>
      </c>
      <c r="I15" s="306" t="s">
        <v>238</v>
      </c>
      <c r="J15" s="1262">
        <v>1.47484375</v>
      </c>
      <c r="K15" s="300" t="s">
        <v>1075</v>
      </c>
      <c r="L15" s="302" t="s">
        <v>238</v>
      </c>
      <c r="M15" s="1262">
        <v>0.359375</v>
      </c>
      <c r="N15" s="905" t="s">
        <v>1089</v>
      </c>
      <c r="O15" s="1164" t="s">
        <v>238</v>
      </c>
      <c r="P15" s="1266">
        <f>7.66/16</f>
        <v>0.47875000000000001</v>
      </c>
      <c r="Q15" s="905" t="s">
        <v>1102</v>
      </c>
      <c r="R15" s="1159" t="s">
        <v>238</v>
      </c>
      <c r="S15" s="1266">
        <v>4.9000000000000004</v>
      </c>
      <c r="T15" s="1235"/>
      <c r="U15" s="1236"/>
      <c r="V15" s="1265"/>
    </row>
    <row r="16" spans="1:22" x14ac:dyDescent="0.35">
      <c r="A16" s="3"/>
      <c r="B16" s="1259"/>
      <c r="C16" s="1157"/>
      <c r="D16" s="1263"/>
      <c r="E16" s="1259" t="s">
        <v>1069</v>
      </c>
      <c r="F16" s="1157" t="s">
        <v>238</v>
      </c>
      <c r="G16" s="1263">
        <v>0</v>
      </c>
      <c r="H16" s="301" t="s">
        <v>877</v>
      </c>
      <c r="I16" s="306" t="s">
        <v>723</v>
      </c>
      <c r="J16" s="1262">
        <v>64</v>
      </c>
      <c r="K16" s="300" t="s">
        <v>1076</v>
      </c>
      <c r="L16" s="302" t="s">
        <v>238</v>
      </c>
      <c r="M16" s="1262">
        <v>0.67046874999999995</v>
      </c>
      <c r="N16" s="1261" t="s">
        <v>1073</v>
      </c>
      <c r="O16" s="1164" t="s">
        <v>238</v>
      </c>
      <c r="P16" s="1266">
        <f>4.2/16</f>
        <v>0.26250000000000001</v>
      </c>
      <c r="Q16" s="1261" t="s">
        <v>1070</v>
      </c>
      <c r="R16" s="1164" t="s">
        <v>238</v>
      </c>
      <c r="S16" s="1266">
        <f>15.75/16</f>
        <v>0.984375</v>
      </c>
      <c r="T16" s="1235"/>
      <c r="U16" s="1236"/>
      <c r="V16" s="1265"/>
    </row>
    <row r="18" spans="1:22" x14ac:dyDescent="0.35">
      <c r="A18" s="3" t="s">
        <v>184</v>
      </c>
      <c r="B18" s="992" t="s">
        <v>803</v>
      </c>
      <c r="C18" s="1156" t="s">
        <v>238</v>
      </c>
      <c r="D18" s="993">
        <v>1.05</v>
      </c>
      <c r="E18" s="1083" t="s">
        <v>416</v>
      </c>
      <c r="F18" s="1157" t="s">
        <v>238</v>
      </c>
      <c r="G18" s="1263">
        <v>5.95</v>
      </c>
      <c r="H18" s="301" t="s">
        <v>1091</v>
      </c>
      <c r="I18" s="302" t="s">
        <v>238</v>
      </c>
      <c r="J18" s="1262">
        <v>2.57</v>
      </c>
      <c r="K18" s="1613" t="s">
        <v>802</v>
      </c>
      <c r="L18" s="1614" t="s">
        <v>238</v>
      </c>
      <c r="M18" s="1615">
        <f>147.96/16</f>
        <v>9.2475000000000005</v>
      </c>
      <c r="N18" s="1610" t="s">
        <v>1000</v>
      </c>
      <c r="O18" s="1611" t="s">
        <v>238</v>
      </c>
      <c r="P18" s="1612">
        <v>6.41</v>
      </c>
      <c r="Q18" s="1091"/>
      <c r="R18" s="1160"/>
      <c r="S18" s="1264"/>
      <c r="T18" s="1238" t="s">
        <v>968</v>
      </c>
      <c r="U18" s="1237" t="s">
        <v>238</v>
      </c>
      <c r="V18" s="1265">
        <v>2.56</v>
      </c>
    </row>
    <row r="19" spans="1:22" x14ac:dyDescent="0.35">
      <c r="A19" s="3"/>
      <c r="B19" s="992"/>
      <c r="C19" s="1156"/>
      <c r="D19" s="993"/>
      <c r="E19" s="1259" t="s">
        <v>801</v>
      </c>
      <c r="F19" s="1161" t="s">
        <v>238</v>
      </c>
      <c r="G19" s="1263">
        <f>((130+173+156.7)/3)/128</f>
        <v>1.1971354166666666</v>
      </c>
      <c r="H19" s="300" t="s">
        <v>1066</v>
      </c>
      <c r="I19" s="302" t="s">
        <v>238</v>
      </c>
      <c r="J19" s="1262">
        <v>1.1299999999999999</v>
      </c>
      <c r="K19" s="973" t="s">
        <v>1092</v>
      </c>
      <c r="L19" s="1158" t="s">
        <v>238</v>
      </c>
      <c r="M19" s="1267">
        <f>290/128</f>
        <v>2.265625</v>
      </c>
      <c r="N19" s="905" t="s">
        <v>1095</v>
      </c>
      <c r="O19" s="1159" t="s">
        <v>238</v>
      </c>
      <c r="P19" s="1266">
        <v>1.98</v>
      </c>
      <c r="Q19" s="1091"/>
      <c r="R19" s="1160"/>
      <c r="S19" s="1264"/>
      <c r="T19" s="1235"/>
      <c r="U19" s="1236"/>
      <c r="V19" s="1265"/>
    </row>
    <row r="20" spans="1:22" x14ac:dyDescent="0.35">
      <c r="A20" s="3"/>
      <c r="B20" s="992"/>
      <c r="C20" s="1156"/>
      <c r="D20" s="993"/>
      <c r="E20" s="1616" t="s">
        <v>802</v>
      </c>
      <c r="F20" s="1617" t="s">
        <v>238</v>
      </c>
      <c r="G20" s="1618">
        <f>((121+130.5)/2)/16</f>
        <v>7.859375</v>
      </c>
      <c r="H20" s="301"/>
      <c r="I20" s="306"/>
      <c r="J20" s="1262"/>
      <c r="K20" s="973" t="s">
        <v>1093</v>
      </c>
      <c r="L20" s="1158" t="s">
        <v>238</v>
      </c>
      <c r="M20" s="1267">
        <v>3.01</v>
      </c>
      <c r="N20" s="905"/>
      <c r="O20" s="1159"/>
      <c r="P20" s="1266"/>
      <c r="Q20" s="1091"/>
      <c r="R20" s="1160"/>
      <c r="S20" s="1264"/>
      <c r="T20" s="1235"/>
      <c r="U20" s="1236"/>
      <c r="V20" s="1265"/>
    </row>
    <row r="21" spans="1:22" x14ac:dyDescent="0.35">
      <c r="A21" s="3"/>
      <c r="B21" s="992"/>
      <c r="C21" s="1156"/>
      <c r="D21" s="993"/>
      <c r="E21" s="1259" t="s">
        <v>803</v>
      </c>
      <c r="F21" s="1161" t="s">
        <v>238</v>
      </c>
      <c r="G21" s="1619">
        <v>1.05</v>
      </c>
      <c r="H21" s="301"/>
      <c r="I21" s="306"/>
      <c r="J21" s="1262"/>
      <c r="K21" s="973" t="s">
        <v>803</v>
      </c>
      <c r="L21" s="1158" t="s">
        <v>238</v>
      </c>
      <c r="M21" s="1267">
        <v>1.05</v>
      </c>
      <c r="N21" s="905"/>
      <c r="O21" s="1159"/>
      <c r="P21" s="1266"/>
      <c r="Q21" s="1091"/>
      <c r="R21" s="1160"/>
      <c r="S21" s="1264"/>
      <c r="T21" s="1235"/>
      <c r="U21" s="1236"/>
      <c r="V21" s="1265"/>
    </row>
    <row r="22" spans="1:22" x14ac:dyDescent="0.35">
      <c r="A22" s="3"/>
      <c r="B22" s="1083"/>
      <c r="C22" s="1157"/>
      <c r="D22" s="1263"/>
      <c r="E22" s="1259" t="s">
        <v>418</v>
      </c>
      <c r="F22" s="1161" t="s">
        <v>238</v>
      </c>
      <c r="G22" s="1263">
        <v>1.51</v>
      </c>
      <c r="H22" s="301"/>
      <c r="I22" s="306"/>
      <c r="J22" s="1262"/>
      <c r="K22" s="973" t="s">
        <v>1094</v>
      </c>
      <c r="L22" s="1158" t="s">
        <v>238</v>
      </c>
      <c r="M22" s="1267">
        <v>2.57</v>
      </c>
      <c r="N22" s="905"/>
      <c r="O22" s="1159"/>
      <c r="P22" s="1266"/>
      <c r="Q22" s="1091"/>
      <c r="R22" s="1160"/>
      <c r="S22" s="1264"/>
      <c r="T22" s="1235"/>
      <c r="U22" s="1236"/>
      <c r="V22" s="1265"/>
    </row>
    <row r="23" spans="1:22" x14ac:dyDescent="0.35">
      <c r="A23" s="3"/>
      <c r="B23" s="1083"/>
      <c r="C23" s="1157"/>
      <c r="D23" s="1263"/>
      <c r="E23" s="1259" t="s">
        <v>806</v>
      </c>
      <c r="F23" s="1161" t="s">
        <v>238</v>
      </c>
      <c r="G23" s="1263">
        <v>0.56000000000000005</v>
      </c>
      <c r="H23" s="301"/>
      <c r="I23" s="306"/>
      <c r="J23" s="1262"/>
      <c r="K23" s="973" t="s">
        <v>1155</v>
      </c>
      <c r="L23" s="1158" t="s">
        <v>238</v>
      </c>
      <c r="M23" s="1267">
        <v>3.02</v>
      </c>
      <c r="N23" s="905"/>
      <c r="O23" s="1159"/>
      <c r="P23" s="1266"/>
      <c r="Q23" s="1091"/>
      <c r="R23" s="1160"/>
      <c r="S23" s="1264"/>
      <c r="T23" s="1235"/>
      <c r="U23" s="1236"/>
      <c r="V23" s="1265"/>
    </row>
    <row r="24" spans="1:22" x14ac:dyDescent="0.35">
      <c r="A24" s="3"/>
      <c r="B24" s="1083"/>
      <c r="C24" s="1157"/>
      <c r="D24" s="1263"/>
      <c r="E24" s="1259" t="s">
        <v>417</v>
      </c>
      <c r="F24" s="1161" t="s">
        <v>723</v>
      </c>
      <c r="G24" s="1263">
        <v>7.43</v>
      </c>
      <c r="H24" s="301"/>
      <c r="I24" s="306"/>
      <c r="J24" s="1262"/>
      <c r="K24" s="973"/>
      <c r="L24" s="1158"/>
      <c r="M24" s="1267"/>
      <c r="N24" s="905"/>
      <c r="O24" s="1159"/>
      <c r="P24" s="1266"/>
      <c r="Q24" s="1091"/>
      <c r="R24" s="1160"/>
      <c r="S24" s="1264"/>
      <c r="T24" s="1235"/>
      <c r="U24" s="1236"/>
      <c r="V24" s="1265"/>
    </row>
    <row r="25" spans="1:22" x14ac:dyDescent="0.35">
      <c r="A25" s="3"/>
      <c r="B25" s="992"/>
      <c r="C25" s="1156"/>
      <c r="D25" s="993"/>
      <c r="E25" s="1083"/>
      <c r="F25" s="1157"/>
      <c r="G25" s="1263"/>
      <c r="H25" s="301"/>
      <c r="I25" s="306"/>
      <c r="J25" s="1262"/>
      <c r="K25" s="973"/>
      <c r="L25" s="1158"/>
      <c r="M25" s="1267"/>
      <c r="N25" s="905"/>
      <c r="O25" s="1159"/>
      <c r="P25" s="1266"/>
      <c r="Q25" s="1091"/>
      <c r="R25" s="1160"/>
      <c r="S25" s="1264"/>
      <c r="T25" s="1235"/>
      <c r="U25" s="1236"/>
      <c r="V25" s="1265"/>
    </row>
    <row r="26" spans="1:22" x14ac:dyDescent="0.35">
      <c r="A26" s="3" t="s">
        <v>695</v>
      </c>
      <c r="B26" s="992"/>
      <c r="C26" s="1156"/>
      <c r="D26" s="993"/>
      <c r="E26" s="1083" t="s">
        <v>1156</v>
      </c>
      <c r="F26" s="1157" t="s">
        <v>238</v>
      </c>
      <c r="G26" s="1263">
        <f>((6.38+7+6.5+6.04+5.95)/5)/128</f>
        <v>4.9796874999999997E-2</v>
      </c>
      <c r="H26" s="301"/>
      <c r="I26" s="306"/>
      <c r="J26" s="1262"/>
      <c r="K26" s="973"/>
      <c r="L26" s="1158"/>
      <c r="M26" s="1267"/>
      <c r="N26" s="905"/>
      <c r="O26" s="1159"/>
      <c r="P26" s="1266"/>
      <c r="Q26" s="1091"/>
      <c r="R26" s="1160"/>
      <c r="S26" s="1264"/>
      <c r="T26" s="1235"/>
      <c r="U26" s="1236"/>
      <c r="V26" s="1265"/>
    </row>
    <row r="27" spans="1:22" x14ac:dyDescent="0.35">
      <c r="A27" s="3"/>
      <c r="B27" s="992"/>
      <c r="C27" s="1156"/>
      <c r="D27" s="993"/>
      <c r="E27" s="1083"/>
      <c r="F27" s="1157"/>
      <c r="G27" s="1263"/>
      <c r="H27" s="301"/>
      <c r="I27" s="306"/>
      <c r="J27" s="1262"/>
      <c r="K27" s="973"/>
      <c r="L27" s="1158"/>
      <c r="M27" s="1267"/>
      <c r="N27" s="905"/>
      <c r="O27" s="1159"/>
      <c r="P27" s="1266"/>
      <c r="Q27" s="1091"/>
      <c r="R27" s="1160"/>
      <c r="S27" s="1264"/>
      <c r="T27" s="1235"/>
      <c r="U27" s="1236"/>
      <c r="V27" s="1265"/>
    </row>
    <row r="28" spans="1:22" x14ac:dyDescent="0.35">
      <c r="A28" s="3" t="s">
        <v>376</v>
      </c>
      <c r="B28" s="992"/>
      <c r="C28" s="1156"/>
      <c r="D28" s="993"/>
      <c r="E28" s="1259" t="s">
        <v>1243</v>
      </c>
      <c r="F28" s="1157" t="s">
        <v>238</v>
      </c>
      <c r="G28" s="1263">
        <f>100/128</f>
        <v>0.78125</v>
      </c>
      <c r="H28" s="301"/>
      <c r="I28" s="306"/>
      <c r="J28" s="1262"/>
      <c r="K28" s="973"/>
      <c r="L28" s="1158"/>
      <c r="M28" s="1267"/>
      <c r="N28" s="905"/>
      <c r="O28" s="1159"/>
      <c r="P28" s="1266"/>
      <c r="Q28" s="1091"/>
      <c r="R28" s="1160"/>
      <c r="S28" s="1264"/>
      <c r="T28" s="1235"/>
      <c r="U28" s="1236"/>
      <c r="V28" s="1265"/>
    </row>
    <row r="29" spans="1:22" x14ac:dyDescent="0.35">
      <c r="A29" s="3"/>
      <c r="B29" s="992"/>
      <c r="C29" s="1156"/>
      <c r="D29" s="993"/>
      <c r="E29" s="1083" t="s">
        <v>419</v>
      </c>
      <c r="F29" s="1157" t="s">
        <v>238</v>
      </c>
      <c r="G29" s="1263">
        <f>67/128</f>
        <v>0.5234375</v>
      </c>
      <c r="H29" s="301"/>
      <c r="I29" s="306"/>
      <c r="J29" s="1262"/>
      <c r="K29" s="973"/>
      <c r="L29" s="1158"/>
      <c r="M29" s="1267"/>
      <c r="N29" s="905"/>
      <c r="O29" s="1159"/>
      <c r="P29" s="1266"/>
      <c r="Q29" s="1091"/>
      <c r="R29" s="1160"/>
      <c r="S29" s="1264"/>
      <c r="T29" s="1235"/>
      <c r="U29" s="1236"/>
      <c r="V29" s="1265"/>
    </row>
    <row r="30" spans="1:22" x14ac:dyDescent="0.35">
      <c r="A30" s="3"/>
      <c r="B30" s="992"/>
      <c r="C30" s="1156"/>
      <c r="D30" s="993"/>
      <c r="E30" s="1259" t="s">
        <v>1244</v>
      </c>
      <c r="F30" s="1157" t="s">
        <v>238</v>
      </c>
      <c r="G30" s="1263">
        <f>(72/2)/128</f>
        <v>0.28125</v>
      </c>
      <c r="H30" s="301"/>
      <c r="I30" s="306"/>
      <c r="J30" s="1262"/>
      <c r="K30" s="973"/>
      <c r="L30" s="1158"/>
      <c r="M30" s="1267"/>
      <c r="N30" s="905"/>
      <c r="O30" s="1159"/>
      <c r="P30" s="1266"/>
      <c r="Q30" s="1091"/>
      <c r="R30" s="1160"/>
      <c r="S30" s="1264"/>
      <c r="T30" s="1235"/>
      <c r="U30" s="1236"/>
      <c r="V30" s="1265"/>
    </row>
    <row r="31" spans="1:22" x14ac:dyDescent="0.35">
      <c r="A31" s="3"/>
      <c r="B31" s="992"/>
      <c r="C31" s="1156"/>
      <c r="D31" s="993"/>
      <c r="E31" s="1083"/>
      <c r="F31" s="1157"/>
      <c r="G31" s="1263"/>
      <c r="H31" s="301"/>
      <c r="I31" s="306"/>
      <c r="J31" s="1262"/>
      <c r="K31" s="973"/>
      <c r="L31" s="1158"/>
      <c r="M31" s="1267"/>
      <c r="N31" s="905"/>
      <c r="O31" s="1159"/>
      <c r="P31" s="1266"/>
      <c r="Q31" s="1091"/>
      <c r="R31" s="1160"/>
      <c r="S31" s="1264"/>
      <c r="T31" s="1235"/>
      <c r="U31" s="1236"/>
      <c r="V31" s="1265"/>
    </row>
    <row r="32" spans="1:22" x14ac:dyDescent="0.35">
      <c r="A32" s="3" t="s">
        <v>548</v>
      </c>
      <c r="B32" s="992"/>
      <c r="C32" s="1156"/>
      <c r="D32" s="993"/>
      <c r="E32" s="1083"/>
      <c r="F32" s="1157"/>
      <c r="G32" s="1263"/>
      <c r="H32" s="301" t="s">
        <v>696</v>
      </c>
      <c r="I32" s="302" t="s">
        <v>238</v>
      </c>
      <c r="J32" s="1262">
        <f>91.84/128</f>
        <v>0.71750000000000003</v>
      </c>
      <c r="K32" s="973"/>
      <c r="L32" s="1158"/>
      <c r="M32" s="1267"/>
      <c r="N32" s="1261" t="s">
        <v>1001</v>
      </c>
      <c r="O32" s="1164" t="s">
        <v>238</v>
      </c>
      <c r="P32" s="1266">
        <f>168.37/128</f>
        <v>1.315390625</v>
      </c>
      <c r="Q32" s="1091" t="s">
        <v>697</v>
      </c>
      <c r="R32" s="1163" t="s">
        <v>238</v>
      </c>
      <c r="S32" s="1264">
        <f>(4*8)/128</f>
        <v>0.25</v>
      </c>
      <c r="T32" s="1238" t="s">
        <v>971</v>
      </c>
      <c r="U32" s="1237" t="s">
        <v>413</v>
      </c>
      <c r="V32" s="1265">
        <f>35.95/8</f>
        <v>4.4937500000000004</v>
      </c>
    </row>
    <row r="33" spans="1:22" x14ac:dyDescent="0.35">
      <c r="A33" s="3"/>
      <c r="B33" s="992"/>
      <c r="C33" s="1156"/>
      <c r="D33" s="993"/>
      <c r="E33" s="1083"/>
      <c r="F33" s="1157"/>
      <c r="G33" s="1263"/>
      <c r="H33" s="300" t="s">
        <v>1067</v>
      </c>
      <c r="I33" s="302" t="s">
        <v>238</v>
      </c>
      <c r="J33" s="1262">
        <f>69/128</f>
        <v>0.5390625</v>
      </c>
      <c r="K33" s="973"/>
      <c r="L33" s="1158"/>
      <c r="M33" s="1267"/>
      <c r="N33" s="905"/>
      <c r="O33" s="1159"/>
      <c r="P33" s="1266"/>
      <c r="Q33" s="1091"/>
      <c r="R33" s="1160"/>
      <c r="S33" s="1264"/>
      <c r="T33" s="1238" t="s">
        <v>969</v>
      </c>
      <c r="U33" s="1237" t="s">
        <v>238</v>
      </c>
      <c r="V33" s="1265">
        <f>1.44*16</f>
        <v>23.04</v>
      </c>
    </row>
    <row r="34" spans="1:22" x14ac:dyDescent="0.35">
      <c r="A34" s="3"/>
      <c r="B34" s="992"/>
      <c r="C34" s="1156"/>
      <c r="D34" s="993"/>
      <c r="E34" s="1083"/>
      <c r="F34" s="1157"/>
      <c r="G34" s="1263"/>
      <c r="H34" s="301" t="s">
        <v>1096</v>
      </c>
      <c r="I34" s="302" t="s">
        <v>238</v>
      </c>
      <c r="J34" s="304">
        <f>24.1/16</f>
        <v>1.5062500000000001</v>
      </c>
      <c r="K34" s="973"/>
      <c r="L34" s="1158"/>
      <c r="M34" s="1267"/>
      <c r="N34" s="905"/>
      <c r="O34" s="1159"/>
      <c r="P34" s="1266"/>
      <c r="Q34" s="1091"/>
      <c r="R34" s="1160"/>
      <c r="S34" s="1264"/>
      <c r="T34" s="1238" t="s">
        <v>970</v>
      </c>
      <c r="U34" s="1237" t="s">
        <v>238</v>
      </c>
      <c r="V34" s="1265">
        <f>537.9/128</f>
        <v>4.2023437499999998</v>
      </c>
    </row>
    <row r="35" spans="1:22" x14ac:dyDescent="0.35">
      <c r="A35" s="3"/>
      <c r="B35" s="992"/>
      <c r="C35" s="1156"/>
      <c r="D35" s="993"/>
      <c r="E35" s="1083"/>
      <c r="F35" s="1157"/>
      <c r="G35" s="1263"/>
      <c r="H35" s="301" t="s">
        <v>1158</v>
      </c>
      <c r="I35" s="306" t="s">
        <v>238</v>
      </c>
      <c r="J35" s="1262">
        <v>0.72</v>
      </c>
      <c r="K35" s="973"/>
      <c r="L35" s="1158"/>
      <c r="M35" s="1267"/>
      <c r="N35" s="905"/>
      <c r="O35" s="1159"/>
      <c r="P35" s="1266"/>
      <c r="Q35" s="1091"/>
      <c r="R35" s="1160"/>
      <c r="S35" s="1264"/>
      <c r="T35" s="1238"/>
      <c r="U35" s="1237"/>
      <c r="V35" s="1265"/>
    </row>
    <row r="36" spans="1:22" x14ac:dyDescent="0.35">
      <c r="A36" s="3" t="s">
        <v>698</v>
      </c>
      <c r="B36" s="992"/>
      <c r="C36" s="1156"/>
      <c r="D36" s="993"/>
      <c r="E36" s="1083"/>
      <c r="F36" s="1157"/>
      <c r="G36" s="1263"/>
      <c r="H36" s="301"/>
      <c r="I36" s="306"/>
      <c r="J36" s="1262"/>
      <c r="K36" s="973"/>
      <c r="L36" s="1158"/>
      <c r="M36" s="1267"/>
      <c r="N36" s="905"/>
      <c r="O36" s="1159"/>
      <c r="P36" s="1266"/>
      <c r="Q36" s="1091"/>
      <c r="R36" s="1160"/>
      <c r="S36" s="1264"/>
      <c r="T36" s="1235"/>
      <c r="U36" s="1237"/>
      <c r="V36" s="1265"/>
    </row>
    <row r="37" spans="1:22" x14ac:dyDescent="0.35">
      <c r="A37" s="3"/>
      <c r="B37" s="992"/>
      <c r="C37" s="1156"/>
      <c r="D37" s="993"/>
      <c r="E37" s="1083"/>
      <c r="F37" s="1157"/>
      <c r="G37" s="1263"/>
      <c r="H37" s="301"/>
      <c r="I37" s="306"/>
      <c r="J37" s="1262"/>
      <c r="K37" s="973"/>
      <c r="L37" s="1158"/>
      <c r="M37" s="1267"/>
      <c r="N37" s="905"/>
      <c r="O37" s="1159"/>
      <c r="P37" s="1266"/>
      <c r="Q37" s="1091"/>
      <c r="R37" s="1160"/>
      <c r="S37" s="1264"/>
      <c r="T37" s="1235"/>
      <c r="U37" s="1237"/>
      <c r="V37" s="1265"/>
    </row>
    <row r="38" spans="1:22" x14ac:dyDescent="0.35">
      <c r="A38" s="167" t="s">
        <v>972</v>
      </c>
      <c r="B38" s="992"/>
      <c r="C38" s="1156"/>
      <c r="D38" s="993"/>
      <c r="E38" s="1083"/>
      <c r="F38" s="1157"/>
      <c r="G38" s="1263"/>
      <c r="H38" s="301"/>
      <c r="I38" s="306"/>
      <c r="J38" s="1262"/>
      <c r="K38" s="973"/>
      <c r="L38" s="1158"/>
      <c r="M38" s="1267"/>
      <c r="N38" s="905"/>
      <c r="O38" s="1159"/>
      <c r="P38" s="1266"/>
      <c r="Q38" s="1091"/>
      <c r="R38" s="1160"/>
      <c r="S38" s="1264"/>
      <c r="T38" s="1238" t="s">
        <v>1097</v>
      </c>
      <c r="U38" s="1237" t="s">
        <v>238</v>
      </c>
      <c r="V38" s="1265">
        <v>0.15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00"/>
  <sheetViews>
    <sheetView zoomScaleNormal="100" workbookViewId="0">
      <selection activeCell="C1" sqref="C1"/>
    </sheetView>
  </sheetViews>
  <sheetFormatPr defaultRowHeight="12.75" x14ac:dyDescent="0.35"/>
  <cols>
    <col min="1" max="1" width="17.59765625" customWidth="1"/>
    <col min="2" max="2" width="21.3984375" customWidth="1"/>
    <col min="3" max="3" width="4.59765625" customWidth="1"/>
    <col min="4" max="4" width="5.59765625" customWidth="1"/>
    <col min="5" max="5" width="14.86328125" customWidth="1"/>
    <col min="6" max="6" width="7.265625" customWidth="1"/>
    <col min="7" max="7" width="23.59765625" customWidth="1"/>
    <col min="8" max="8" width="14.86328125" customWidth="1"/>
    <col min="9" max="9" width="4" customWidth="1"/>
    <col min="10" max="10" width="17.59765625" customWidth="1"/>
    <col min="11" max="11" width="21.1328125" customWidth="1"/>
    <col min="12" max="12" width="4.59765625" customWidth="1"/>
    <col min="13" max="13" width="5.3984375" customWidth="1"/>
    <col min="14" max="14" width="14.86328125" customWidth="1"/>
    <col min="15" max="15" width="7.796875" bestFit="1" customWidth="1"/>
    <col min="16" max="16" width="23.59765625" customWidth="1"/>
    <col min="17" max="17" width="16.3984375" customWidth="1"/>
    <col min="18" max="18" width="4" customWidth="1"/>
    <col min="19" max="19" width="5.59765625" customWidth="1"/>
    <col min="20" max="20" width="14.86328125" customWidth="1"/>
    <col min="21" max="21" width="4.59765625" customWidth="1"/>
    <col min="22" max="22" width="17.59765625" customWidth="1"/>
    <col min="23" max="23" width="5" customWidth="1"/>
    <col min="24" max="24" width="16.3984375" customWidth="1"/>
    <col min="25" max="25" width="4" customWidth="1"/>
    <col min="26" max="26" width="5" customWidth="1"/>
    <col min="27" max="27" width="4" customWidth="1"/>
    <col min="28" max="28" width="5" customWidth="1"/>
    <col min="29" max="29" width="14.86328125" customWidth="1"/>
    <col min="30" max="30" width="4" customWidth="1"/>
    <col min="31" max="31" width="5" customWidth="1"/>
    <col min="32" max="32" width="16.3984375" customWidth="1"/>
    <col min="33" max="33" width="4" customWidth="1"/>
    <col min="34" max="34" width="5" customWidth="1"/>
    <col min="35" max="36" width="5.73046875" customWidth="1"/>
  </cols>
  <sheetData>
    <row r="1" spans="1:17" ht="13.9" x14ac:dyDescent="0.4">
      <c r="A1" s="1167">
        <f>A2_Budget_Look_Up!C4</f>
        <v>11</v>
      </c>
      <c r="B1" s="1167" t="str">
        <f>'C1_Messages_Indicators'!B59</f>
        <v xml:space="preserve">Lookup OK </v>
      </c>
      <c r="C1" s="4"/>
      <c r="D1" s="4"/>
      <c r="E1" s="4"/>
      <c r="F1" s="4"/>
      <c r="G1" s="4"/>
      <c r="H1" s="4"/>
      <c r="I1" s="4"/>
      <c r="J1" s="308" t="s">
        <v>747</v>
      </c>
      <c r="K1" s="308"/>
      <c r="L1" s="308"/>
      <c r="M1" s="4"/>
      <c r="N1" s="4"/>
      <c r="O1" s="4"/>
      <c r="P1" s="4"/>
      <c r="Q1" s="4"/>
    </row>
    <row r="2" spans="1:17" ht="13.9" x14ac:dyDescent="0.4">
      <c r="A2" s="1168"/>
      <c r="B2" s="1168"/>
      <c r="C2" s="1168"/>
      <c r="D2" s="1168"/>
      <c r="E2" s="1168"/>
      <c r="F2" s="1168"/>
      <c r="G2" s="1168"/>
      <c r="H2" s="1071"/>
      <c r="I2" s="1071"/>
      <c r="J2" s="1169" t="str">
        <f>A2_Budget_Look_Up!H3</f>
        <v>Corn, Furrow</v>
      </c>
      <c r="K2" s="1168"/>
      <c r="L2" s="1170">
        <f>A2_Budget_Look_Up!F3</f>
        <v>1</v>
      </c>
      <c r="M2" s="1168"/>
      <c r="N2" s="1168"/>
      <c r="O2" s="1168"/>
      <c r="P2" s="1168"/>
      <c r="Q2" s="1071"/>
    </row>
    <row r="3" spans="1:17" ht="13.9" x14ac:dyDescent="0.4">
      <c r="A3" s="83"/>
      <c r="B3" s="83"/>
      <c r="C3" s="83"/>
      <c r="D3" s="83"/>
      <c r="E3" s="84"/>
      <c r="F3" s="83"/>
      <c r="G3" s="83"/>
      <c r="H3" s="1071"/>
      <c r="I3" s="1071"/>
      <c r="J3" s="83"/>
      <c r="K3" s="83"/>
      <c r="L3" s="83"/>
      <c r="M3" s="83"/>
      <c r="N3" s="84"/>
      <c r="O3" s="83"/>
      <c r="P3" s="83"/>
      <c r="Q3" s="1071"/>
    </row>
    <row r="4" spans="1:17" ht="13.9" x14ac:dyDescent="0.4">
      <c r="A4" s="78" t="s">
        <v>18</v>
      </c>
      <c r="B4" s="78"/>
      <c r="C4" s="78"/>
      <c r="D4" s="79"/>
      <c r="E4" s="85"/>
      <c r="F4" s="79"/>
      <c r="G4" s="78"/>
      <c r="H4" s="1072"/>
      <c r="I4" s="1071"/>
      <c r="J4" s="78" t="s">
        <v>18</v>
      </c>
      <c r="K4" s="78"/>
      <c r="L4" s="78"/>
      <c r="M4" s="79"/>
      <c r="N4" s="85"/>
      <c r="O4" s="79"/>
      <c r="P4" s="78"/>
      <c r="Q4" s="1071"/>
    </row>
    <row r="5" spans="1:17" ht="13.9" x14ac:dyDescent="0.4">
      <c r="A5" s="80" t="s">
        <v>212</v>
      </c>
      <c r="B5" s="80" t="s">
        <v>838</v>
      </c>
      <c r="C5" s="80" t="s">
        <v>2</v>
      </c>
      <c r="D5" s="80" t="s">
        <v>21</v>
      </c>
      <c r="E5" s="80" t="s">
        <v>174</v>
      </c>
      <c r="F5" s="80" t="s">
        <v>14</v>
      </c>
      <c r="G5" s="80" t="s">
        <v>890</v>
      </c>
      <c r="H5" s="1073"/>
      <c r="I5" s="1071"/>
      <c r="J5" s="80" t="s">
        <v>212</v>
      </c>
      <c r="K5" s="80" t="s">
        <v>838</v>
      </c>
      <c r="L5" s="80" t="s">
        <v>2</v>
      </c>
      <c r="M5" s="80" t="s">
        <v>21</v>
      </c>
      <c r="N5" s="80" t="s">
        <v>174</v>
      </c>
      <c r="O5" s="80" t="s">
        <v>14</v>
      </c>
      <c r="P5" s="80" t="s">
        <v>890</v>
      </c>
      <c r="Q5" s="1071"/>
    </row>
    <row r="6" spans="1:17" ht="13.9" x14ac:dyDescent="0.4">
      <c r="A6" s="1165" t="str">
        <f>VLOOKUP(1,$I$6:$J$3099,2,FALSE)</f>
        <v>Roundup Powermax 3</v>
      </c>
      <c r="B6" s="1166" t="str">
        <f>VLOOKUP(1,$I$6:$P$3099,3,FALSE)</f>
        <v/>
      </c>
      <c r="C6" s="1166" t="str">
        <f>VLOOKUP(1,$I$6:$P$3099,4,FALSE)</f>
        <v>pt</v>
      </c>
      <c r="D6" s="1165">
        <f>VLOOKUP(1,$I$6:$P$3099,5,FALSE)</f>
        <v>2.25</v>
      </c>
      <c r="E6" s="1165">
        <f>VLOOKUP(1,$I$6:$P$3099,6,FALSE)</f>
        <v>2</v>
      </c>
      <c r="F6" s="82">
        <f>D6*E6</f>
        <v>4.5</v>
      </c>
      <c r="G6" s="1166">
        <f>VLOOKUP(1,$I$6:$P$3099,8,FALSE)</f>
        <v>32</v>
      </c>
      <c r="H6" s="1073">
        <f>VLOOKUP(1,$I$6:$Q$3099,9,FALSE)</f>
        <v>11</v>
      </c>
      <c r="I6" s="1073">
        <f>IF($A$1=1,1,0)</f>
        <v>0</v>
      </c>
      <c r="J6" s="1131" t="str">
        <f>A4_Chem_Prices!B$2</f>
        <v>Roundup Powermax 3</v>
      </c>
      <c r="K6" s="1350" t="s">
        <v>839</v>
      </c>
      <c r="L6" s="1093" t="str">
        <f>A4_Chem_Prices!C$2</f>
        <v>pt</v>
      </c>
      <c r="M6" s="1092">
        <f>A4_Chem_Prices!D$2</f>
        <v>2.25</v>
      </c>
      <c r="N6" s="1094">
        <v>2</v>
      </c>
      <c r="O6" s="82">
        <f t="shared" ref="O6:O19" si="0">M6*N6</f>
        <v>4.5</v>
      </c>
      <c r="P6" s="160">
        <f>N6*16</f>
        <v>32</v>
      </c>
      <c r="Q6" s="1171">
        <f>IF(SUM(I6:I61)=820,L2,0)</f>
        <v>0</v>
      </c>
    </row>
    <row r="7" spans="1:17" ht="13.9" x14ac:dyDescent="0.4">
      <c r="A7" s="1165" t="str">
        <f>VLOOKUP(2,$I$6:$J$3099,2,FALSE)</f>
        <v>2,4-D</v>
      </c>
      <c r="B7" s="1166" t="str">
        <f>VLOOKUP(2,$I$6:$P$3099,3,FALSE)</f>
        <v/>
      </c>
      <c r="C7" s="1166" t="str">
        <f>VLOOKUP(2,$I$6:$P$3099,4,FALSE)</f>
        <v>pt</v>
      </c>
      <c r="D7" s="1165">
        <f>VLOOKUP(2,$I$6:$P$3099,5,FALSE)</f>
        <v>4.375</v>
      </c>
      <c r="E7" s="1165">
        <f>VLOOKUP(2,$I$6:$P$3099,6,FALSE)</f>
        <v>1.5</v>
      </c>
      <c r="F7" s="82">
        <f>D7*E7</f>
        <v>6.5625</v>
      </c>
      <c r="G7" s="1166">
        <f>VLOOKUP(2,$I$6:$P$3099,8,FALSE)</f>
        <v>24</v>
      </c>
      <c r="H7" s="1073">
        <f>VLOOKUP(2,$I$6:$Q$3099,9,FALSE)</f>
        <v>11</v>
      </c>
      <c r="I7" s="1073">
        <f t="shared" ref="I7:I19" si="1">IF($A$1=1,I6+1,0)</f>
        <v>0</v>
      </c>
      <c r="J7" s="1092" t="str">
        <f>A4_Chem_Prices!B$7</f>
        <v>2,4-D</v>
      </c>
      <c r="K7" s="1350" t="s">
        <v>839</v>
      </c>
      <c r="L7" s="1095" t="str">
        <f>A4_Chem_Prices!C$7</f>
        <v>pt</v>
      </c>
      <c r="M7" s="1092">
        <f>A4_Chem_Prices!D$7</f>
        <v>4.375</v>
      </c>
      <c r="N7" s="1094">
        <v>2</v>
      </c>
      <c r="O7" s="82">
        <f t="shared" si="0"/>
        <v>8.75</v>
      </c>
      <c r="P7" s="160">
        <f>N7*16</f>
        <v>32</v>
      </c>
      <c r="Q7" s="1071">
        <f>Q6</f>
        <v>0</v>
      </c>
    </row>
    <row r="8" spans="1:17" ht="13.9" x14ac:dyDescent="0.4">
      <c r="A8" s="1165" t="str">
        <f>VLOOKUP(3,$I$6:$J$3099,2,FALSE)</f>
        <v>Metolachlor</v>
      </c>
      <c r="B8" s="1166" t="str">
        <f>VLOOKUP(3,$I$6:$P$3099,3,FALSE)</f>
        <v/>
      </c>
      <c r="C8" s="1166" t="str">
        <f>VLOOKUP(3,$I$6:$P$3099,4,FALSE)</f>
        <v>pt</v>
      </c>
      <c r="D8" s="1165">
        <f>VLOOKUP(3,$I$6:$P$3099,5,FALSE)</f>
        <v>5.0387500000000003</v>
      </c>
      <c r="E8" s="1165">
        <f>VLOOKUP(3,$I$6:$P$3099,6,FALSE)</f>
        <v>1.3</v>
      </c>
      <c r="F8" s="82">
        <f t="shared" ref="F8:F19" si="2">D8*E8</f>
        <v>6.5503750000000007</v>
      </c>
      <c r="G8" s="1166">
        <f>VLOOKUP(3,$I$6:$P$3099,8,FALSE)</f>
        <v>20.8</v>
      </c>
      <c r="H8" s="1073">
        <f>VLOOKUP(3,$I$6:$Q$3099,9,FALSE)</f>
        <v>11</v>
      </c>
      <c r="I8" s="1073">
        <f t="shared" si="1"/>
        <v>0</v>
      </c>
      <c r="J8" s="1092" t="str">
        <f>A4_Chem_Prices!B$9</f>
        <v>Dual Magnum</v>
      </c>
      <c r="K8" s="1350" t="s">
        <v>839</v>
      </c>
      <c r="L8" s="1095" t="str">
        <f>A4_Chem_Prices!C$9</f>
        <v>pt</v>
      </c>
      <c r="M8" s="1092">
        <f>A4_Chem_Prices!D$9</f>
        <v>5.75</v>
      </c>
      <c r="N8" s="1094">
        <v>1.3</v>
      </c>
      <c r="O8" s="82">
        <f>M8*N8</f>
        <v>7.4750000000000005</v>
      </c>
      <c r="P8" s="160">
        <f>N8*16</f>
        <v>20.8</v>
      </c>
      <c r="Q8" s="1071">
        <f t="shared" ref="Q8:Q19" si="3">Q7</f>
        <v>0</v>
      </c>
    </row>
    <row r="9" spans="1:17" ht="13.9" x14ac:dyDescent="0.4">
      <c r="A9" s="1165" t="str">
        <f>VLOOKUP(4,$I$6:$J$3099,2,FALSE)</f>
        <v>Metolachlor</v>
      </c>
      <c r="B9" s="1166" t="str">
        <f>VLOOKUP(4,$I$6:$P$3099,3,FALSE)</f>
        <v/>
      </c>
      <c r="C9" s="1166" t="str">
        <f>VLOOKUP(4,$I$6:$P$3099,4,FALSE)</f>
        <v>pt</v>
      </c>
      <c r="D9" s="1165">
        <f>VLOOKUP(4,$I$6:$P$3099,5,FALSE)</f>
        <v>5.0387500000000003</v>
      </c>
      <c r="E9" s="1165">
        <f>VLOOKUP(4,$I$6:$P$3099,6,FALSE)</f>
        <v>1.3</v>
      </c>
      <c r="F9" s="82">
        <f t="shared" si="2"/>
        <v>6.5503750000000007</v>
      </c>
      <c r="G9" s="1166">
        <f>VLOOKUP(4,$I$6:$P$3099,8,FALSE)</f>
        <v>41.6</v>
      </c>
      <c r="H9" s="1073">
        <f>VLOOKUP(4,$I$6:$Q$3099,9,FALSE)</f>
        <v>11</v>
      </c>
      <c r="I9" s="1073">
        <f t="shared" si="1"/>
        <v>0</v>
      </c>
      <c r="J9" s="1092" t="str">
        <f>A4_Chem_Prices!B$6</f>
        <v>Halex GT</v>
      </c>
      <c r="K9" s="1350" t="s">
        <v>839</v>
      </c>
      <c r="L9" s="1095" t="str">
        <f>A4_Chem_Prices!C$6</f>
        <v>pt</v>
      </c>
      <c r="M9" s="1092">
        <f>A4_Chem_Prices!D$6</f>
        <v>6.8937499999999998</v>
      </c>
      <c r="N9" s="1094">
        <v>3.6</v>
      </c>
      <c r="O9" s="82">
        <f>M9*N9</f>
        <v>24.817499999999999</v>
      </c>
      <c r="P9" s="160">
        <f>N9*32</f>
        <v>115.2</v>
      </c>
      <c r="Q9" s="1071">
        <f t="shared" si="3"/>
        <v>0</v>
      </c>
    </row>
    <row r="10" spans="1:17" ht="13.9" x14ac:dyDescent="0.4">
      <c r="A10" s="1165" t="str">
        <f>VLOOKUP(5,$I$6:$J$3099,2,FALSE)</f>
        <v>Atrazine</v>
      </c>
      <c r="B10" s="1166" t="str">
        <f>VLOOKUP(5,$I$6:$P$3099,3,FALSE)</f>
        <v/>
      </c>
      <c r="C10" s="1166" t="str">
        <f>VLOOKUP(5,$I$6:$P$3099,4,FALSE)</f>
        <v>qt</v>
      </c>
      <c r="D10" s="1165">
        <f>VLOOKUP(5,$I$6:$P$3099,5,FALSE)</f>
        <v>4.1124999999999998</v>
      </c>
      <c r="E10" s="1165">
        <f>VLOOKUP(5,$I$6:$P$3099,6,FALSE)</f>
        <v>2</v>
      </c>
      <c r="F10" s="82">
        <f t="shared" si="2"/>
        <v>8.2249999999999996</v>
      </c>
      <c r="G10" s="1166">
        <f>VLOOKUP(5,$I$6:$P$3099,8,FALSE)</f>
        <v>0</v>
      </c>
      <c r="H10" s="1073">
        <f>VLOOKUP(5,$I$6:$Q$3099,9,FALSE)</f>
        <v>11</v>
      </c>
      <c r="I10" s="1073">
        <f t="shared" si="1"/>
        <v>0</v>
      </c>
      <c r="J10" s="1092" t="str">
        <f>A4_Chem_Prices!B$3</f>
        <v>Atrazine</v>
      </c>
      <c r="K10" s="1350" t="s">
        <v>839</v>
      </c>
      <c r="L10" s="1095" t="str">
        <f>A4_Chem_Prices!C$3</f>
        <v>qt</v>
      </c>
      <c r="M10" s="1092">
        <f>A4_Chem_Prices!D$3</f>
        <v>4.1124999999999998</v>
      </c>
      <c r="N10" s="1094">
        <v>2</v>
      </c>
      <c r="O10" s="82">
        <f>M10*N10</f>
        <v>8.2249999999999996</v>
      </c>
      <c r="P10" s="160"/>
      <c r="Q10" s="1071">
        <f t="shared" si="3"/>
        <v>0</v>
      </c>
    </row>
    <row r="11" spans="1:17" ht="13.9" x14ac:dyDescent="0.4">
      <c r="A11" s="1165" t="str">
        <f>VLOOKUP(6,$I$6:$J$3099,2,FALSE)</f>
        <v>Other</v>
      </c>
      <c r="B11" s="1166" t="str">
        <f>VLOOKUP(6,$I$6:$P$3099,3,FALSE)</f>
        <v/>
      </c>
      <c r="C11" s="1166">
        <f>VLOOKUP(6,$I$6:$P$3099,4,FALSE)</f>
        <v>0</v>
      </c>
      <c r="D11" s="1165">
        <f>VLOOKUP(6,$I$6:$P$3099,5,FALSE)</f>
        <v>0</v>
      </c>
      <c r="E11" s="1165">
        <f>VLOOKUP(6,$I$6:$P$3099,6,FALSE)</f>
        <v>0</v>
      </c>
      <c r="F11" s="82">
        <f t="shared" si="2"/>
        <v>0</v>
      </c>
      <c r="G11" s="1166">
        <f>VLOOKUP(6,$I$6:$P$3099,8,FALSE)</f>
        <v>0</v>
      </c>
      <c r="H11" s="1073">
        <f>VLOOKUP(6,$I$6:$Q$3099,9,FALSE)</f>
        <v>11</v>
      </c>
      <c r="I11" s="1073">
        <f t="shared" si="1"/>
        <v>0</v>
      </c>
      <c r="J11" s="159" t="s">
        <v>19</v>
      </c>
      <c r="K11" s="1350" t="s">
        <v>839</v>
      </c>
      <c r="L11" s="160"/>
      <c r="M11" s="159">
        <v>0</v>
      </c>
      <c r="N11" s="157">
        <v>0</v>
      </c>
      <c r="O11" s="82">
        <f t="shared" si="0"/>
        <v>0</v>
      </c>
      <c r="P11" s="160"/>
      <c r="Q11" s="1071">
        <f t="shared" si="3"/>
        <v>0</v>
      </c>
    </row>
    <row r="12" spans="1:17" ht="13.9" x14ac:dyDescent="0.4">
      <c r="A12" s="1165" t="str">
        <f>VLOOKUP(7,$I$6:$J$3099,2,FALSE)</f>
        <v>Other</v>
      </c>
      <c r="B12" s="1166" t="str">
        <f>VLOOKUP(7,$I$6:$P$3099,3,FALSE)</f>
        <v/>
      </c>
      <c r="C12" s="1166">
        <f>VLOOKUP(7,$I$6:$P$3099,4,FALSE)</f>
        <v>0</v>
      </c>
      <c r="D12" s="1165">
        <f>VLOOKUP(7,$I$6:$P$3099,5,FALSE)</f>
        <v>0</v>
      </c>
      <c r="E12" s="1165">
        <f>VLOOKUP(7,$I$6:$P$3099,6,FALSE)</f>
        <v>0</v>
      </c>
      <c r="F12" s="82">
        <f t="shared" si="2"/>
        <v>0</v>
      </c>
      <c r="G12" s="1166">
        <f>VLOOKUP(7,$I$6:$P$3099,8,FALSE)</f>
        <v>0</v>
      </c>
      <c r="H12" s="1073">
        <f>VLOOKUP(7,$I$6:$Q$3099,9,FALSE)</f>
        <v>11</v>
      </c>
      <c r="I12" s="1073">
        <f t="shared" si="1"/>
        <v>0</v>
      </c>
      <c r="J12" s="159" t="s">
        <v>19</v>
      </c>
      <c r="K12" s="1350" t="s">
        <v>839</v>
      </c>
      <c r="L12" s="160"/>
      <c r="M12" s="159">
        <v>0</v>
      </c>
      <c r="N12" s="157">
        <v>0</v>
      </c>
      <c r="O12" s="82">
        <f t="shared" si="0"/>
        <v>0</v>
      </c>
      <c r="P12" s="160"/>
      <c r="Q12" s="1071">
        <f t="shared" si="3"/>
        <v>0</v>
      </c>
    </row>
    <row r="13" spans="1:17" ht="13.9" x14ac:dyDescent="0.4">
      <c r="A13" s="1165" t="str">
        <f>VLOOKUP(8,$I$6:$J$3099,2,FALSE)</f>
        <v>Other</v>
      </c>
      <c r="B13" s="1166" t="str">
        <f>VLOOKUP(8,$I$6:$P$3099,3,FALSE)</f>
        <v/>
      </c>
      <c r="C13" s="1166">
        <f>VLOOKUP(8,$I$6:$P$3099,4,FALSE)</f>
        <v>0</v>
      </c>
      <c r="D13" s="1165">
        <f>VLOOKUP(8,$I$6:$P$3099,5,FALSE)</f>
        <v>0</v>
      </c>
      <c r="E13" s="1165">
        <f>VLOOKUP(8,$I$6:$P$3099,6,FALSE)</f>
        <v>0</v>
      </c>
      <c r="F13" s="82">
        <f t="shared" si="2"/>
        <v>0</v>
      </c>
      <c r="G13" s="1166">
        <f>VLOOKUP(8,$I$6:$P$3099,8,FALSE)</f>
        <v>0</v>
      </c>
      <c r="H13" s="1073">
        <f>VLOOKUP(8,$I$6:$Q$3099,9,FALSE)</f>
        <v>11</v>
      </c>
      <c r="I13" s="1073">
        <f t="shared" si="1"/>
        <v>0</v>
      </c>
      <c r="J13" s="159" t="s">
        <v>19</v>
      </c>
      <c r="K13" s="1350" t="s">
        <v>839</v>
      </c>
      <c r="L13" s="160"/>
      <c r="M13" s="159">
        <v>0</v>
      </c>
      <c r="N13" s="157">
        <v>0</v>
      </c>
      <c r="O13" s="82">
        <f t="shared" si="0"/>
        <v>0</v>
      </c>
      <c r="P13" s="160"/>
      <c r="Q13" s="1071">
        <f t="shared" si="3"/>
        <v>0</v>
      </c>
    </row>
    <row r="14" spans="1:17" ht="13.9" x14ac:dyDescent="0.4">
      <c r="A14" s="1165" t="str">
        <f>VLOOKUP(9,$I$6:$J$3099,2,FALSE)</f>
        <v>Other</v>
      </c>
      <c r="B14" s="1166" t="str">
        <f>VLOOKUP(9,$I$6:$P$3099,3,FALSE)</f>
        <v/>
      </c>
      <c r="C14" s="1166">
        <f>VLOOKUP(9,$I$6:$P$3099,4,FALSE)</f>
        <v>0</v>
      </c>
      <c r="D14" s="1165">
        <f>VLOOKUP(9,$I$6:$P$3099,5,FALSE)</f>
        <v>0</v>
      </c>
      <c r="E14" s="1165">
        <f>VLOOKUP(9,$I$6:$P$3099,6,FALSE)</f>
        <v>0</v>
      </c>
      <c r="F14" s="82">
        <f t="shared" si="2"/>
        <v>0</v>
      </c>
      <c r="G14" s="1166">
        <f>VLOOKUP(9,$I$6:$P$3099,8,FALSE)</f>
        <v>0</v>
      </c>
      <c r="H14" s="1073">
        <f>VLOOKUP(9,$I$6:$Q$3099,9,FALSE)</f>
        <v>11</v>
      </c>
      <c r="I14" s="1073">
        <f t="shared" si="1"/>
        <v>0</v>
      </c>
      <c r="J14" s="159" t="s">
        <v>19</v>
      </c>
      <c r="K14" s="1350" t="s">
        <v>839</v>
      </c>
      <c r="L14" s="160"/>
      <c r="M14" s="159">
        <v>0</v>
      </c>
      <c r="N14" s="157">
        <v>0</v>
      </c>
      <c r="O14" s="82">
        <f t="shared" si="0"/>
        <v>0</v>
      </c>
      <c r="P14" s="160"/>
      <c r="Q14" s="1071">
        <f t="shared" si="3"/>
        <v>0</v>
      </c>
    </row>
    <row r="15" spans="1:17" ht="13.9" x14ac:dyDescent="0.4">
      <c r="A15" s="1165" t="str">
        <f>VLOOKUP(10,$I$6:$J$3099,2,FALSE)</f>
        <v>Other</v>
      </c>
      <c r="B15" s="1166" t="str">
        <f>VLOOKUP(10,$I$6:$P$3099,3,FALSE)</f>
        <v/>
      </c>
      <c r="C15" s="1166">
        <f>VLOOKUP(10,$I$6:$P$3099,4,FALSE)</f>
        <v>0</v>
      </c>
      <c r="D15" s="1165">
        <f>VLOOKUP(10,$I$6:$P$3099,5,FALSE)</f>
        <v>0</v>
      </c>
      <c r="E15" s="1165">
        <f>VLOOKUP(10,$I$6:$P$3099,6,FALSE)</f>
        <v>0</v>
      </c>
      <c r="F15" s="82">
        <f t="shared" si="2"/>
        <v>0</v>
      </c>
      <c r="G15" s="1166">
        <f>VLOOKUP(10,$I$6:$P$3099,8,FALSE)</f>
        <v>0</v>
      </c>
      <c r="H15" s="1073">
        <f>VLOOKUP(10,$I$6:$Q$3099,9,FALSE)</f>
        <v>11</v>
      </c>
      <c r="I15" s="1073">
        <f t="shared" si="1"/>
        <v>0</v>
      </c>
      <c r="J15" s="159" t="s">
        <v>19</v>
      </c>
      <c r="K15" s="1350" t="s">
        <v>839</v>
      </c>
      <c r="L15" s="160"/>
      <c r="M15" s="159">
        <v>0</v>
      </c>
      <c r="N15" s="157">
        <v>0</v>
      </c>
      <c r="O15" s="82">
        <f t="shared" si="0"/>
        <v>0</v>
      </c>
      <c r="P15" s="160"/>
      <c r="Q15" s="1071">
        <f t="shared" si="3"/>
        <v>0</v>
      </c>
    </row>
    <row r="16" spans="1:17" ht="13.9" x14ac:dyDescent="0.4">
      <c r="A16" s="1165" t="str">
        <f>VLOOKUP(11,$I$6:$J$3099,2,FALSE)</f>
        <v>Other</v>
      </c>
      <c r="B16" s="1166" t="str">
        <f>VLOOKUP(11,$I$6:$P$3099,3,FALSE)</f>
        <v/>
      </c>
      <c r="C16" s="1166">
        <f>VLOOKUP(11,$I$6:$P$3099,4,FALSE)</f>
        <v>0</v>
      </c>
      <c r="D16" s="1165">
        <f>VLOOKUP(11,$I$6:$P$3099,5,FALSE)</f>
        <v>0</v>
      </c>
      <c r="E16" s="1165">
        <f>VLOOKUP(11,$I$6:$P$3099,6,FALSE)</f>
        <v>0</v>
      </c>
      <c r="F16" s="82">
        <f t="shared" si="2"/>
        <v>0</v>
      </c>
      <c r="G16" s="1166">
        <f>VLOOKUP(11,$I$6:$P$3099,8,FALSE)</f>
        <v>0</v>
      </c>
      <c r="H16" s="1073">
        <f>VLOOKUP(11,$I$6:$Q$3099,9,FALSE)</f>
        <v>11</v>
      </c>
      <c r="I16" s="1073">
        <f t="shared" si="1"/>
        <v>0</v>
      </c>
      <c r="J16" s="159" t="s">
        <v>19</v>
      </c>
      <c r="K16" s="1350" t="s">
        <v>839</v>
      </c>
      <c r="L16" s="160"/>
      <c r="M16" s="159">
        <v>0</v>
      </c>
      <c r="N16" s="157">
        <v>0</v>
      </c>
      <c r="O16" s="82">
        <f t="shared" si="0"/>
        <v>0</v>
      </c>
      <c r="P16" s="160"/>
      <c r="Q16" s="1071">
        <f t="shared" si="3"/>
        <v>0</v>
      </c>
    </row>
    <row r="17" spans="1:17" ht="13.9" x14ac:dyDescent="0.4">
      <c r="A17" s="1165" t="str">
        <f>VLOOKUP(12,$I$6:$J$3099,2,FALSE)</f>
        <v>Other</v>
      </c>
      <c r="B17" s="1166" t="str">
        <f>VLOOKUP(12,$I$6:$P$3099,3,FALSE)</f>
        <v/>
      </c>
      <c r="C17" s="1166">
        <f>VLOOKUP(12,$I$6:$P$3099,4,FALSE)</f>
        <v>0</v>
      </c>
      <c r="D17" s="1165">
        <f>VLOOKUP(12,$I$6:$P$3099,5,FALSE)</f>
        <v>0</v>
      </c>
      <c r="E17" s="1165">
        <f>VLOOKUP(12,$I$6:$P$3099,6,FALSE)</f>
        <v>0</v>
      </c>
      <c r="F17" s="82">
        <f t="shared" si="2"/>
        <v>0</v>
      </c>
      <c r="G17" s="1166">
        <f>VLOOKUP(12,$I$6:$P$3099,8,FALSE)</f>
        <v>0</v>
      </c>
      <c r="H17" s="1073">
        <f>VLOOKUP(12,$I$6:$Q$3099,9,FALSE)</f>
        <v>11</v>
      </c>
      <c r="I17" s="1073">
        <f t="shared" si="1"/>
        <v>0</v>
      </c>
      <c r="J17" s="159" t="s">
        <v>19</v>
      </c>
      <c r="K17" s="1350" t="s">
        <v>839</v>
      </c>
      <c r="L17" s="160"/>
      <c r="M17" s="159">
        <v>0</v>
      </c>
      <c r="N17" s="157">
        <v>0</v>
      </c>
      <c r="O17" s="82">
        <f t="shared" si="0"/>
        <v>0</v>
      </c>
      <c r="P17" s="160"/>
      <c r="Q17" s="1071">
        <f t="shared" si="3"/>
        <v>0</v>
      </c>
    </row>
    <row r="18" spans="1:17" ht="13.9" x14ac:dyDescent="0.4">
      <c r="A18" s="1165" t="str">
        <f>VLOOKUP(13,$I$6:$J$3099,2,FALSE)</f>
        <v>Other</v>
      </c>
      <c r="B18" s="1166" t="str">
        <f>VLOOKUP(13,$I$6:$P$3099,3,FALSE)</f>
        <v/>
      </c>
      <c r="C18" s="1166">
        <f>VLOOKUP(13,$I$6:$P$3099,4,FALSE)</f>
        <v>0</v>
      </c>
      <c r="D18" s="1165">
        <f>VLOOKUP(13,$I$6:$P$3099,5,FALSE)</f>
        <v>0</v>
      </c>
      <c r="E18" s="1165">
        <f>VLOOKUP(13,$I$6:$P$3099,6,FALSE)</f>
        <v>0</v>
      </c>
      <c r="F18" s="82">
        <f t="shared" si="2"/>
        <v>0</v>
      </c>
      <c r="G18" s="1166">
        <f>VLOOKUP(13,$I$6:$P$3099,8,FALSE)</f>
        <v>0</v>
      </c>
      <c r="H18" s="1073">
        <f>VLOOKUP(13,$I$6:$Q$3099,9,FALSE)</f>
        <v>11</v>
      </c>
      <c r="I18" s="1073">
        <f t="shared" si="1"/>
        <v>0</v>
      </c>
      <c r="J18" s="159" t="s">
        <v>19</v>
      </c>
      <c r="K18" s="1350" t="s">
        <v>839</v>
      </c>
      <c r="L18" s="160"/>
      <c r="M18" s="159">
        <v>0</v>
      </c>
      <c r="N18" s="157">
        <v>0</v>
      </c>
      <c r="O18" s="82">
        <f t="shared" si="0"/>
        <v>0</v>
      </c>
      <c r="P18" s="160"/>
      <c r="Q18" s="1071">
        <f t="shared" si="3"/>
        <v>0</v>
      </c>
    </row>
    <row r="19" spans="1:17" ht="13.9" x14ac:dyDescent="0.4">
      <c r="A19" s="1165" t="str">
        <f>VLOOKUP(14,$I$6:$J$3099,2,FALSE)</f>
        <v>Other</v>
      </c>
      <c r="B19" s="1166" t="str">
        <f>VLOOKUP(14,$I$6:$P$3099,3,FALSE)</f>
        <v/>
      </c>
      <c r="C19" s="1166">
        <f>VLOOKUP(14,$I$6:$P$3099,4,FALSE)</f>
        <v>0</v>
      </c>
      <c r="D19" s="1165">
        <f>VLOOKUP(14,$I$6:$P$3099,5,FALSE)</f>
        <v>0</v>
      </c>
      <c r="E19" s="1165">
        <f>VLOOKUP(14,$I$6:$P$3099,6,FALSE)</f>
        <v>0</v>
      </c>
      <c r="F19" s="82">
        <f t="shared" si="2"/>
        <v>0</v>
      </c>
      <c r="G19" s="1166">
        <f>VLOOKUP(14,$I$6:$P$3099,8,FALSE)</f>
        <v>0</v>
      </c>
      <c r="H19" s="1073">
        <f>VLOOKUP(14,$I$6:$Q$3099,9,FALSE)</f>
        <v>11</v>
      </c>
      <c r="I19" s="1073">
        <f t="shared" si="1"/>
        <v>0</v>
      </c>
      <c r="J19" s="159" t="s">
        <v>19</v>
      </c>
      <c r="K19" s="1350" t="s">
        <v>839</v>
      </c>
      <c r="L19" s="160"/>
      <c r="M19" s="159">
        <v>0</v>
      </c>
      <c r="N19" s="157">
        <v>0</v>
      </c>
      <c r="O19" s="82">
        <f t="shared" si="0"/>
        <v>0</v>
      </c>
      <c r="P19" s="160"/>
      <c r="Q19" s="1071">
        <f t="shared" si="3"/>
        <v>0</v>
      </c>
    </row>
    <row r="20" spans="1:17" ht="13.9" x14ac:dyDescent="0.4">
      <c r="A20" s="86" t="s">
        <v>22</v>
      </c>
      <c r="B20" s="86"/>
      <c r="C20" s="86"/>
      <c r="D20" s="81"/>
      <c r="E20" s="87"/>
      <c r="F20" s="88">
        <f>SUM(F6:F19)</f>
        <v>32.388250000000006</v>
      </c>
      <c r="G20" s="1075"/>
      <c r="H20" s="1074"/>
      <c r="I20" s="1071"/>
      <c r="J20" s="86" t="s">
        <v>22</v>
      </c>
      <c r="K20" s="86"/>
      <c r="L20" s="86"/>
      <c r="M20" s="81"/>
      <c r="N20" s="87"/>
      <c r="O20" s="88">
        <f>SUM(O6:O19)</f>
        <v>53.767500000000005</v>
      </c>
      <c r="P20" s="86"/>
      <c r="Q20" s="1071"/>
    </row>
    <row r="21" spans="1:17" ht="13.9" x14ac:dyDescent="0.4">
      <c r="A21" s="83"/>
      <c r="B21" s="83"/>
      <c r="C21" s="83"/>
      <c r="D21" s="83"/>
      <c r="E21" s="84"/>
      <c r="F21" s="83"/>
      <c r="G21" s="1076"/>
      <c r="H21" s="1071"/>
      <c r="I21" s="1071"/>
      <c r="J21" s="83"/>
      <c r="K21" s="83"/>
      <c r="L21" s="83"/>
      <c r="M21" s="83"/>
      <c r="N21" s="84"/>
      <c r="O21" s="83"/>
      <c r="P21" s="83"/>
      <c r="Q21" s="1071"/>
    </row>
    <row r="22" spans="1:17" ht="13.9" x14ac:dyDescent="0.4">
      <c r="A22" s="78" t="s">
        <v>20</v>
      </c>
      <c r="B22" s="78"/>
      <c r="C22" s="78"/>
      <c r="D22" s="79"/>
      <c r="E22" s="85"/>
      <c r="F22" s="79"/>
      <c r="G22" s="78"/>
      <c r="H22" s="1072"/>
      <c r="I22" s="1071"/>
      <c r="J22" s="78" t="s">
        <v>20</v>
      </c>
      <c r="K22" s="78"/>
      <c r="L22" s="78"/>
      <c r="M22" s="79"/>
      <c r="N22" s="85"/>
      <c r="O22" s="79"/>
      <c r="P22" s="78"/>
      <c r="Q22" s="1071"/>
    </row>
    <row r="23" spans="1:17" ht="13.9" x14ac:dyDescent="0.4">
      <c r="A23" s="80" t="s">
        <v>212</v>
      </c>
      <c r="B23" s="80" t="s">
        <v>838</v>
      </c>
      <c r="C23" s="80" t="s">
        <v>2</v>
      </c>
      <c r="D23" s="80" t="s">
        <v>21</v>
      </c>
      <c r="E23" s="80" t="s">
        <v>174</v>
      </c>
      <c r="F23" s="80" t="s">
        <v>14</v>
      </c>
      <c r="G23" s="80" t="s">
        <v>890</v>
      </c>
      <c r="H23" s="1073"/>
      <c r="I23" s="1071"/>
      <c r="J23" s="80" t="s">
        <v>212</v>
      </c>
      <c r="K23" s="80" t="s">
        <v>838</v>
      </c>
      <c r="L23" s="80" t="s">
        <v>2</v>
      </c>
      <c r="M23" s="80" t="s">
        <v>21</v>
      </c>
      <c r="N23" s="80" t="s">
        <v>174</v>
      </c>
      <c r="O23" s="80" t="s">
        <v>14</v>
      </c>
      <c r="P23" s="80" t="s">
        <v>890</v>
      </c>
      <c r="Q23" s="1071"/>
    </row>
    <row r="24" spans="1:17" ht="13.9" x14ac:dyDescent="0.4">
      <c r="A24" s="1165" t="str">
        <f>VLOOKUP(15,$I$6:$J$3099,2,FALSE)</f>
        <v>Prevathon</v>
      </c>
      <c r="B24" s="1166" t="str">
        <f>VLOOKUP(15,$I$6:$P$3099,3,FALSE)</f>
        <v/>
      </c>
      <c r="C24" s="1166" t="str">
        <f>VLOOKUP(15,$I$6:$P$3099,4,FALSE)</f>
        <v>oz</v>
      </c>
      <c r="D24" s="1165">
        <f>VLOOKUP(15,$I$6:$P$3099,5,FALSE)</f>
        <v>1.05</v>
      </c>
      <c r="E24" s="1165">
        <f>VLOOKUP(15,$I$6:$P$3099,6,FALSE)</f>
        <v>14</v>
      </c>
      <c r="F24" s="82">
        <f t="shared" ref="F24:F33" si="4">D24*E24</f>
        <v>14.700000000000001</v>
      </c>
      <c r="G24" s="1166">
        <f>VLOOKUP(15,$I$6:$P$3099,8,FALSE)</f>
        <v>14</v>
      </c>
      <c r="H24" s="1073">
        <f>VLOOKUP(15,$I$6:$Q$3099,9,FALSE)</f>
        <v>11</v>
      </c>
      <c r="I24" s="1073">
        <f>IF($A$1=1,I19+1,0)</f>
        <v>0</v>
      </c>
      <c r="J24" s="159" t="s">
        <v>19</v>
      </c>
      <c r="K24" s="1350" t="s">
        <v>839</v>
      </c>
      <c r="L24" s="160"/>
      <c r="M24" s="159">
        <v>0</v>
      </c>
      <c r="N24" s="157">
        <v>0</v>
      </c>
      <c r="O24" s="82">
        <f t="shared" ref="O24:O33" si="5">M24*N24</f>
        <v>0</v>
      </c>
      <c r="P24" s="158"/>
      <c r="Q24" s="1071">
        <f>Q6</f>
        <v>0</v>
      </c>
    </row>
    <row r="25" spans="1:17" ht="13.9" x14ac:dyDescent="0.4">
      <c r="A25" s="1165" t="str">
        <f>VLOOKUP(16,$I$6:$J$3099,2,FALSE)</f>
        <v>Sivanto Prime</v>
      </c>
      <c r="B25" s="1166" t="str">
        <f>VLOOKUP(16,$I$6:$P$3099,3,FALSE)</f>
        <v/>
      </c>
      <c r="C25" s="1166" t="str">
        <f>VLOOKUP(16,$I$6:$P$3099,4,FALSE)</f>
        <v>oz</v>
      </c>
      <c r="D25" s="1165">
        <f>VLOOKUP(16,$I$6:$P$3099,5,FALSE)</f>
        <v>3.01</v>
      </c>
      <c r="E25" s="1165">
        <f>VLOOKUP(16,$I$6:$P$3099,6,FALSE)</f>
        <v>4</v>
      </c>
      <c r="F25" s="82">
        <f t="shared" si="4"/>
        <v>12.04</v>
      </c>
      <c r="G25" s="1166">
        <f>VLOOKUP(16,$I$6:$P$3099,8,FALSE)</f>
        <v>4</v>
      </c>
      <c r="H25" s="1073">
        <f>VLOOKUP(16,$I$6:$Q$3099,9,FALSE)</f>
        <v>11</v>
      </c>
      <c r="I25" s="1073">
        <f t="shared" ref="I25:I33" si="6">IF($A$1=1,I24+1,0)</f>
        <v>0</v>
      </c>
      <c r="J25" s="159" t="s">
        <v>19</v>
      </c>
      <c r="K25" s="1350" t="s">
        <v>839</v>
      </c>
      <c r="L25" s="160"/>
      <c r="M25" s="159">
        <v>0</v>
      </c>
      <c r="N25" s="157">
        <v>0</v>
      </c>
      <c r="O25" s="82">
        <f t="shared" si="5"/>
        <v>0</v>
      </c>
      <c r="P25" s="158"/>
      <c r="Q25" s="1071">
        <f>Q24</f>
        <v>0</v>
      </c>
    </row>
    <row r="26" spans="1:17" ht="13.9" x14ac:dyDescent="0.4">
      <c r="A26" s="1165" t="str">
        <f>VLOOKUP(17,$I$6:$J$3099,2,FALSE)</f>
        <v>Warrior</v>
      </c>
      <c r="B26" s="1166" t="str">
        <f>VLOOKUP(17,$I$6:$P$3099,3,FALSE)</f>
        <v/>
      </c>
      <c r="C26" s="1166" t="str">
        <f>VLOOKUP(17,$I$6:$P$3099,4,FALSE)</f>
        <v>oz</v>
      </c>
      <c r="D26" s="1165">
        <f>VLOOKUP(17,$I$6:$P$3099,5,FALSE)</f>
        <v>3.02</v>
      </c>
      <c r="E26" s="1165">
        <f>VLOOKUP(17,$I$6:$P$3099,6,FALSE)</f>
        <v>0.96</v>
      </c>
      <c r="F26" s="82">
        <f t="shared" si="4"/>
        <v>2.8992</v>
      </c>
      <c r="G26" s="1166">
        <f>VLOOKUP(17,$I$6:$P$3099,8,FALSE)</f>
        <v>0</v>
      </c>
      <c r="H26" s="1073">
        <f>VLOOKUP(17,$I$6:$Q$3099,9,FALSE)</f>
        <v>11</v>
      </c>
      <c r="I26" s="1073">
        <f t="shared" si="6"/>
        <v>0</v>
      </c>
      <c r="J26" s="159" t="s">
        <v>19</v>
      </c>
      <c r="K26" s="1350" t="s">
        <v>839</v>
      </c>
      <c r="L26" s="160"/>
      <c r="M26" s="159">
        <v>0</v>
      </c>
      <c r="N26" s="157">
        <v>0</v>
      </c>
      <c r="O26" s="82">
        <f t="shared" si="5"/>
        <v>0</v>
      </c>
      <c r="P26" s="158"/>
      <c r="Q26" s="1071">
        <f t="shared" ref="Q26:Q33" si="7">Q25</f>
        <v>0</v>
      </c>
    </row>
    <row r="27" spans="1:17" ht="13.9" x14ac:dyDescent="0.4">
      <c r="A27" s="1165" t="str">
        <f>VLOOKUP(18,$I$6:$J$3099,2,FALSE)</f>
        <v>Other</v>
      </c>
      <c r="B27" s="1166" t="str">
        <f>VLOOKUP(18,$I$6:$P$3099,3,FALSE)</f>
        <v/>
      </c>
      <c r="C27" s="1166">
        <f>VLOOKUP(18,$I$6:$P$3099,4,FALSE)</f>
        <v>0</v>
      </c>
      <c r="D27" s="1165">
        <f>VLOOKUP(18,$I$6:$P$3099,5,FALSE)</f>
        <v>0</v>
      </c>
      <c r="E27" s="1165">
        <f>VLOOKUP(18,$I$6:$P$3099,6,FALSE)</f>
        <v>0</v>
      </c>
      <c r="F27" s="82">
        <f t="shared" si="4"/>
        <v>0</v>
      </c>
      <c r="G27" s="1166">
        <f>VLOOKUP(18,$I$6:$P$3099,8,FALSE)</f>
        <v>0</v>
      </c>
      <c r="H27" s="1073">
        <f>VLOOKUP(18,$I$6:$Q$3099,9,FALSE)</f>
        <v>11</v>
      </c>
      <c r="I27" s="1073">
        <f t="shared" si="6"/>
        <v>0</v>
      </c>
      <c r="J27" s="159" t="s">
        <v>19</v>
      </c>
      <c r="K27" s="1350" t="s">
        <v>839</v>
      </c>
      <c r="L27" s="160"/>
      <c r="M27" s="159">
        <v>0</v>
      </c>
      <c r="N27" s="157">
        <v>0</v>
      </c>
      <c r="O27" s="82">
        <f t="shared" si="5"/>
        <v>0</v>
      </c>
      <c r="P27" s="158"/>
      <c r="Q27" s="1071">
        <f t="shared" si="7"/>
        <v>0</v>
      </c>
    </row>
    <row r="28" spans="1:17" ht="13.9" x14ac:dyDescent="0.4">
      <c r="A28" s="1165" t="str">
        <f>VLOOKUP(19,$I$6:$J$3099,2,FALSE)</f>
        <v>Other</v>
      </c>
      <c r="B28" s="1166" t="str">
        <f>VLOOKUP(19,$I$6:$P$3099,3,FALSE)</f>
        <v/>
      </c>
      <c r="C28" s="1166">
        <f>VLOOKUP(19,$I$6:$P$3099,4,FALSE)</f>
        <v>0</v>
      </c>
      <c r="D28" s="1165">
        <f>VLOOKUP(19,$I$6:$P$3099,5,FALSE)</f>
        <v>0</v>
      </c>
      <c r="E28" s="1165">
        <f>VLOOKUP(19,$I$6:$P$3099,6,FALSE)</f>
        <v>0</v>
      </c>
      <c r="F28" s="82">
        <f t="shared" si="4"/>
        <v>0</v>
      </c>
      <c r="G28" s="1166">
        <f>VLOOKUP(19,$I$6:$P$3099,8,FALSE)</f>
        <v>0</v>
      </c>
      <c r="H28" s="1073">
        <f>VLOOKUP(19,$I$6:$Q$3099,9,FALSE)</f>
        <v>11</v>
      </c>
      <c r="I28" s="1073">
        <f t="shared" si="6"/>
        <v>0</v>
      </c>
      <c r="J28" s="159" t="s">
        <v>19</v>
      </c>
      <c r="K28" s="1350" t="s">
        <v>839</v>
      </c>
      <c r="L28" s="160"/>
      <c r="M28" s="159">
        <v>0</v>
      </c>
      <c r="N28" s="157">
        <v>0</v>
      </c>
      <c r="O28" s="82">
        <f t="shared" si="5"/>
        <v>0</v>
      </c>
      <c r="P28" s="158"/>
      <c r="Q28" s="1071">
        <f t="shared" si="7"/>
        <v>0</v>
      </c>
    </row>
    <row r="29" spans="1:17" ht="13.9" x14ac:dyDescent="0.4">
      <c r="A29" s="1165" t="str">
        <f>VLOOKUP(20,$I$6:$J$3099,2,FALSE)</f>
        <v>Other</v>
      </c>
      <c r="B29" s="1166" t="str">
        <f>VLOOKUP(20,$I$6:$P$3099,3,FALSE)</f>
        <v/>
      </c>
      <c r="C29" s="1166">
        <f>VLOOKUP(20,$I$6:$P$3099,4,FALSE)</f>
        <v>0</v>
      </c>
      <c r="D29" s="1165">
        <f>VLOOKUP(20,$I$6:$P$3099,5,FALSE)</f>
        <v>0</v>
      </c>
      <c r="E29" s="1165">
        <f>VLOOKUP(20,$I$6:$P$3099,6,FALSE)</f>
        <v>0</v>
      </c>
      <c r="F29" s="82">
        <f t="shared" si="4"/>
        <v>0</v>
      </c>
      <c r="G29" s="1166">
        <f>VLOOKUP(20,$I$6:$P$3099,8,FALSE)</f>
        <v>0</v>
      </c>
      <c r="H29" s="1073">
        <f>VLOOKUP(20,$I$6:$Q$3099,9,FALSE)</f>
        <v>11</v>
      </c>
      <c r="I29" s="1073">
        <f t="shared" si="6"/>
        <v>0</v>
      </c>
      <c r="J29" s="159" t="s">
        <v>19</v>
      </c>
      <c r="K29" s="1350" t="s">
        <v>839</v>
      </c>
      <c r="L29" s="160"/>
      <c r="M29" s="159">
        <v>0</v>
      </c>
      <c r="N29" s="157">
        <v>0</v>
      </c>
      <c r="O29" s="82">
        <f t="shared" si="5"/>
        <v>0</v>
      </c>
      <c r="P29" s="158"/>
      <c r="Q29" s="1071">
        <f t="shared" si="7"/>
        <v>0</v>
      </c>
    </row>
    <row r="30" spans="1:17" ht="13.9" x14ac:dyDescent="0.4">
      <c r="A30" s="1165" t="str">
        <f>VLOOKUP(21,$I$6:$J$3099,2,FALSE)</f>
        <v>Other</v>
      </c>
      <c r="B30" s="1166" t="str">
        <f>VLOOKUP(21,$I$6:$P$3099,3,FALSE)</f>
        <v/>
      </c>
      <c r="C30" s="1166">
        <f>VLOOKUP(21,$I$6:$P$3099,4,FALSE)</f>
        <v>0</v>
      </c>
      <c r="D30" s="1165">
        <f>VLOOKUP(21,$I$6:$P$3099,5,FALSE)</f>
        <v>0</v>
      </c>
      <c r="E30" s="1165">
        <f>VLOOKUP(21,$I$6:$P$3099,6,FALSE)</f>
        <v>0</v>
      </c>
      <c r="F30" s="82">
        <f t="shared" si="4"/>
        <v>0</v>
      </c>
      <c r="G30" s="1166">
        <f>VLOOKUP(21,$I$6:$P$3099,8,FALSE)</f>
        <v>0</v>
      </c>
      <c r="H30" s="1073">
        <f>VLOOKUP(21,$I$6:$Q$3099,9,FALSE)</f>
        <v>11</v>
      </c>
      <c r="I30" s="1073">
        <f t="shared" si="6"/>
        <v>0</v>
      </c>
      <c r="J30" s="159" t="s">
        <v>19</v>
      </c>
      <c r="K30" s="1350" t="s">
        <v>839</v>
      </c>
      <c r="L30" s="160"/>
      <c r="M30" s="159">
        <v>0</v>
      </c>
      <c r="N30" s="157">
        <v>0</v>
      </c>
      <c r="O30" s="82">
        <f t="shared" si="5"/>
        <v>0</v>
      </c>
      <c r="P30" s="158"/>
      <c r="Q30" s="1071">
        <f t="shared" si="7"/>
        <v>0</v>
      </c>
    </row>
    <row r="31" spans="1:17" ht="13.9" x14ac:dyDescent="0.4">
      <c r="A31" s="1165" t="str">
        <f>VLOOKUP(22,$I$6:$J$3099,2,FALSE)</f>
        <v>Other</v>
      </c>
      <c r="B31" s="1166" t="str">
        <f>VLOOKUP(22,$I$6:$P$3099,3,FALSE)</f>
        <v/>
      </c>
      <c r="C31" s="1166">
        <f>VLOOKUP(22,$I$6:$P$3099,4,FALSE)</f>
        <v>0</v>
      </c>
      <c r="D31" s="1165">
        <f>VLOOKUP(22,$I$6:$P$3099,5,FALSE)</f>
        <v>0</v>
      </c>
      <c r="E31" s="1165">
        <f>VLOOKUP(22,$I$6:$P$3099,6,FALSE)</f>
        <v>0</v>
      </c>
      <c r="F31" s="82">
        <f t="shared" si="4"/>
        <v>0</v>
      </c>
      <c r="G31" s="1166">
        <f>VLOOKUP(22,$I$6:$P$3099,8,FALSE)</f>
        <v>0</v>
      </c>
      <c r="H31" s="1073">
        <f>VLOOKUP(22,$I$6:$Q$3099,9,FALSE)</f>
        <v>11</v>
      </c>
      <c r="I31" s="1073">
        <f t="shared" si="6"/>
        <v>0</v>
      </c>
      <c r="J31" s="159" t="s">
        <v>19</v>
      </c>
      <c r="K31" s="1350" t="s">
        <v>839</v>
      </c>
      <c r="L31" s="160"/>
      <c r="M31" s="159">
        <v>0</v>
      </c>
      <c r="N31" s="157">
        <v>0</v>
      </c>
      <c r="O31" s="82">
        <f t="shared" si="5"/>
        <v>0</v>
      </c>
      <c r="P31" s="158"/>
      <c r="Q31" s="1071">
        <f t="shared" si="7"/>
        <v>0</v>
      </c>
    </row>
    <row r="32" spans="1:17" ht="13.9" x14ac:dyDescent="0.4">
      <c r="A32" s="1165" t="str">
        <f>VLOOKUP(23,$I$6:$J$3099,2,FALSE)</f>
        <v>Other</v>
      </c>
      <c r="B32" s="1166" t="str">
        <f>VLOOKUP(23,$I$6:$P$3099,3,FALSE)</f>
        <v/>
      </c>
      <c r="C32" s="1166">
        <f>VLOOKUP(23,$I$6:$P$3099,4,FALSE)</f>
        <v>0</v>
      </c>
      <c r="D32" s="1165">
        <f>VLOOKUP(23,$I$6:$P$3099,5,FALSE)</f>
        <v>0</v>
      </c>
      <c r="E32" s="1165">
        <f>VLOOKUP(23,$I$6:$P$3099,6,FALSE)</f>
        <v>0</v>
      </c>
      <c r="F32" s="82">
        <f t="shared" si="4"/>
        <v>0</v>
      </c>
      <c r="G32" s="1166">
        <f>VLOOKUP(23,$I$6:$P$3099,8,FALSE)</f>
        <v>0</v>
      </c>
      <c r="H32" s="1073">
        <f>VLOOKUP(23,$I$6:$Q$3099,9,FALSE)</f>
        <v>11</v>
      </c>
      <c r="I32" s="1073">
        <f t="shared" si="6"/>
        <v>0</v>
      </c>
      <c r="J32" s="159" t="s">
        <v>19</v>
      </c>
      <c r="K32" s="1350" t="s">
        <v>839</v>
      </c>
      <c r="L32" s="160"/>
      <c r="M32" s="159">
        <v>0</v>
      </c>
      <c r="N32" s="157">
        <v>0</v>
      </c>
      <c r="O32" s="82">
        <f t="shared" si="5"/>
        <v>0</v>
      </c>
      <c r="P32" s="158"/>
      <c r="Q32" s="1071">
        <f t="shared" si="7"/>
        <v>0</v>
      </c>
    </row>
    <row r="33" spans="1:17" ht="13.9" x14ac:dyDescent="0.4">
      <c r="A33" s="1165" t="str">
        <f>VLOOKUP(24,$I$6:$J$3099,2,FALSE)</f>
        <v>Other</v>
      </c>
      <c r="B33" s="1166" t="str">
        <f>VLOOKUP(24,$I$6:$P$3099,3,FALSE)</f>
        <v/>
      </c>
      <c r="C33" s="1166">
        <f>VLOOKUP(24,$I$6:$P$3099,4,FALSE)</f>
        <v>0</v>
      </c>
      <c r="D33" s="1165">
        <f>VLOOKUP(24,$I$6:$P$3099,5,FALSE)</f>
        <v>0</v>
      </c>
      <c r="E33" s="1165">
        <f>VLOOKUP(24,$I$6:$P$3099,6,FALSE)</f>
        <v>0</v>
      </c>
      <c r="F33" s="82">
        <f t="shared" si="4"/>
        <v>0</v>
      </c>
      <c r="G33" s="1166">
        <f>VLOOKUP(24,$I$6:$P$3099,8,FALSE)</f>
        <v>0</v>
      </c>
      <c r="H33" s="1073">
        <f>VLOOKUP(24,$I$6:$Q$3099,9,FALSE)</f>
        <v>11</v>
      </c>
      <c r="I33" s="1073">
        <f t="shared" si="6"/>
        <v>0</v>
      </c>
      <c r="J33" s="159" t="s">
        <v>19</v>
      </c>
      <c r="K33" s="1350" t="s">
        <v>839</v>
      </c>
      <c r="L33" s="160"/>
      <c r="M33" s="159">
        <v>0</v>
      </c>
      <c r="N33" s="157">
        <v>0</v>
      </c>
      <c r="O33" s="82">
        <f t="shared" si="5"/>
        <v>0</v>
      </c>
      <c r="P33" s="158"/>
      <c r="Q33" s="1071">
        <f t="shared" si="7"/>
        <v>0</v>
      </c>
    </row>
    <row r="34" spans="1:17" ht="13.9" x14ac:dyDescent="0.4">
      <c r="A34" s="86" t="s">
        <v>22</v>
      </c>
      <c r="B34" s="86"/>
      <c r="C34" s="86"/>
      <c r="D34" s="81"/>
      <c r="E34" s="87"/>
      <c r="F34" s="88">
        <f>SUM(F24:F33)</f>
        <v>29.639200000000002</v>
      </c>
      <c r="G34" s="86"/>
      <c r="H34" s="1074"/>
      <c r="I34" s="1071"/>
      <c r="J34" s="86" t="s">
        <v>22</v>
      </c>
      <c r="K34" s="86"/>
      <c r="L34" s="86"/>
      <c r="M34" s="81"/>
      <c r="N34" s="87"/>
      <c r="O34" s="88">
        <f>SUM(O24:O33)</f>
        <v>0</v>
      </c>
      <c r="P34" s="86"/>
      <c r="Q34" s="1071"/>
    </row>
    <row r="35" spans="1:17" ht="13.9" x14ac:dyDescent="0.4">
      <c r="A35" s="83"/>
      <c r="B35" s="83"/>
      <c r="C35" s="83"/>
      <c r="D35" s="83"/>
      <c r="E35" s="84"/>
      <c r="F35" s="83"/>
      <c r="G35" s="83"/>
      <c r="H35" s="1071"/>
      <c r="I35" s="1071"/>
      <c r="J35" s="83"/>
      <c r="K35" s="83"/>
      <c r="L35" s="83"/>
      <c r="M35" s="83"/>
      <c r="N35" s="84"/>
      <c r="O35" s="83"/>
      <c r="P35" s="83"/>
      <c r="Q35" s="1071"/>
    </row>
    <row r="36" spans="1:17" ht="13.9" x14ac:dyDescent="0.4">
      <c r="A36" s="78" t="str">
        <f>IF(OR(A2_Budget_Look_Up!$B$7=1,A2_Budget_Look_Up!$B$13=1),"Nematicide Detail", "Fungicide Detail")</f>
        <v>Fungicide Detail</v>
      </c>
      <c r="B36" s="78"/>
      <c r="C36" s="78"/>
      <c r="D36" s="79"/>
      <c r="E36" s="85"/>
      <c r="F36" s="79"/>
      <c r="G36" s="78"/>
      <c r="H36" s="1072"/>
      <c r="I36" s="1071"/>
      <c r="J36" s="78" t="str">
        <f>IF(OR(A2_Budget_Look_Up!$B$7=1,A2_Budget_Look_Up!$B$13=1),"Nematicide Detail", "Fungicide Detail")</f>
        <v>Fungicide Detail</v>
      </c>
      <c r="K36" s="78"/>
      <c r="L36" s="78"/>
      <c r="M36" s="79"/>
      <c r="N36" s="85"/>
      <c r="O36" s="79"/>
      <c r="P36" s="78"/>
      <c r="Q36" s="1071"/>
    </row>
    <row r="37" spans="1:17" ht="13.9" x14ac:dyDescent="0.4">
      <c r="A37" s="80" t="s">
        <v>212</v>
      </c>
      <c r="B37" s="80" t="s">
        <v>838</v>
      </c>
      <c r="C37" s="80" t="s">
        <v>2</v>
      </c>
      <c r="D37" s="80" t="s">
        <v>21</v>
      </c>
      <c r="E37" s="80" t="s">
        <v>174</v>
      </c>
      <c r="F37" s="80" t="s">
        <v>14</v>
      </c>
      <c r="G37" s="80" t="s">
        <v>890</v>
      </c>
      <c r="H37" s="1073"/>
      <c r="I37" s="1071"/>
      <c r="J37" s="80" t="s">
        <v>212</v>
      </c>
      <c r="K37" s="80" t="s">
        <v>838</v>
      </c>
      <c r="L37" s="80" t="s">
        <v>2</v>
      </c>
      <c r="M37" s="80" t="s">
        <v>21</v>
      </c>
      <c r="N37" s="80" t="s">
        <v>174</v>
      </c>
      <c r="O37" s="80" t="s">
        <v>14</v>
      </c>
      <c r="P37" s="80" t="s">
        <v>890</v>
      </c>
      <c r="Q37" s="1071"/>
    </row>
    <row r="38" spans="1:17" ht="13.9" x14ac:dyDescent="0.4">
      <c r="A38" s="1165" t="str">
        <f>VLOOKUP(25,$I$6:$J$3099,2,FALSE)</f>
        <v>Other</v>
      </c>
      <c r="B38" s="1166" t="str">
        <f>VLOOKUP(25,$I$6:$P$3099,3,FALSE)</f>
        <v/>
      </c>
      <c r="C38" s="1166">
        <f>VLOOKUP(25,$I$6:$P$3099,4,FALSE)</f>
        <v>0</v>
      </c>
      <c r="D38" s="1165">
        <f>VLOOKUP(25,$I$6:$P$3099,5,FALSE)</f>
        <v>0</v>
      </c>
      <c r="E38" s="1165">
        <f>VLOOKUP(25,$I$6:$P$3099,6,FALSE)</f>
        <v>0</v>
      </c>
      <c r="F38" s="82">
        <f>D38*E38</f>
        <v>0</v>
      </c>
      <c r="G38" s="1166">
        <f>VLOOKUP(25,$I$6:$P$3099,8,FALSE)</f>
        <v>0</v>
      </c>
      <c r="H38" s="1073">
        <f>VLOOKUP(25,$I$6:$Q$3099,9,FALSE)</f>
        <v>11</v>
      </c>
      <c r="I38" s="1073">
        <f>IF($A$1=1,I33+1,0)</f>
        <v>0</v>
      </c>
      <c r="J38" s="156" t="s">
        <v>19</v>
      </c>
      <c r="K38" s="1350" t="s">
        <v>839</v>
      </c>
      <c r="L38" s="158"/>
      <c r="M38" s="159">
        <v>0</v>
      </c>
      <c r="N38" s="157">
        <v>0</v>
      </c>
      <c r="O38" s="82">
        <f>M38*N38</f>
        <v>0</v>
      </c>
      <c r="P38" s="158"/>
      <c r="Q38" s="1071">
        <f>Q33</f>
        <v>0</v>
      </c>
    </row>
    <row r="39" spans="1:17" ht="13.9" x14ac:dyDescent="0.4">
      <c r="A39" s="1165" t="str">
        <f>VLOOKUP(26,$I$6:$J$3099,2,FALSE)</f>
        <v>Other</v>
      </c>
      <c r="B39" s="1166" t="str">
        <f>VLOOKUP(26,$I$6:$P$3099,3,FALSE)</f>
        <v/>
      </c>
      <c r="C39" s="1166">
        <f>VLOOKUP(26,$I$6:$P$3099,4,FALSE)</f>
        <v>0</v>
      </c>
      <c r="D39" s="1165">
        <f>VLOOKUP(26,$I$6:$P$3099,5,FALSE)</f>
        <v>0</v>
      </c>
      <c r="E39" s="1165">
        <f>VLOOKUP(26,$I$6:$P$3099,6,FALSE)</f>
        <v>0</v>
      </c>
      <c r="F39" s="82">
        <f>D39*E39</f>
        <v>0</v>
      </c>
      <c r="G39" s="1166">
        <f>VLOOKUP(26,$I$6:$P$3099,8,FALSE)</f>
        <v>0</v>
      </c>
      <c r="H39" s="1073">
        <f>VLOOKUP(26,$I$6:$Q$3099,9,FALSE)</f>
        <v>11</v>
      </c>
      <c r="I39" s="1073">
        <f>IF($A$1=1,I38+1,0)</f>
        <v>0</v>
      </c>
      <c r="J39" s="156" t="s">
        <v>19</v>
      </c>
      <c r="K39" s="1350" t="s">
        <v>839</v>
      </c>
      <c r="L39" s="158"/>
      <c r="M39" s="159">
        <v>0</v>
      </c>
      <c r="N39" s="157">
        <v>0</v>
      </c>
      <c r="O39" s="82">
        <f>M39*N39</f>
        <v>0</v>
      </c>
      <c r="P39" s="158"/>
      <c r="Q39" s="1071">
        <f>Q38</f>
        <v>0</v>
      </c>
    </row>
    <row r="40" spans="1:17" ht="13.9" x14ac:dyDescent="0.4">
      <c r="A40" s="86" t="s">
        <v>22</v>
      </c>
      <c r="B40" s="86"/>
      <c r="C40" s="86"/>
      <c r="D40" s="81"/>
      <c r="E40" s="87"/>
      <c r="F40" s="88">
        <f>SUM(F38:F39)</f>
        <v>0</v>
      </c>
      <c r="G40" s="86"/>
      <c r="H40" s="1074"/>
      <c r="I40" s="1071"/>
      <c r="J40" s="86" t="s">
        <v>22</v>
      </c>
      <c r="K40" s="86"/>
      <c r="L40" s="86"/>
      <c r="M40" s="81"/>
      <c r="N40" s="87"/>
      <c r="O40" s="88">
        <f>SUM(O38:O39)</f>
        <v>0</v>
      </c>
      <c r="P40" s="86"/>
      <c r="Q40" s="1071"/>
    </row>
    <row r="41" spans="1:17" ht="13.9" x14ac:dyDescent="0.4">
      <c r="A41" s="83"/>
      <c r="B41" s="83"/>
      <c r="C41" s="83"/>
      <c r="D41" s="83"/>
      <c r="E41" s="84"/>
      <c r="F41" s="83"/>
      <c r="G41" s="83"/>
      <c r="H41" s="1071"/>
      <c r="I41" s="1071"/>
      <c r="J41" s="83"/>
      <c r="K41" s="83"/>
      <c r="L41" s="83"/>
      <c r="M41" s="83"/>
      <c r="N41" s="84"/>
      <c r="O41" s="83"/>
      <c r="P41" s="83"/>
      <c r="Q41" s="1071"/>
    </row>
    <row r="42" spans="1:17" ht="13.9" x14ac:dyDescent="0.4">
      <c r="A42" s="78" t="str">
        <f>IF(A2_Budget_Look_Up!$B$7=1,"Growth Regulator Detail", IF(A2_Budget_Look_Up!$B$13=1,"Fungicide Detail","Other Chemical Detail"))</f>
        <v>Other Chemical Detail</v>
      </c>
      <c r="B42" s="78"/>
      <c r="C42" s="78"/>
      <c r="D42" s="79"/>
      <c r="E42" s="85"/>
      <c r="F42" s="79"/>
      <c r="G42" s="78"/>
      <c r="H42" s="1072"/>
      <c r="I42" s="1071"/>
      <c r="J42" s="78" t="str">
        <f>IF(A2_Budget_Look_Up!$B$7=1,"Growth Regulator Detail", IF(A2_Budget_Look_Up!$B$13=1,"Fungicide Detail","Other Chemical Detail"))</f>
        <v>Other Chemical Detail</v>
      </c>
      <c r="K42" s="78"/>
      <c r="L42" s="78"/>
      <c r="M42" s="79"/>
      <c r="N42" s="85"/>
      <c r="O42" s="79"/>
      <c r="P42" s="78"/>
      <c r="Q42" s="1071"/>
    </row>
    <row r="43" spans="1:17" ht="13.9" x14ac:dyDescent="0.4">
      <c r="A43" s="80" t="s">
        <v>212</v>
      </c>
      <c r="B43" s="80" t="s">
        <v>838</v>
      </c>
      <c r="C43" s="80" t="s">
        <v>2</v>
      </c>
      <c r="D43" s="80" t="s">
        <v>21</v>
      </c>
      <c r="E43" s="80" t="s">
        <v>174</v>
      </c>
      <c r="F43" s="80" t="s">
        <v>14</v>
      </c>
      <c r="G43" s="80" t="s">
        <v>890</v>
      </c>
      <c r="H43" s="1073"/>
      <c r="I43" s="1071"/>
      <c r="J43" s="80" t="s">
        <v>212</v>
      </c>
      <c r="K43" s="80" t="s">
        <v>838</v>
      </c>
      <c r="L43" s="80" t="s">
        <v>2</v>
      </c>
      <c r="M43" s="80" t="s">
        <v>21</v>
      </c>
      <c r="N43" s="80" t="s">
        <v>174</v>
      </c>
      <c r="O43" s="80" t="s">
        <v>14</v>
      </c>
      <c r="P43" s="80" t="s">
        <v>890</v>
      </c>
      <c r="Q43" s="1071"/>
    </row>
    <row r="44" spans="1:17" ht="13.9" x14ac:dyDescent="0.4">
      <c r="A44" s="1165" t="str">
        <f>VLOOKUP(27,$I$6:$J$3099,2,FALSE)</f>
        <v>Other</v>
      </c>
      <c r="B44" s="1166" t="str">
        <f>VLOOKUP(27,$I$6:$P$3099,3,FALSE)</f>
        <v/>
      </c>
      <c r="C44" s="1166">
        <f>VLOOKUP(27,$I$6:$P$3099,4,FALSE)</f>
        <v>0</v>
      </c>
      <c r="D44" s="1165">
        <f>VLOOKUP(27,$I$6:$P$3099,5,FALSE)</f>
        <v>0</v>
      </c>
      <c r="E44" s="1165">
        <f>VLOOKUP(27,$I$6:$P$3099,6,FALSE)</f>
        <v>0</v>
      </c>
      <c r="F44" s="82">
        <f t="shared" ref="F44:F50" si="8">D44*E44</f>
        <v>0</v>
      </c>
      <c r="G44" s="1166">
        <f>VLOOKUP(27,$I$6:$P$3099,8,FALSE)</f>
        <v>0</v>
      </c>
      <c r="H44" s="1073">
        <f>VLOOKUP(27,$I$6:$Q$3099,9,FALSE)</f>
        <v>11</v>
      </c>
      <c r="I44" s="1073">
        <f>IF($A$1=1,I39+1,0)</f>
        <v>0</v>
      </c>
      <c r="J44" s="156" t="s">
        <v>19</v>
      </c>
      <c r="K44" s="1350" t="s">
        <v>839</v>
      </c>
      <c r="L44" s="158"/>
      <c r="M44" s="159">
        <v>0</v>
      </c>
      <c r="N44" s="157">
        <v>0</v>
      </c>
      <c r="O44" s="82">
        <f t="shared" ref="O44:O50" si="9">M44*N44</f>
        <v>0</v>
      </c>
      <c r="P44" s="158"/>
      <c r="Q44" s="1071">
        <f>Q39</f>
        <v>0</v>
      </c>
    </row>
    <row r="45" spans="1:17" ht="13.9" x14ac:dyDescent="0.4">
      <c r="A45" s="1165" t="str">
        <f>VLOOKUP(28,$I$6:$J$3099,2,FALSE)</f>
        <v>Other</v>
      </c>
      <c r="B45" s="1166" t="str">
        <f>VLOOKUP(28,$I$6:$P$3099,3,FALSE)</f>
        <v/>
      </c>
      <c r="C45" s="1166">
        <f>VLOOKUP(28,$I$6:$P$3099,4,FALSE)</f>
        <v>0</v>
      </c>
      <c r="D45" s="1165">
        <f>VLOOKUP(28,$I$6:$P$3099,5,FALSE)</f>
        <v>0</v>
      </c>
      <c r="E45" s="1165">
        <f>VLOOKUP(28,$I$6:$P$3099,6,FALSE)</f>
        <v>0</v>
      </c>
      <c r="F45" s="82">
        <f t="shared" si="8"/>
        <v>0</v>
      </c>
      <c r="G45" s="1166">
        <f>VLOOKUP(28,$I$6:$P$3099,8,FALSE)</f>
        <v>0</v>
      </c>
      <c r="H45" s="1073">
        <f>VLOOKUP(28,$I$6:$Q$3099,9,FALSE)</f>
        <v>11</v>
      </c>
      <c r="I45" s="1073">
        <f t="shared" ref="I45:I50" si="10">IF($A$1=1,I44+1,0)</f>
        <v>0</v>
      </c>
      <c r="J45" s="156" t="s">
        <v>19</v>
      </c>
      <c r="K45" s="1350" t="s">
        <v>839</v>
      </c>
      <c r="L45" s="158"/>
      <c r="M45" s="159">
        <v>0</v>
      </c>
      <c r="N45" s="157">
        <v>0</v>
      </c>
      <c r="O45" s="82">
        <f t="shared" si="9"/>
        <v>0</v>
      </c>
      <c r="P45" s="158"/>
      <c r="Q45" s="1071">
        <f t="shared" ref="Q45:Q50" si="11">Q44</f>
        <v>0</v>
      </c>
    </row>
    <row r="46" spans="1:17" ht="13.9" x14ac:dyDescent="0.4">
      <c r="A46" s="1165" t="str">
        <f>VLOOKUP(29,$I$6:$J$3099,2,FALSE)</f>
        <v>Other</v>
      </c>
      <c r="B46" s="1166" t="str">
        <f>VLOOKUP(29,$I$6:$P$3099,3,FALSE)</f>
        <v/>
      </c>
      <c r="C46" s="1166">
        <f>VLOOKUP(29,$I$6:$P$3099,4,FALSE)</f>
        <v>0</v>
      </c>
      <c r="D46" s="1165">
        <f>VLOOKUP(29,$I$6:$P$3099,5,FALSE)</f>
        <v>0</v>
      </c>
      <c r="E46" s="1165">
        <f>VLOOKUP(29,$I$6:$P$3099,6,FALSE)</f>
        <v>0</v>
      </c>
      <c r="F46" s="82">
        <f t="shared" si="8"/>
        <v>0</v>
      </c>
      <c r="G46" s="1166">
        <f>VLOOKUP(29,$I$6:$P$3099,8,FALSE)</f>
        <v>0</v>
      </c>
      <c r="H46" s="1073">
        <f>VLOOKUP(29,$I$6:$Q$3099,9,FALSE)</f>
        <v>11</v>
      </c>
      <c r="I46" s="1073">
        <f t="shared" si="10"/>
        <v>0</v>
      </c>
      <c r="J46" s="156" t="s">
        <v>19</v>
      </c>
      <c r="K46" s="1350" t="s">
        <v>839</v>
      </c>
      <c r="L46" s="158"/>
      <c r="M46" s="159">
        <v>0</v>
      </c>
      <c r="N46" s="157">
        <v>0</v>
      </c>
      <c r="O46" s="82">
        <f t="shared" si="9"/>
        <v>0</v>
      </c>
      <c r="P46" s="158"/>
      <c r="Q46" s="1071">
        <f t="shared" si="11"/>
        <v>0</v>
      </c>
    </row>
    <row r="47" spans="1:17" ht="13.9" x14ac:dyDescent="0.4">
      <c r="A47" s="1165" t="str">
        <f>VLOOKUP(30,$I$6:$J$3099,2,FALSE)</f>
        <v>Other</v>
      </c>
      <c r="B47" s="1166" t="str">
        <f>VLOOKUP(30,$I$6:$P$3099,3,FALSE)</f>
        <v/>
      </c>
      <c r="C47" s="1166">
        <f>VLOOKUP(30,$I$6:$P$3099,4,FALSE)</f>
        <v>0</v>
      </c>
      <c r="D47" s="1165">
        <f>VLOOKUP(30,$I$6:$P$3099,5,FALSE)</f>
        <v>0</v>
      </c>
      <c r="E47" s="1165">
        <f>VLOOKUP(30,$I$6:$P$3099,6,FALSE)</f>
        <v>0</v>
      </c>
      <c r="F47" s="82">
        <f t="shared" si="8"/>
        <v>0</v>
      </c>
      <c r="G47" s="1166">
        <f>VLOOKUP(30,$I$6:$P$3099,8,FALSE)</f>
        <v>0</v>
      </c>
      <c r="H47" s="1073">
        <f>VLOOKUP(30,$I$6:$Q$3099,9,FALSE)</f>
        <v>11</v>
      </c>
      <c r="I47" s="1073">
        <f t="shared" si="10"/>
        <v>0</v>
      </c>
      <c r="J47" s="156" t="s">
        <v>19</v>
      </c>
      <c r="K47" s="1350" t="s">
        <v>839</v>
      </c>
      <c r="L47" s="158"/>
      <c r="M47" s="159">
        <v>0</v>
      </c>
      <c r="N47" s="157">
        <v>0</v>
      </c>
      <c r="O47" s="82">
        <f t="shared" si="9"/>
        <v>0</v>
      </c>
      <c r="P47" s="158"/>
      <c r="Q47" s="1071">
        <f t="shared" si="11"/>
        <v>0</v>
      </c>
    </row>
    <row r="48" spans="1:17" ht="13.9" x14ac:dyDescent="0.4">
      <c r="A48" s="1165" t="str">
        <f>VLOOKUP(31,$I$6:$J$3099,2,FALSE)</f>
        <v>Other</v>
      </c>
      <c r="B48" s="1166" t="str">
        <f>VLOOKUP(31,$I$6:$P$3099,3,FALSE)</f>
        <v/>
      </c>
      <c r="C48" s="1166">
        <f>VLOOKUP(31,$I$6:$P$3099,4,FALSE)</f>
        <v>0</v>
      </c>
      <c r="D48" s="1165">
        <f>VLOOKUP(31,$I$6:$P$3099,5,FALSE)</f>
        <v>0</v>
      </c>
      <c r="E48" s="1165">
        <f>VLOOKUP(31,$I$6:$P$3099,6,FALSE)</f>
        <v>0</v>
      </c>
      <c r="F48" s="82">
        <f t="shared" si="8"/>
        <v>0</v>
      </c>
      <c r="G48" s="1166">
        <f>VLOOKUP(31,$I$6:$P$3099,8,FALSE)</f>
        <v>0</v>
      </c>
      <c r="H48" s="1073">
        <f>VLOOKUP(31,$I$6:$Q$3099,9,FALSE)</f>
        <v>11</v>
      </c>
      <c r="I48" s="1073">
        <f t="shared" si="10"/>
        <v>0</v>
      </c>
      <c r="J48" s="156" t="s">
        <v>19</v>
      </c>
      <c r="K48" s="1350" t="s">
        <v>839</v>
      </c>
      <c r="L48" s="158"/>
      <c r="M48" s="159">
        <v>0</v>
      </c>
      <c r="N48" s="157">
        <v>0</v>
      </c>
      <c r="O48" s="82">
        <f t="shared" si="9"/>
        <v>0</v>
      </c>
      <c r="P48" s="158"/>
      <c r="Q48" s="1071">
        <f t="shared" si="11"/>
        <v>0</v>
      </c>
    </row>
    <row r="49" spans="1:17" ht="13.9" x14ac:dyDescent="0.4">
      <c r="A49" s="1165" t="str">
        <f>VLOOKUP(32,$I$6:$J$3099,2,FALSE)</f>
        <v>Other</v>
      </c>
      <c r="B49" s="1166" t="str">
        <f>VLOOKUP(32,$I$6:$P$3099,3,FALSE)</f>
        <v/>
      </c>
      <c r="C49" s="1166">
        <f>VLOOKUP(32,$I$6:$P$3099,4,FALSE)</f>
        <v>0</v>
      </c>
      <c r="D49" s="1165">
        <f>VLOOKUP(32,$I$6:$P$3099,5,FALSE)</f>
        <v>0</v>
      </c>
      <c r="E49" s="1165">
        <f>VLOOKUP(32,$I$6:$P$3099,6,FALSE)</f>
        <v>0</v>
      </c>
      <c r="F49" s="82">
        <f t="shared" si="8"/>
        <v>0</v>
      </c>
      <c r="G49" s="1166">
        <f>VLOOKUP(32,$I$6:$P$3099,8,FALSE)</f>
        <v>0</v>
      </c>
      <c r="H49" s="1073">
        <f>VLOOKUP(32,$I$6:$Q$3099,9,FALSE)</f>
        <v>11</v>
      </c>
      <c r="I49" s="1073">
        <f t="shared" si="10"/>
        <v>0</v>
      </c>
      <c r="J49" s="156" t="s">
        <v>19</v>
      </c>
      <c r="K49" s="1350" t="s">
        <v>839</v>
      </c>
      <c r="L49" s="158"/>
      <c r="M49" s="159">
        <v>0</v>
      </c>
      <c r="N49" s="157">
        <v>0</v>
      </c>
      <c r="O49" s="82">
        <f t="shared" si="9"/>
        <v>0</v>
      </c>
      <c r="P49" s="158"/>
      <c r="Q49" s="1071">
        <f t="shared" si="11"/>
        <v>0</v>
      </c>
    </row>
    <row r="50" spans="1:17" ht="13.9" x14ac:dyDescent="0.4">
      <c r="A50" s="1165" t="str">
        <f>VLOOKUP(33,$I$6:$J$3099,2,FALSE)</f>
        <v>Other</v>
      </c>
      <c r="B50" s="1166" t="str">
        <f>VLOOKUP(33,$I$6:$P$3099,3,FALSE)</f>
        <v/>
      </c>
      <c r="C50" s="1166">
        <f>VLOOKUP(33,$I$6:$P$3099,4,FALSE)</f>
        <v>0</v>
      </c>
      <c r="D50" s="1165">
        <f>VLOOKUP(33,$I$6:$P$3099,5,FALSE)</f>
        <v>0</v>
      </c>
      <c r="E50" s="1165">
        <f>VLOOKUP(33,$I$6:$P$3099,6,FALSE)</f>
        <v>0</v>
      </c>
      <c r="F50" s="82">
        <f t="shared" si="8"/>
        <v>0</v>
      </c>
      <c r="G50" s="1166">
        <f>VLOOKUP(33,$I$6:$P$3099,8,FALSE)</f>
        <v>0</v>
      </c>
      <c r="H50" s="1073">
        <f>VLOOKUP(33,$I$6:$Q$3099,9,FALSE)</f>
        <v>11</v>
      </c>
      <c r="I50" s="1073">
        <f t="shared" si="10"/>
        <v>0</v>
      </c>
      <c r="J50" s="156" t="s">
        <v>19</v>
      </c>
      <c r="K50" s="1350" t="s">
        <v>839</v>
      </c>
      <c r="L50" s="158"/>
      <c r="M50" s="159">
        <v>0</v>
      </c>
      <c r="N50" s="157">
        <v>0</v>
      </c>
      <c r="O50" s="82">
        <f t="shared" si="9"/>
        <v>0</v>
      </c>
      <c r="P50" s="158"/>
      <c r="Q50" s="1071">
        <f t="shared" si="11"/>
        <v>0</v>
      </c>
    </row>
    <row r="51" spans="1:17" ht="13.9" x14ac:dyDescent="0.4">
      <c r="A51" s="86" t="s">
        <v>22</v>
      </c>
      <c r="B51" s="86"/>
      <c r="C51" s="86"/>
      <c r="D51" s="81"/>
      <c r="E51" s="87"/>
      <c r="F51" s="88">
        <f>SUM(F44:F50)</f>
        <v>0</v>
      </c>
      <c r="G51" s="86"/>
      <c r="H51" s="1074"/>
      <c r="I51" s="1071"/>
      <c r="J51" s="86" t="s">
        <v>22</v>
      </c>
      <c r="K51" s="86"/>
      <c r="L51" s="86"/>
      <c r="M51" s="81"/>
      <c r="N51" s="87"/>
      <c r="O51" s="88">
        <f>SUM(O44:O50)</f>
        <v>0</v>
      </c>
      <c r="P51" s="86"/>
      <c r="Q51" s="1071"/>
    </row>
    <row r="52" spans="1:17" ht="13.9" x14ac:dyDescent="0.4">
      <c r="A52" s="83"/>
      <c r="B52" s="83"/>
      <c r="C52" s="83"/>
      <c r="D52" s="83"/>
      <c r="E52" s="84"/>
      <c r="F52" s="83"/>
      <c r="G52" s="83"/>
      <c r="H52" s="1071"/>
      <c r="I52" s="1071"/>
      <c r="J52" s="83"/>
      <c r="K52" s="83"/>
      <c r="L52" s="83"/>
      <c r="M52" s="83"/>
      <c r="N52" s="84"/>
      <c r="O52" s="83"/>
      <c r="P52" s="83"/>
      <c r="Q52" s="1071"/>
    </row>
    <row r="53" spans="1:17" ht="13.9" x14ac:dyDescent="0.4">
      <c r="A53" s="78" t="str">
        <f>IF(A2_Budget_Look_Up!$B$7=1,"Defoliant Detail", "Other Chemical Detail")</f>
        <v>Other Chemical Detail</v>
      </c>
      <c r="B53" s="78"/>
      <c r="C53" s="78"/>
      <c r="D53" s="79"/>
      <c r="E53" s="85"/>
      <c r="F53" s="79"/>
      <c r="G53" s="78"/>
      <c r="H53" s="1072"/>
      <c r="I53" s="1071"/>
      <c r="J53" s="78" t="str">
        <f>IF(A2_Budget_Look_Up!$B$7=1,"Defoliant Detail", "Other Chemical Detail")</f>
        <v>Other Chemical Detail</v>
      </c>
      <c r="K53" s="78"/>
      <c r="L53" s="78"/>
      <c r="M53" s="79"/>
      <c r="N53" s="85"/>
      <c r="O53" s="79"/>
      <c r="P53" s="78"/>
      <c r="Q53" s="1071"/>
    </row>
    <row r="54" spans="1:17" ht="13.9" x14ac:dyDescent="0.4">
      <c r="A54" s="80" t="s">
        <v>212</v>
      </c>
      <c r="B54" s="80" t="s">
        <v>838</v>
      </c>
      <c r="C54" s="80" t="s">
        <v>2</v>
      </c>
      <c r="D54" s="80" t="s">
        <v>21</v>
      </c>
      <c r="E54" s="80" t="s">
        <v>174</v>
      </c>
      <c r="F54" s="80" t="s">
        <v>14</v>
      </c>
      <c r="G54" s="80" t="s">
        <v>890</v>
      </c>
      <c r="H54" s="1073"/>
      <c r="I54" s="1071"/>
      <c r="J54" s="80" t="s">
        <v>212</v>
      </c>
      <c r="K54" s="80" t="s">
        <v>838</v>
      </c>
      <c r="L54" s="80" t="s">
        <v>2</v>
      </c>
      <c r="M54" s="80" t="s">
        <v>21</v>
      </c>
      <c r="N54" s="80" t="s">
        <v>174</v>
      </c>
      <c r="O54" s="80" t="s">
        <v>14</v>
      </c>
      <c r="P54" s="80" t="s">
        <v>890</v>
      </c>
      <c r="Q54" s="1071"/>
    </row>
    <row r="55" spans="1:17" ht="13.9" x14ac:dyDescent="0.4">
      <c r="A55" s="1165" t="str">
        <f>VLOOKUP(34,$I$6:$J$3099,2,FALSE)</f>
        <v>Other</v>
      </c>
      <c r="B55" s="1166" t="str">
        <f>VLOOKUP(34,$I$6:$P$3099,3,FALSE)</f>
        <v/>
      </c>
      <c r="C55" s="1166">
        <f>VLOOKUP(34,$I$6:$P$3099,4,FALSE)</f>
        <v>0</v>
      </c>
      <c r="D55" s="1165">
        <f>VLOOKUP(34,$I$6:$P$3099,5,FALSE)</f>
        <v>0</v>
      </c>
      <c r="E55" s="1165">
        <f>VLOOKUP(34,$I$6:$P$3099,6,FALSE)</f>
        <v>0</v>
      </c>
      <c r="F55" s="82">
        <f t="shared" ref="F55:F61" si="12">D55*E55</f>
        <v>0</v>
      </c>
      <c r="G55" s="1166">
        <f>VLOOKUP(34,$I$6:$P$3099,8,FALSE)</f>
        <v>0</v>
      </c>
      <c r="H55" s="1073">
        <f>VLOOKUP(34,$I$6:$Q$3099,9,FALSE)</f>
        <v>11</v>
      </c>
      <c r="I55" s="1073">
        <f>IF($A$1=1,I50+1,0)</f>
        <v>0</v>
      </c>
      <c r="J55" s="156" t="s">
        <v>19</v>
      </c>
      <c r="K55" s="1350" t="s">
        <v>839</v>
      </c>
      <c r="L55" s="158"/>
      <c r="M55" s="159">
        <v>0</v>
      </c>
      <c r="N55" s="157">
        <v>0</v>
      </c>
      <c r="O55" s="82">
        <f t="shared" ref="O55:O61" si="13">M55*N55</f>
        <v>0</v>
      </c>
      <c r="P55" s="158"/>
      <c r="Q55" s="1071">
        <f>Q50</f>
        <v>0</v>
      </c>
    </row>
    <row r="56" spans="1:17" ht="13.9" x14ac:dyDescent="0.4">
      <c r="A56" s="1165" t="str">
        <f>VLOOKUP(35,$I$6:$J$3099,2,FALSE)</f>
        <v>Other</v>
      </c>
      <c r="B56" s="1166" t="str">
        <f>VLOOKUP(35,$I$6:$P$3099,3,FALSE)</f>
        <v/>
      </c>
      <c r="C56" s="1166">
        <f>VLOOKUP(35,$I$6:$P$3099,4,FALSE)</f>
        <v>0</v>
      </c>
      <c r="D56" s="1165">
        <f>VLOOKUP(35,$I$6:$P$3099,5,FALSE)</f>
        <v>0</v>
      </c>
      <c r="E56" s="1165">
        <f>VLOOKUP(35,$I$6:$P$3099,6,FALSE)</f>
        <v>0</v>
      </c>
      <c r="F56" s="82">
        <f t="shared" si="12"/>
        <v>0</v>
      </c>
      <c r="G56" s="1166">
        <f>VLOOKUP(35,$I$6:$P$3099,8,FALSE)</f>
        <v>0</v>
      </c>
      <c r="H56" s="1073">
        <f>VLOOKUP(35,$I$6:$Q$3099,9,FALSE)</f>
        <v>11</v>
      </c>
      <c r="I56" s="1073">
        <f t="shared" ref="I56:I61" si="14">IF($A$1=1,I55+1,0)</f>
        <v>0</v>
      </c>
      <c r="J56" s="156" t="s">
        <v>19</v>
      </c>
      <c r="K56" s="1350" t="s">
        <v>839</v>
      </c>
      <c r="L56" s="158"/>
      <c r="M56" s="159">
        <v>0</v>
      </c>
      <c r="N56" s="157">
        <v>0</v>
      </c>
      <c r="O56" s="82">
        <f t="shared" si="13"/>
        <v>0</v>
      </c>
      <c r="P56" s="158"/>
      <c r="Q56" s="1071">
        <f t="shared" ref="Q56:Q61" si="15">Q55</f>
        <v>0</v>
      </c>
    </row>
    <row r="57" spans="1:17" ht="13.9" x14ac:dyDescent="0.4">
      <c r="A57" s="1165" t="str">
        <f>VLOOKUP(36,$I$6:$J$3099,2,FALSE)</f>
        <v>Other</v>
      </c>
      <c r="B57" s="1166" t="str">
        <f>VLOOKUP(36,$I$6:$P$3099,3,FALSE)</f>
        <v/>
      </c>
      <c r="C57" s="1166">
        <f>VLOOKUP(36,$I$6:$P$3099,4,FALSE)</f>
        <v>0</v>
      </c>
      <c r="D57" s="1165">
        <f>VLOOKUP(36,$I$6:$P$3099,5,FALSE)</f>
        <v>0</v>
      </c>
      <c r="E57" s="1165">
        <f>VLOOKUP(36,$I$6:$P$3099,6,FALSE)</f>
        <v>0</v>
      </c>
      <c r="F57" s="82">
        <f t="shared" si="12"/>
        <v>0</v>
      </c>
      <c r="G57" s="1166">
        <f>VLOOKUP(36,$I$6:$P$3099,8,FALSE)</f>
        <v>0</v>
      </c>
      <c r="H57" s="1073">
        <f>VLOOKUP(36,$I$6:$Q$3099,9,FALSE)</f>
        <v>11</v>
      </c>
      <c r="I57" s="1073">
        <f t="shared" si="14"/>
        <v>0</v>
      </c>
      <c r="J57" s="156" t="s">
        <v>19</v>
      </c>
      <c r="K57" s="1350" t="s">
        <v>839</v>
      </c>
      <c r="L57" s="158"/>
      <c r="M57" s="159">
        <v>0</v>
      </c>
      <c r="N57" s="157">
        <v>0</v>
      </c>
      <c r="O57" s="82">
        <f t="shared" si="13"/>
        <v>0</v>
      </c>
      <c r="P57" s="158"/>
      <c r="Q57" s="1071">
        <f t="shared" si="15"/>
        <v>0</v>
      </c>
    </row>
    <row r="58" spans="1:17" ht="13.9" x14ac:dyDescent="0.4">
      <c r="A58" s="1165" t="str">
        <f>VLOOKUP(37,$I$6:$J$3099,2,FALSE)</f>
        <v>Other</v>
      </c>
      <c r="B58" s="1166" t="str">
        <f>VLOOKUP(37,$I$6:$P$3099,3,FALSE)</f>
        <v/>
      </c>
      <c r="C58" s="1166">
        <f>VLOOKUP(37,$I$6:$P$3099,4,FALSE)</f>
        <v>0</v>
      </c>
      <c r="D58" s="1165">
        <f>VLOOKUP(37,$I$6:$P$3099,5,FALSE)</f>
        <v>0</v>
      </c>
      <c r="E58" s="1165">
        <f>VLOOKUP(37,$I$6:$P$3099,6,FALSE)</f>
        <v>0</v>
      </c>
      <c r="F58" s="82">
        <f t="shared" si="12"/>
        <v>0</v>
      </c>
      <c r="G58" s="1166">
        <f>VLOOKUP(37,$I$6:$P$3099,8,FALSE)</f>
        <v>0</v>
      </c>
      <c r="H58" s="1073">
        <f>VLOOKUP(37,$I$6:$Q$3099,9,FALSE)</f>
        <v>11</v>
      </c>
      <c r="I58" s="1073">
        <f t="shared" si="14"/>
        <v>0</v>
      </c>
      <c r="J58" s="156" t="s">
        <v>19</v>
      </c>
      <c r="K58" s="1350" t="s">
        <v>839</v>
      </c>
      <c r="L58" s="158"/>
      <c r="M58" s="159">
        <v>0</v>
      </c>
      <c r="N58" s="157">
        <v>0</v>
      </c>
      <c r="O58" s="82">
        <f t="shared" si="13"/>
        <v>0</v>
      </c>
      <c r="P58" s="158"/>
      <c r="Q58" s="1071">
        <f t="shared" si="15"/>
        <v>0</v>
      </c>
    </row>
    <row r="59" spans="1:17" ht="13.9" x14ac:dyDescent="0.4">
      <c r="A59" s="1165" t="str">
        <f>VLOOKUP(38,$I$6:$J$3099,2,FALSE)</f>
        <v>Other</v>
      </c>
      <c r="B59" s="1166" t="str">
        <f>VLOOKUP(38,$I$6:$P$3099,3,FALSE)</f>
        <v/>
      </c>
      <c r="C59" s="1166">
        <f>VLOOKUP(38,$I$6:$P$3099,4,FALSE)</f>
        <v>0</v>
      </c>
      <c r="D59" s="1165">
        <f>VLOOKUP(38,$I$6:$P$3099,5,FALSE)</f>
        <v>0</v>
      </c>
      <c r="E59" s="1165">
        <f>VLOOKUP(38,$I$6:$P$3099,6,FALSE)</f>
        <v>0</v>
      </c>
      <c r="F59" s="82">
        <f t="shared" si="12"/>
        <v>0</v>
      </c>
      <c r="G59" s="1166">
        <f>VLOOKUP(38,$I$6:$P$3099,8,FALSE)</f>
        <v>0</v>
      </c>
      <c r="H59" s="1073">
        <f>VLOOKUP(38,$I$6:$Q$3099,9,FALSE)</f>
        <v>11</v>
      </c>
      <c r="I59" s="1073">
        <f t="shared" si="14"/>
        <v>0</v>
      </c>
      <c r="J59" s="156" t="s">
        <v>19</v>
      </c>
      <c r="K59" s="1350" t="s">
        <v>839</v>
      </c>
      <c r="L59" s="158"/>
      <c r="M59" s="159">
        <v>0</v>
      </c>
      <c r="N59" s="157">
        <v>0</v>
      </c>
      <c r="O59" s="82">
        <f t="shared" si="13"/>
        <v>0</v>
      </c>
      <c r="P59" s="158"/>
      <c r="Q59" s="1071">
        <f t="shared" si="15"/>
        <v>0</v>
      </c>
    </row>
    <row r="60" spans="1:17" ht="13.9" x14ac:dyDescent="0.4">
      <c r="A60" s="1165" t="str">
        <f>VLOOKUP(39,$I$6:$J$3099,2,FALSE)</f>
        <v>Other</v>
      </c>
      <c r="B60" s="1166" t="str">
        <f>VLOOKUP(39,$I$6:$P$3099,3,FALSE)</f>
        <v/>
      </c>
      <c r="C60" s="1166">
        <f>VLOOKUP(39,$I$6:$P$3099,4,FALSE)</f>
        <v>0</v>
      </c>
      <c r="D60" s="1165">
        <f>VLOOKUP(39,$I$6:$P$3099,5,FALSE)</f>
        <v>0</v>
      </c>
      <c r="E60" s="1165">
        <f>VLOOKUP(39,$I$6:$P$3099,6,FALSE)</f>
        <v>0</v>
      </c>
      <c r="F60" s="82">
        <f t="shared" si="12"/>
        <v>0</v>
      </c>
      <c r="G60" s="1166">
        <f>VLOOKUP(39,$I$6:$P$3099,8,FALSE)</f>
        <v>0</v>
      </c>
      <c r="H60" s="1073">
        <f>VLOOKUP(39,$I$6:$Q$3099,9,FALSE)</f>
        <v>11</v>
      </c>
      <c r="I60" s="1073">
        <f t="shared" si="14"/>
        <v>0</v>
      </c>
      <c r="J60" s="156" t="s">
        <v>19</v>
      </c>
      <c r="K60" s="1350" t="s">
        <v>839</v>
      </c>
      <c r="L60" s="158"/>
      <c r="M60" s="159">
        <v>0</v>
      </c>
      <c r="N60" s="157">
        <v>0</v>
      </c>
      <c r="O60" s="82">
        <f t="shared" si="13"/>
        <v>0</v>
      </c>
      <c r="P60" s="158"/>
      <c r="Q60" s="1071">
        <f t="shared" si="15"/>
        <v>0</v>
      </c>
    </row>
    <row r="61" spans="1:17" ht="13.9" x14ac:dyDescent="0.4">
      <c r="A61" s="1165" t="str">
        <f>VLOOKUP(40,$I$6:$J$3099,2,FALSE)</f>
        <v>Other</v>
      </c>
      <c r="B61" s="1166" t="str">
        <f>VLOOKUP(40,$I$6:$P$3099,3,FALSE)</f>
        <v/>
      </c>
      <c r="C61" s="1166">
        <f>VLOOKUP(40,$I$6:$P$3099,4,FALSE)</f>
        <v>0</v>
      </c>
      <c r="D61" s="1165">
        <f>VLOOKUP(40,$I$6:$P$3099,5,FALSE)</f>
        <v>0</v>
      </c>
      <c r="E61" s="1165">
        <f>VLOOKUP(40,$I$6:$P$3099,6,FALSE)</f>
        <v>0</v>
      </c>
      <c r="F61" s="82">
        <f t="shared" si="12"/>
        <v>0</v>
      </c>
      <c r="G61" s="1166">
        <f>VLOOKUP(40,$I$6:$P$3099,8,FALSE)</f>
        <v>0</v>
      </c>
      <c r="H61" s="1073">
        <f>VLOOKUP(40,$I$6:$Q$3099,9,FALSE)</f>
        <v>11</v>
      </c>
      <c r="I61" s="1073">
        <f t="shared" si="14"/>
        <v>0</v>
      </c>
      <c r="J61" s="156" t="s">
        <v>19</v>
      </c>
      <c r="K61" s="1350" t="s">
        <v>839</v>
      </c>
      <c r="L61" s="158"/>
      <c r="M61" s="159">
        <v>0</v>
      </c>
      <c r="N61" s="157">
        <v>0</v>
      </c>
      <c r="O61" s="82">
        <f t="shared" si="13"/>
        <v>0</v>
      </c>
      <c r="P61" s="158"/>
      <c r="Q61" s="1071">
        <f t="shared" si="15"/>
        <v>0</v>
      </c>
    </row>
    <row r="62" spans="1:17" ht="13.9" x14ac:dyDescent="0.4">
      <c r="A62" s="86" t="s">
        <v>22</v>
      </c>
      <c r="B62" s="86"/>
      <c r="C62" s="86"/>
      <c r="D62" s="81"/>
      <c r="E62" s="87"/>
      <c r="F62" s="88">
        <f>SUM(F55:F61)</f>
        <v>0</v>
      </c>
      <c r="G62" s="86"/>
      <c r="H62" s="1074"/>
      <c r="I62" s="1071"/>
      <c r="J62" s="86" t="s">
        <v>22</v>
      </c>
      <c r="K62" s="86"/>
      <c r="L62" s="86"/>
      <c r="M62" s="81"/>
      <c r="N62" s="87"/>
      <c r="O62" s="88">
        <f>SUM(O55:O61)</f>
        <v>0</v>
      </c>
      <c r="P62" s="86"/>
      <c r="Q62" s="1071"/>
    </row>
    <row r="63" spans="1:17" ht="13.9" x14ac:dyDescent="0.4">
      <c r="A63" s="83"/>
      <c r="B63" s="83"/>
      <c r="C63" s="83"/>
      <c r="D63" s="89"/>
      <c r="E63" s="84"/>
      <c r="F63" s="89"/>
      <c r="G63" s="83"/>
      <c r="H63" s="1071"/>
      <c r="I63" s="1071"/>
      <c r="J63" s="83"/>
      <c r="K63" s="83"/>
      <c r="L63" s="83"/>
      <c r="M63" s="89"/>
      <c r="N63" s="84"/>
      <c r="O63" s="89"/>
      <c r="P63" s="83"/>
      <c r="Q63" s="1071"/>
    </row>
    <row r="64" spans="1:17" ht="13.9" x14ac:dyDescent="0.4">
      <c r="A64" s="4"/>
      <c r="B64" s="4"/>
      <c r="C64" s="4"/>
      <c r="D64" s="4"/>
      <c r="E64" s="4"/>
      <c r="F64" s="4"/>
      <c r="G64" s="4"/>
      <c r="H64" s="1071"/>
      <c r="I64" s="1071"/>
      <c r="J64" s="1168" t="str">
        <f>A2_Budget_Look_Up!H4</f>
        <v>Corn, Pivot</v>
      </c>
      <c r="K64" s="1168"/>
      <c r="L64" s="1168">
        <f>A2_Budget_Look_Up!F4</f>
        <v>2</v>
      </c>
      <c r="M64" s="1168"/>
      <c r="N64" s="1168"/>
      <c r="O64" s="1168"/>
      <c r="P64" s="1168"/>
      <c r="Q64" s="1071"/>
    </row>
    <row r="66" spans="9:17" ht="13.9" x14ac:dyDescent="0.4">
      <c r="I66" s="1071"/>
      <c r="J66" s="78" t="s">
        <v>18</v>
      </c>
      <c r="K66" s="78"/>
      <c r="L66" s="78"/>
      <c r="M66" s="79"/>
      <c r="N66" s="85"/>
      <c r="O66" s="79"/>
      <c r="P66" s="78"/>
      <c r="Q66" s="1071"/>
    </row>
    <row r="67" spans="9:17" ht="13.9" x14ac:dyDescent="0.4">
      <c r="I67" s="1071"/>
      <c r="J67" s="80" t="s">
        <v>212</v>
      </c>
      <c r="K67" s="80" t="s">
        <v>838</v>
      </c>
      <c r="L67" s="80" t="s">
        <v>2</v>
      </c>
      <c r="M67" s="80" t="s">
        <v>21</v>
      </c>
      <c r="N67" s="80" t="s">
        <v>174</v>
      </c>
      <c r="O67" s="80" t="s">
        <v>14</v>
      </c>
      <c r="P67" s="80" t="s">
        <v>890</v>
      </c>
      <c r="Q67" s="1071"/>
    </row>
    <row r="68" spans="9:17" ht="13.9" x14ac:dyDescent="0.4">
      <c r="I68" s="1073">
        <f>IF($A$1=2,1,0)</f>
        <v>0</v>
      </c>
      <c r="J68" s="1131" t="str">
        <f>A4_Chem_Prices!B$2</f>
        <v>Roundup Powermax 3</v>
      </c>
      <c r="K68" s="1350" t="s">
        <v>839</v>
      </c>
      <c r="L68" s="1093" t="str">
        <f>A4_Chem_Prices!C$2</f>
        <v>pt</v>
      </c>
      <c r="M68" s="1092">
        <f>A4_Chem_Prices!D$2</f>
        <v>2.25</v>
      </c>
      <c r="N68" s="1094">
        <v>2</v>
      </c>
      <c r="O68" s="82">
        <f t="shared" ref="O68:O81" si="16">M68*N68</f>
        <v>4.5</v>
      </c>
      <c r="P68" s="160">
        <f>N68*16</f>
        <v>32</v>
      </c>
      <c r="Q68" s="1171">
        <f>IF(SUM(I68:I123)=820,L64,0)</f>
        <v>0</v>
      </c>
    </row>
    <row r="69" spans="9:17" ht="13.9" x14ac:dyDescent="0.4">
      <c r="I69" s="1073">
        <f t="shared" ref="I69:I81" si="17">IF($A$1=2,I68+1,0)</f>
        <v>0</v>
      </c>
      <c r="J69" s="1092" t="str">
        <f>A4_Chem_Prices!B$7</f>
        <v>2,4-D</v>
      </c>
      <c r="K69" s="1350" t="s">
        <v>839</v>
      </c>
      <c r="L69" s="1095" t="str">
        <f>A4_Chem_Prices!C$7</f>
        <v>pt</v>
      </c>
      <c r="M69" s="1092">
        <f>A4_Chem_Prices!D$7</f>
        <v>4.375</v>
      </c>
      <c r="N69" s="1094">
        <v>2</v>
      </c>
      <c r="O69" s="82">
        <f t="shared" si="16"/>
        <v>8.75</v>
      </c>
      <c r="P69" s="160">
        <f>N69*16</f>
        <v>32</v>
      </c>
      <c r="Q69" s="1071">
        <f>Q68</f>
        <v>0</v>
      </c>
    </row>
    <row r="70" spans="9:17" ht="13.9" x14ac:dyDescent="0.4">
      <c r="I70" s="1073">
        <f t="shared" si="17"/>
        <v>0</v>
      </c>
      <c r="J70" s="1092" t="str">
        <f>A4_Chem_Prices!B$9</f>
        <v>Dual Magnum</v>
      </c>
      <c r="K70" s="1350" t="s">
        <v>839</v>
      </c>
      <c r="L70" s="1095" t="str">
        <f>A4_Chem_Prices!C$9</f>
        <v>pt</v>
      </c>
      <c r="M70" s="1092">
        <f>A4_Chem_Prices!D$9</f>
        <v>5.75</v>
      </c>
      <c r="N70" s="1094">
        <v>1.3</v>
      </c>
      <c r="O70" s="82">
        <f t="shared" si="16"/>
        <v>7.4750000000000005</v>
      </c>
      <c r="P70" s="160">
        <f>N70*16</f>
        <v>20.8</v>
      </c>
      <c r="Q70" s="1071">
        <f t="shared" ref="Q70:Q81" si="18">Q69</f>
        <v>0</v>
      </c>
    </row>
    <row r="71" spans="9:17" ht="13.9" x14ac:dyDescent="0.4">
      <c r="I71" s="1073">
        <f t="shared" si="17"/>
        <v>0</v>
      </c>
      <c r="J71" s="1092" t="str">
        <f>A4_Chem_Prices!B$6</f>
        <v>Halex GT</v>
      </c>
      <c r="K71" s="1350" t="s">
        <v>839</v>
      </c>
      <c r="L71" s="1095" t="str">
        <f>A4_Chem_Prices!C$6</f>
        <v>pt</v>
      </c>
      <c r="M71" s="1092">
        <f>A4_Chem_Prices!D$6</f>
        <v>6.8937499999999998</v>
      </c>
      <c r="N71" s="1094">
        <v>3.6</v>
      </c>
      <c r="O71" s="82">
        <f t="shared" si="16"/>
        <v>24.817499999999999</v>
      </c>
      <c r="P71" s="160">
        <f>N71*32</f>
        <v>115.2</v>
      </c>
      <c r="Q71" s="1071">
        <f t="shared" si="18"/>
        <v>0</v>
      </c>
    </row>
    <row r="72" spans="9:17" ht="13.9" x14ac:dyDescent="0.4">
      <c r="I72" s="1073">
        <f t="shared" si="17"/>
        <v>0</v>
      </c>
      <c r="J72" s="1092" t="str">
        <f>A4_Chem_Prices!B$3</f>
        <v>Atrazine</v>
      </c>
      <c r="K72" s="1350" t="s">
        <v>839</v>
      </c>
      <c r="L72" s="1095" t="str">
        <f>A4_Chem_Prices!C$3</f>
        <v>qt</v>
      </c>
      <c r="M72" s="1092">
        <f>A4_Chem_Prices!D$3</f>
        <v>4.1124999999999998</v>
      </c>
      <c r="N72" s="1094">
        <v>2</v>
      </c>
      <c r="O72" s="82">
        <f t="shared" si="16"/>
        <v>8.2249999999999996</v>
      </c>
      <c r="P72" s="160"/>
      <c r="Q72" s="1071">
        <f t="shared" si="18"/>
        <v>0</v>
      </c>
    </row>
    <row r="73" spans="9:17" ht="13.9" x14ac:dyDescent="0.4">
      <c r="I73" s="1073">
        <f t="shared" si="17"/>
        <v>0</v>
      </c>
      <c r="J73" s="159" t="s">
        <v>19</v>
      </c>
      <c r="K73" s="1350" t="s">
        <v>839</v>
      </c>
      <c r="L73" s="160"/>
      <c r="M73" s="159">
        <v>0</v>
      </c>
      <c r="N73" s="157">
        <v>0</v>
      </c>
      <c r="O73" s="82">
        <f t="shared" si="16"/>
        <v>0</v>
      </c>
      <c r="P73" s="160"/>
      <c r="Q73" s="1071">
        <f t="shared" si="18"/>
        <v>0</v>
      </c>
    </row>
    <row r="74" spans="9:17" ht="13.9" x14ac:dyDescent="0.4">
      <c r="I74" s="1073">
        <f t="shared" si="17"/>
        <v>0</v>
      </c>
      <c r="J74" s="159" t="s">
        <v>19</v>
      </c>
      <c r="K74" s="1350" t="s">
        <v>839</v>
      </c>
      <c r="L74" s="160"/>
      <c r="M74" s="159">
        <v>0</v>
      </c>
      <c r="N74" s="157">
        <v>0</v>
      </c>
      <c r="O74" s="82">
        <f t="shared" si="16"/>
        <v>0</v>
      </c>
      <c r="P74" s="160"/>
      <c r="Q74" s="1071">
        <f t="shared" si="18"/>
        <v>0</v>
      </c>
    </row>
    <row r="75" spans="9:17" ht="13.9" x14ac:dyDescent="0.4">
      <c r="I75" s="1073">
        <f t="shared" si="17"/>
        <v>0</v>
      </c>
      <c r="J75" s="159" t="s">
        <v>19</v>
      </c>
      <c r="K75" s="1350" t="s">
        <v>839</v>
      </c>
      <c r="L75" s="160"/>
      <c r="M75" s="159">
        <v>0</v>
      </c>
      <c r="N75" s="157">
        <v>0</v>
      </c>
      <c r="O75" s="82">
        <f t="shared" si="16"/>
        <v>0</v>
      </c>
      <c r="P75" s="160"/>
      <c r="Q75" s="1071">
        <f t="shared" si="18"/>
        <v>0</v>
      </c>
    </row>
    <row r="76" spans="9:17" ht="13.9" x14ac:dyDescent="0.4">
      <c r="I76" s="1073">
        <f t="shared" si="17"/>
        <v>0</v>
      </c>
      <c r="J76" s="159" t="s">
        <v>19</v>
      </c>
      <c r="K76" s="1350" t="s">
        <v>839</v>
      </c>
      <c r="L76" s="160"/>
      <c r="M76" s="159">
        <v>0</v>
      </c>
      <c r="N76" s="157">
        <v>0</v>
      </c>
      <c r="O76" s="82">
        <f t="shared" si="16"/>
        <v>0</v>
      </c>
      <c r="P76" s="160"/>
      <c r="Q76" s="1071">
        <f t="shared" si="18"/>
        <v>0</v>
      </c>
    </row>
    <row r="77" spans="9:17" ht="13.9" x14ac:dyDescent="0.4">
      <c r="I77" s="1073">
        <f t="shared" si="17"/>
        <v>0</v>
      </c>
      <c r="J77" s="159" t="s">
        <v>19</v>
      </c>
      <c r="K77" s="1350" t="s">
        <v>839</v>
      </c>
      <c r="L77" s="160"/>
      <c r="M77" s="159">
        <v>0</v>
      </c>
      <c r="N77" s="157">
        <v>0</v>
      </c>
      <c r="O77" s="82">
        <f t="shared" si="16"/>
        <v>0</v>
      </c>
      <c r="P77" s="160"/>
      <c r="Q77" s="1071">
        <f t="shared" si="18"/>
        <v>0</v>
      </c>
    </row>
    <row r="78" spans="9:17" ht="13.9" x14ac:dyDescent="0.4">
      <c r="I78" s="1073">
        <f t="shared" si="17"/>
        <v>0</v>
      </c>
      <c r="J78" s="159" t="s">
        <v>19</v>
      </c>
      <c r="K78" s="1350" t="s">
        <v>839</v>
      </c>
      <c r="L78" s="160"/>
      <c r="M78" s="159">
        <v>0</v>
      </c>
      <c r="N78" s="157">
        <v>0</v>
      </c>
      <c r="O78" s="82">
        <f t="shared" si="16"/>
        <v>0</v>
      </c>
      <c r="P78" s="160"/>
      <c r="Q78" s="1071">
        <f t="shared" si="18"/>
        <v>0</v>
      </c>
    </row>
    <row r="79" spans="9:17" ht="13.9" x14ac:dyDescent="0.4">
      <c r="I79" s="1073">
        <f t="shared" si="17"/>
        <v>0</v>
      </c>
      <c r="J79" s="159" t="s">
        <v>19</v>
      </c>
      <c r="K79" s="1350" t="s">
        <v>839</v>
      </c>
      <c r="L79" s="160"/>
      <c r="M79" s="159">
        <v>0</v>
      </c>
      <c r="N79" s="157">
        <v>0</v>
      </c>
      <c r="O79" s="82">
        <f t="shared" si="16"/>
        <v>0</v>
      </c>
      <c r="P79" s="160"/>
      <c r="Q79" s="1071">
        <f t="shared" si="18"/>
        <v>0</v>
      </c>
    </row>
    <row r="80" spans="9:17" ht="13.9" x14ac:dyDescent="0.4">
      <c r="I80" s="1073">
        <f t="shared" si="17"/>
        <v>0</v>
      </c>
      <c r="J80" s="159" t="s">
        <v>19</v>
      </c>
      <c r="K80" s="1350" t="s">
        <v>839</v>
      </c>
      <c r="L80" s="160"/>
      <c r="M80" s="159">
        <v>0</v>
      </c>
      <c r="N80" s="157">
        <v>0</v>
      </c>
      <c r="O80" s="82">
        <f t="shared" si="16"/>
        <v>0</v>
      </c>
      <c r="P80" s="160"/>
      <c r="Q80" s="1071">
        <f t="shared" si="18"/>
        <v>0</v>
      </c>
    </row>
    <row r="81" spans="9:17" ht="13.9" x14ac:dyDescent="0.4">
      <c r="I81" s="1073">
        <f t="shared" si="17"/>
        <v>0</v>
      </c>
      <c r="J81" s="159" t="s">
        <v>19</v>
      </c>
      <c r="K81" s="1350" t="s">
        <v>839</v>
      </c>
      <c r="L81" s="160"/>
      <c r="M81" s="159">
        <v>0</v>
      </c>
      <c r="N81" s="157">
        <v>0</v>
      </c>
      <c r="O81" s="82">
        <f t="shared" si="16"/>
        <v>0</v>
      </c>
      <c r="P81" s="160"/>
      <c r="Q81" s="1071">
        <f t="shared" si="18"/>
        <v>0</v>
      </c>
    </row>
    <row r="82" spans="9:17" ht="13.9" x14ac:dyDescent="0.4">
      <c r="I82" s="1071"/>
      <c r="J82" s="86" t="s">
        <v>22</v>
      </c>
      <c r="K82" s="86"/>
      <c r="L82" s="86"/>
      <c r="M82" s="81"/>
      <c r="N82" s="87"/>
      <c r="O82" s="88">
        <f>SUM(O68:O81)</f>
        <v>53.767500000000005</v>
      </c>
      <c r="P82" s="86"/>
      <c r="Q82" s="1071"/>
    </row>
    <row r="83" spans="9:17" ht="13.9" x14ac:dyDescent="0.4">
      <c r="I83" s="1071"/>
      <c r="J83" s="83"/>
      <c r="K83" s="83"/>
      <c r="L83" s="83"/>
      <c r="M83" s="83"/>
      <c r="N83" s="84"/>
      <c r="O83" s="83"/>
      <c r="P83" s="83"/>
      <c r="Q83" s="1071"/>
    </row>
    <row r="84" spans="9:17" ht="13.9" x14ac:dyDescent="0.4">
      <c r="I84" s="1071"/>
      <c r="J84" s="78" t="s">
        <v>20</v>
      </c>
      <c r="K84" s="78"/>
      <c r="L84" s="78"/>
      <c r="M84" s="79"/>
      <c r="N84" s="85"/>
      <c r="O84" s="79"/>
      <c r="P84" s="78"/>
      <c r="Q84" s="1071"/>
    </row>
    <row r="85" spans="9:17" ht="13.9" x14ac:dyDescent="0.4">
      <c r="I85" s="1071"/>
      <c r="J85" s="80" t="s">
        <v>212</v>
      </c>
      <c r="K85" s="80" t="s">
        <v>838</v>
      </c>
      <c r="L85" s="80" t="s">
        <v>2</v>
      </c>
      <c r="M85" s="80" t="s">
        <v>21</v>
      </c>
      <c r="N85" s="80" t="s">
        <v>174</v>
      </c>
      <c r="O85" s="80" t="s">
        <v>14</v>
      </c>
      <c r="P85" s="80" t="s">
        <v>890</v>
      </c>
      <c r="Q85" s="1071"/>
    </row>
    <row r="86" spans="9:17" ht="13.9" x14ac:dyDescent="0.4">
      <c r="I86" s="1073">
        <f>IF($A$1=2,I81+1,0)</f>
        <v>0</v>
      </c>
      <c r="J86" s="159" t="s">
        <v>19</v>
      </c>
      <c r="K86" s="1350" t="s">
        <v>839</v>
      </c>
      <c r="L86" s="160"/>
      <c r="M86" s="159">
        <v>0</v>
      </c>
      <c r="N86" s="157">
        <v>0</v>
      </c>
      <c r="O86" s="82">
        <f t="shared" ref="O86:O95" si="19">M86*N86</f>
        <v>0</v>
      </c>
      <c r="P86" s="158"/>
      <c r="Q86" s="1071">
        <f>Q68</f>
        <v>0</v>
      </c>
    </row>
    <row r="87" spans="9:17" ht="13.9" x14ac:dyDescent="0.4">
      <c r="I87" s="1073">
        <f t="shared" ref="I87:I95" si="20">IF($A$1=2,I86+1,0)</f>
        <v>0</v>
      </c>
      <c r="J87" s="159" t="s">
        <v>19</v>
      </c>
      <c r="K87" s="1350" t="s">
        <v>839</v>
      </c>
      <c r="L87" s="160"/>
      <c r="M87" s="159">
        <v>0</v>
      </c>
      <c r="N87" s="157">
        <v>0</v>
      </c>
      <c r="O87" s="82">
        <f t="shared" si="19"/>
        <v>0</v>
      </c>
      <c r="P87" s="158"/>
      <c r="Q87" s="1071">
        <f>Q86</f>
        <v>0</v>
      </c>
    </row>
    <row r="88" spans="9:17" ht="13.9" x14ac:dyDescent="0.4">
      <c r="I88" s="1073">
        <f t="shared" si="20"/>
        <v>0</v>
      </c>
      <c r="J88" s="159" t="s">
        <v>19</v>
      </c>
      <c r="K88" s="1350" t="s">
        <v>839</v>
      </c>
      <c r="L88" s="160"/>
      <c r="M88" s="159">
        <v>0</v>
      </c>
      <c r="N88" s="157">
        <v>0</v>
      </c>
      <c r="O88" s="82">
        <f t="shared" si="19"/>
        <v>0</v>
      </c>
      <c r="P88" s="158"/>
      <c r="Q88" s="1071">
        <f t="shared" ref="Q88:Q95" si="21">Q87</f>
        <v>0</v>
      </c>
    </row>
    <row r="89" spans="9:17" ht="13.9" x14ac:dyDescent="0.4">
      <c r="I89" s="1073">
        <f t="shared" si="20"/>
        <v>0</v>
      </c>
      <c r="J89" s="159" t="s">
        <v>19</v>
      </c>
      <c r="K89" s="1350" t="s">
        <v>839</v>
      </c>
      <c r="L89" s="160"/>
      <c r="M89" s="159">
        <v>0</v>
      </c>
      <c r="N89" s="157">
        <v>0</v>
      </c>
      <c r="O89" s="82">
        <f t="shared" si="19"/>
        <v>0</v>
      </c>
      <c r="P89" s="158"/>
      <c r="Q89" s="1071">
        <f t="shared" si="21"/>
        <v>0</v>
      </c>
    </row>
    <row r="90" spans="9:17" ht="13.9" x14ac:dyDescent="0.4">
      <c r="I90" s="1073">
        <f t="shared" si="20"/>
        <v>0</v>
      </c>
      <c r="J90" s="159" t="s">
        <v>19</v>
      </c>
      <c r="K90" s="1350" t="s">
        <v>839</v>
      </c>
      <c r="L90" s="160"/>
      <c r="M90" s="159">
        <v>0</v>
      </c>
      <c r="N90" s="157">
        <v>0</v>
      </c>
      <c r="O90" s="82">
        <f t="shared" si="19"/>
        <v>0</v>
      </c>
      <c r="P90" s="158"/>
      <c r="Q90" s="1071">
        <f t="shared" si="21"/>
        <v>0</v>
      </c>
    </row>
    <row r="91" spans="9:17" ht="13.9" x14ac:dyDescent="0.4">
      <c r="I91" s="1073">
        <f t="shared" si="20"/>
        <v>0</v>
      </c>
      <c r="J91" s="159" t="s">
        <v>19</v>
      </c>
      <c r="K91" s="1350" t="s">
        <v>839</v>
      </c>
      <c r="L91" s="160"/>
      <c r="M91" s="159">
        <v>0</v>
      </c>
      <c r="N91" s="157">
        <v>0</v>
      </c>
      <c r="O91" s="82">
        <f t="shared" si="19"/>
        <v>0</v>
      </c>
      <c r="P91" s="158"/>
      <c r="Q91" s="1071">
        <f t="shared" si="21"/>
        <v>0</v>
      </c>
    </row>
    <row r="92" spans="9:17" ht="13.9" x14ac:dyDescent="0.4">
      <c r="I92" s="1073">
        <f t="shared" si="20"/>
        <v>0</v>
      </c>
      <c r="J92" s="159" t="s">
        <v>19</v>
      </c>
      <c r="K92" s="1350" t="s">
        <v>839</v>
      </c>
      <c r="L92" s="160"/>
      <c r="M92" s="159">
        <v>0</v>
      </c>
      <c r="N92" s="157">
        <v>0</v>
      </c>
      <c r="O92" s="82">
        <f t="shared" si="19"/>
        <v>0</v>
      </c>
      <c r="P92" s="158"/>
      <c r="Q92" s="1071">
        <f t="shared" si="21"/>
        <v>0</v>
      </c>
    </row>
    <row r="93" spans="9:17" ht="13.9" x14ac:dyDescent="0.4">
      <c r="I93" s="1073">
        <f t="shared" si="20"/>
        <v>0</v>
      </c>
      <c r="J93" s="159" t="s">
        <v>19</v>
      </c>
      <c r="K93" s="1350" t="s">
        <v>839</v>
      </c>
      <c r="L93" s="160"/>
      <c r="M93" s="159">
        <v>0</v>
      </c>
      <c r="N93" s="157">
        <v>0</v>
      </c>
      <c r="O93" s="82">
        <f t="shared" si="19"/>
        <v>0</v>
      </c>
      <c r="P93" s="158"/>
      <c r="Q93" s="1071">
        <f t="shared" si="21"/>
        <v>0</v>
      </c>
    </row>
    <row r="94" spans="9:17" ht="13.9" x14ac:dyDescent="0.4">
      <c r="I94" s="1073">
        <f t="shared" si="20"/>
        <v>0</v>
      </c>
      <c r="J94" s="159" t="s">
        <v>19</v>
      </c>
      <c r="K94" s="1350" t="s">
        <v>839</v>
      </c>
      <c r="L94" s="160"/>
      <c r="M94" s="159">
        <v>0</v>
      </c>
      <c r="N94" s="157">
        <v>0</v>
      </c>
      <c r="O94" s="82">
        <f t="shared" si="19"/>
        <v>0</v>
      </c>
      <c r="P94" s="158"/>
      <c r="Q94" s="1071">
        <f t="shared" si="21"/>
        <v>0</v>
      </c>
    </row>
    <row r="95" spans="9:17" ht="13.9" x14ac:dyDescent="0.4">
      <c r="I95" s="1073">
        <f t="shared" si="20"/>
        <v>0</v>
      </c>
      <c r="J95" s="159" t="s">
        <v>19</v>
      </c>
      <c r="K95" s="1350" t="s">
        <v>839</v>
      </c>
      <c r="L95" s="160"/>
      <c r="M95" s="159">
        <v>0</v>
      </c>
      <c r="N95" s="157">
        <v>0</v>
      </c>
      <c r="O95" s="82">
        <f t="shared" si="19"/>
        <v>0</v>
      </c>
      <c r="P95" s="158"/>
      <c r="Q95" s="1071">
        <f t="shared" si="21"/>
        <v>0</v>
      </c>
    </row>
    <row r="96" spans="9:17" ht="13.9" x14ac:dyDescent="0.4">
      <c r="I96" s="1071"/>
      <c r="J96" s="86" t="s">
        <v>22</v>
      </c>
      <c r="K96" s="86"/>
      <c r="L96" s="86"/>
      <c r="M96" s="81"/>
      <c r="N96" s="87"/>
      <c r="O96" s="88">
        <f>SUM(O86:O95)</f>
        <v>0</v>
      </c>
      <c r="P96" s="86"/>
      <c r="Q96" s="1071"/>
    </row>
    <row r="98" spans="9:17" ht="13.9" x14ac:dyDescent="0.4">
      <c r="I98" s="1071"/>
      <c r="J98" s="78" t="str">
        <f>IF(OR(A2_Budget_Look_Up!$B$7=1,A2_Budget_Look_Up!$B$13=1),"Nematicide Detail", "Fungicide Detail")</f>
        <v>Fungicide Detail</v>
      </c>
      <c r="K98" s="78"/>
      <c r="L98" s="78"/>
      <c r="M98" s="79"/>
      <c r="N98" s="85"/>
      <c r="O98" s="79"/>
      <c r="P98" s="78"/>
      <c r="Q98" s="1071"/>
    </row>
    <row r="99" spans="9:17" ht="13.9" x14ac:dyDescent="0.4">
      <c r="I99" s="1071"/>
      <c r="J99" s="80" t="s">
        <v>212</v>
      </c>
      <c r="K99" s="80" t="s">
        <v>838</v>
      </c>
      <c r="L99" s="80" t="s">
        <v>2</v>
      </c>
      <c r="M99" s="80" t="s">
        <v>21</v>
      </c>
      <c r="N99" s="80" t="s">
        <v>174</v>
      </c>
      <c r="O99" s="80" t="s">
        <v>14</v>
      </c>
      <c r="P99" s="80" t="s">
        <v>890</v>
      </c>
      <c r="Q99" s="1071"/>
    </row>
    <row r="100" spans="9:17" ht="13.9" x14ac:dyDescent="0.4">
      <c r="I100" s="1073">
        <f>IF($A$1=2,I95+1,0)</f>
        <v>0</v>
      </c>
      <c r="J100" s="156" t="s">
        <v>19</v>
      </c>
      <c r="K100" s="1350" t="s">
        <v>839</v>
      </c>
      <c r="L100" s="158"/>
      <c r="M100" s="159">
        <v>0</v>
      </c>
      <c r="N100" s="157">
        <v>0</v>
      </c>
      <c r="O100" s="82">
        <f>M100*N100</f>
        <v>0</v>
      </c>
      <c r="P100" s="158"/>
      <c r="Q100" s="1071">
        <f>Q95</f>
        <v>0</v>
      </c>
    </row>
    <row r="101" spans="9:17" ht="13.9" x14ac:dyDescent="0.4">
      <c r="I101" s="1073">
        <f>IF($A$1=2,I100+1,0)</f>
        <v>0</v>
      </c>
      <c r="J101" s="156" t="s">
        <v>19</v>
      </c>
      <c r="K101" s="1350" t="s">
        <v>839</v>
      </c>
      <c r="L101" s="158"/>
      <c r="M101" s="159">
        <v>0</v>
      </c>
      <c r="N101" s="157">
        <v>0</v>
      </c>
      <c r="O101" s="82">
        <f>M101*N101</f>
        <v>0</v>
      </c>
      <c r="P101" s="158"/>
      <c r="Q101" s="1071">
        <f>Q100</f>
        <v>0</v>
      </c>
    </row>
    <row r="102" spans="9:17" ht="13.9" x14ac:dyDescent="0.4">
      <c r="I102" s="1071"/>
      <c r="J102" s="86" t="s">
        <v>22</v>
      </c>
      <c r="K102" s="86"/>
      <c r="L102" s="86"/>
      <c r="M102" s="81"/>
      <c r="N102" s="87"/>
      <c r="O102" s="88">
        <f>SUM(O100:O101)</f>
        <v>0</v>
      </c>
      <c r="P102" s="86"/>
      <c r="Q102" s="1071"/>
    </row>
    <row r="103" spans="9:17" ht="13.9" x14ac:dyDescent="0.4">
      <c r="I103" s="1071"/>
      <c r="J103" s="83"/>
      <c r="K103" s="83"/>
      <c r="L103" s="83"/>
      <c r="M103" s="83"/>
      <c r="N103" s="84"/>
      <c r="O103" s="83"/>
      <c r="P103" s="83"/>
      <c r="Q103" s="1071"/>
    </row>
    <row r="104" spans="9:17" ht="13.9" x14ac:dyDescent="0.4">
      <c r="I104" s="1071"/>
      <c r="J104" s="78" t="str">
        <f>IF(A2_Budget_Look_Up!$B$7=1,"Growth Regulator Detail", IF(A2_Budget_Look_Up!$B$13=1,"Fungicide Detail","Other Chemical Detail"))</f>
        <v>Other Chemical Detail</v>
      </c>
      <c r="K104" s="78"/>
      <c r="L104" s="78"/>
      <c r="M104" s="79"/>
      <c r="N104" s="85"/>
      <c r="O104" s="79"/>
      <c r="P104" s="78"/>
      <c r="Q104" s="1071"/>
    </row>
    <row r="105" spans="9:17" ht="13.9" x14ac:dyDescent="0.4">
      <c r="I105" s="1071"/>
      <c r="J105" s="80" t="s">
        <v>212</v>
      </c>
      <c r="K105" s="80" t="s">
        <v>838</v>
      </c>
      <c r="L105" s="80" t="s">
        <v>2</v>
      </c>
      <c r="M105" s="80" t="s">
        <v>21</v>
      </c>
      <c r="N105" s="80" t="s">
        <v>174</v>
      </c>
      <c r="O105" s="80" t="s">
        <v>14</v>
      </c>
      <c r="P105" s="80" t="s">
        <v>890</v>
      </c>
      <c r="Q105" s="1071"/>
    </row>
    <row r="106" spans="9:17" ht="13.9" x14ac:dyDescent="0.4">
      <c r="I106" s="1073">
        <f>IF($A$1=2,I101+1,0)</f>
        <v>0</v>
      </c>
      <c r="J106" s="156" t="s">
        <v>19</v>
      </c>
      <c r="K106" s="1350" t="s">
        <v>839</v>
      </c>
      <c r="L106" s="158"/>
      <c r="M106" s="159">
        <v>0</v>
      </c>
      <c r="N106" s="157">
        <v>0</v>
      </c>
      <c r="O106" s="82">
        <f t="shared" ref="O106:O112" si="22">M106*N106</f>
        <v>0</v>
      </c>
      <c r="P106" s="158"/>
      <c r="Q106" s="1071">
        <f>Q101</f>
        <v>0</v>
      </c>
    </row>
    <row r="107" spans="9:17" ht="13.9" x14ac:dyDescent="0.4">
      <c r="I107" s="1073">
        <f t="shared" ref="I107:I112" si="23">IF($A$1=2,I106+1,0)</f>
        <v>0</v>
      </c>
      <c r="J107" s="156" t="s">
        <v>19</v>
      </c>
      <c r="K107" s="1350" t="s">
        <v>839</v>
      </c>
      <c r="L107" s="158"/>
      <c r="M107" s="159">
        <v>0</v>
      </c>
      <c r="N107" s="157">
        <v>0</v>
      </c>
      <c r="O107" s="82">
        <f t="shared" si="22"/>
        <v>0</v>
      </c>
      <c r="P107" s="158"/>
      <c r="Q107" s="1071">
        <f t="shared" ref="Q107:Q112" si="24">Q106</f>
        <v>0</v>
      </c>
    </row>
    <row r="108" spans="9:17" ht="13.9" x14ac:dyDescent="0.4">
      <c r="I108" s="1073">
        <f t="shared" si="23"/>
        <v>0</v>
      </c>
      <c r="J108" s="156" t="s">
        <v>19</v>
      </c>
      <c r="K108" s="1350" t="s">
        <v>839</v>
      </c>
      <c r="L108" s="158"/>
      <c r="M108" s="159">
        <v>0</v>
      </c>
      <c r="N108" s="157">
        <v>0</v>
      </c>
      <c r="O108" s="82">
        <f t="shared" si="22"/>
        <v>0</v>
      </c>
      <c r="P108" s="158"/>
      <c r="Q108" s="1071">
        <f t="shared" si="24"/>
        <v>0</v>
      </c>
    </row>
    <row r="109" spans="9:17" ht="13.9" x14ac:dyDescent="0.4">
      <c r="I109" s="1073">
        <f t="shared" si="23"/>
        <v>0</v>
      </c>
      <c r="J109" s="156" t="s">
        <v>19</v>
      </c>
      <c r="K109" s="1350" t="s">
        <v>839</v>
      </c>
      <c r="L109" s="158"/>
      <c r="M109" s="159">
        <v>0</v>
      </c>
      <c r="N109" s="157">
        <v>0</v>
      </c>
      <c r="O109" s="82">
        <f t="shared" si="22"/>
        <v>0</v>
      </c>
      <c r="P109" s="158"/>
      <c r="Q109" s="1071">
        <f t="shared" si="24"/>
        <v>0</v>
      </c>
    </row>
    <row r="110" spans="9:17" ht="13.9" x14ac:dyDescent="0.4">
      <c r="I110" s="1073">
        <f t="shared" si="23"/>
        <v>0</v>
      </c>
      <c r="J110" s="156" t="s">
        <v>19</v>
      </c>
      <c r="K110" s="1350" t="s">
        <v>839</v>
      </c>
      <c r="L110" s="158"/>
      <c r="M110" s="159">
        <v>0</v>
      </c>
      <c r="N110" s="157">
        <v>0</v>
      </c>
      <c r="O110" s="82">
        <f t="shared" si="22"/>
        <v>0</v>
      </c>
      <c r="P110" s="158"/>
      <c r="Q110" s="1071">
        <f t="shared" si="24"/>
        <v>0</v>
      </c>
    </row>
    <row r="111" spans="9:17" ht="13.9" x14ac:dyDescent="0.4">
      <c r="I111" s="1073">
        <f t="shared" si="23"/>
        <v>0</v>
      </c>
      <c r="J111" s="156" t="s">
        <v>19</v>
      </c>
      <c r="K111" s="1350" t="s">
        <v>839</v>
      </c>
      <c r="L111" s="158"/>
      <c r="M111" s="159">
        <v>0</v>
      </c>
      <c r="N111" s="157">
        <v>0</v>
      </c>
      <c r="O111" s="82">
        <f t="shared" si="22"/>
        <v>0</v>
      </c>
      <c r="P111" s="158"/>
      <c r="Q111" s="1071">
        <f t="shared" si="24"/>
        <v>0</v>
      </c>
    </row>
    <row r="112" spans="9:17" ht="13.9" x14ac:dyDescent="0.4">
      <c r="I112" s="1073">
        <f t="shared" si="23"/>
        <v>0</v>
      </c>
      <c r="J112" s="156" t="s">
        <v>19</v>
      </c>
      <c r="K112" s="1350" t="s">
        <v>839</v>
      </c>
      <c r="L112" s="158"/>
      <c r="M112" s="159">
        <v>0</v>
      </c>
      <c r="N112" s="157">
        <v>0</v>
      </c>
      <c r="O112" s="82">
        <f t="shared" si="22"/>
        <v>0</v>
      </c>
      <c r="P112" s="158"/>
      <c r="Q112" s="1071">
        <f t="shared" si="24"/>
        <v>0</v>
      </c>
    </row>
    <row r="113" spans="9:17" ht="13.9" x14ac:dyDescent="0.4">
      <c r="I113" s="1071"/>
      <c r="J113" s="86" t="s">
        <v>22</v>
      </c>
      <c r="K113" s="86"/>
      <c r="L113" s="86"/>
      <c r="M113" s="81"/>
      <c r="N113" s="87"/>
      <c r="O113" s="88">
        <f>SUM(O106:O112)</f>
        <v>0</v>
      </c>
      <c r="P113" s="86"/>
      <c r="Q113" s="1071"/>
    </row>
    <row r="114" spans="9:17" ht="13.9" x14ac:dyDescent="0.4">
      <c r="I114" s="1071"/>
      <c r="J114" s="83"/>
      <c r="K114" s="83"/>
      <c r="L114" s="83"/>
      <c r="M114" s="83"/>
      <c r="N114" s="84"/>
      <c r="O114" s="83"/>
      <c r="P114" s="83"/>
      <c r="Q114" s="1071"/>
    </row>
    <row r="115" spans="9:17" ht="13.9" x14ac:dyDescent="0.4">
      <c r="I115" s="1071"/>
      <c r="J115" s="78" t="str">
        <f>IF(A2_Budget_Look_Up!$B$7=1,"Defoliant Detail", "Other Chemical Detail")</f>
        <v>Other Chemical Detail</v>
      </c>
      <c r="K115" s="78"/>
      <c r="L115" s="78"/>
      <c r="M115" s="79"/>
      <c r="N115" s="85"/>
      <c r="O115" s="79"/>
      <c r="P115" s="78"/>
      <c r="Q115" s="1071"/>
    </row>
    <row r="116" spans="9:17" ht="13.9" x14ac:dyDescent="0.4">
      <c r="I116" s="1071"/>
      <c r="J116" s="80" t="s">
        <v>212</v>
      </c>
      <c r="K116" s="80" t="s">
        <v>838</v>
      </c>
      <c r="L116" s="80" t="s">
        <v>2</v>
      </c>
      <c r="M116" s="80" t="s">
        <v>21</v>
      </c>
      <c r="N116" s="80" t="s">
        <v>174</v>
      </c>
      <c r="O116" s="80" t="s">
        <v>14</v>
      </c>
      <c r="P116" s="80" t="s">
        <v>890</v>
      </c>
      <c r="Q116" s="1071"/>
    </row>
    <row r="117" spans="9:17" ht="13.9" x14ac:dyDescent="0.4">
      <c r="I117" s="1073">
        <f>IF($A$1=2,I112+1,0)</f>
        <v>0</v>
      </c>
      <c r="J117" s="156" t="s">
        <v>19</v>
      </c>
      <c r="K117" s="1350" t="s">
        <v>839</v>
      </c>
      <c r="L117" s="158"/>
      <c r="M117" s="159">
        <v>0</v>
      </c>
      <c r="N117" s="157">
        <v>0</v>
      </c>
      <c r="O117" s="82">
        <f t="shared" ref="O117:O123" si="25">M117*N117</f>
        <v>0</v>
      </c>
      <c r="P117" s="158"/>
      <c r="Q117" s="1071">
        <f>Q112</f>
        <v>0</v>
      </c>
    </row>
    <row r="118" spans="9:17" ht="13.9" x14ac:dyDescent="0.4">
      <c r="I118" s="1073">
        <f t="shared" ref="I118:I123" si="26">IF($A$1=2,I117+1,0)</f>
        <v>0</v>
      </c>
      <c r="J118" s="156" t="s">
        <v>19</v>
      </c>
      <c r="K118" s="1350" t="s">
        <v>839</v>
      </c>
      <c r="L118" s="158"/>
      <c r="M118" s="159">
        <v>0</v>
      </c>
      <c r="N118" s="157">
        <v>0</v>
      </c>
      <c r="O118" s="82">
        <f t="shared" si="25"/>
        <v>0</v>
      </c>
      <c r="P118" s="158"/>
      <c r="Q118" s="1071">
        <f t="shared" ref="Q118:Q123" si="27">Q117</f>
        <v>0</v>
      </c>
    </row>
    <row r="119" spans="9:17" ht="13.9" x14ac:dyDescent="0.4">
      <c r="I119" s="1073">
        <f t="shared" si="26"/>
        <v>0</v>
      </c>
      <c r="J119" s="156" t="s">
        <v>19</v>
      </c>
      <c r="K119" s="1350" t="s">
        <v>839</v>
      </c>
      <c r="L119" s="158"/>
      <c r="M119" s="159">
        <v>0</v>
      </c>
      <c r="N119" s="157">
        <v>0</v>
      </c>
      <c r="O119" s="82">
        <f t="shared" si="25"/>
        <v>0</v>
      </c>
      <c r="P119" s="158"/>
      <c r="Q119" s="1071">
        <f t="shared" si="27"/>
        <v>0</v>
      </c>
    </row>
    <row r="120" spans="9:17" ht="13.9" x14ac:dyDescent="0.4">
      <c r="I120" s="1073">
        <f t="shared" si="26"/>
        <v>0</v>
      </c>
      <c r="J120" s="156" t="s">
        <v>19</v>
      </c>
      <c r="K120" s="1350" t="s">
        <v>839</v>
      </c>
      <c r="L120" s="158"/>
      <c r="M120" s="159">
        <v>0</v>
      </c>
      <c r="N120" s="157">
        <v>0</v>
      </c>
      <c r="O120" s="82">
        <f t="shared" si="25"/>
        <v>0</v>
      </c>
      <c r="P120" s="158"/>
      <c r="Q120" s="1071">
        <f t="shared" si="27"/>
        <v>0</v>
      </c>
    </row>
    <row r="121" spans="9:17" ht="13.9" x14ac:dyDescent="0.4">
      <c r="I121" s="1073">
        <f t="shared" si="26"/>
        <v>0</v>
      </c>
      <c r="J121" s="156" t="s">
        <v>19</v>
      </c>
      <c r="K121" s="1350" t="s">
        <v>839</v>
      </c>
      <c r="L121" s="158"/>
      <c r="M121" s="159">
        <v>0</v>
      </c>
      <c r="N121" s="157">
        <v>0</v>
      </c>
      <c r="O121" s="82">
        <f t="shared" si="25"/>
        <v>0</v>
      </c>
      <c r="P121" s="158"/>
      <c r="Q121" s="1071">
        <f t="shared" si="27"/>
        <v>0</v>
      </c>
    </row>
    <row r="122" spans="9:17" ht="13.9" x14ac:dyDescent="0.4">
      <c r="I122" s="1073">
        <f t="shared" si="26"/>
        <v>0</v>
      </c>
      <c r="J122" s="156" t="s">
        <v>19</v>
      </c>
      <c r="K122" s="1350" t="s">
        <v>839</v>
      </c>
      <c r="L122" s="158"/>
      <c r="M122" s="159">
        <v>0</v>
      </c>
      <c r="N122" s="157">
        <v>0</v>
      </c>
      <c r="O122" s="82">
        <f t="shared" si="25"/>
        <v>0</v>
      </c>
      <c r="P122" s="158"/>
      <c r="Q122" s="1071">
        <f t="shared" si="27"/>
        <v>0</v>
      </c>
    </row>
    <row r="123" spans="9:17" ht="13.9" x14ac:dyDescent="0.4">
      <c r="I123" s="1073">
        <f t="shared" si="26"/>
        <v>0</v>
      </c>
      <c r="J123" s="156" t="s">
        <v>19</v>
      </c>
      <c r="K123" s="1350" t="s">
        <v>839</v>
      </c>
      <c r="L123" s="158"/>
      <c r="M123" s="159">
        <v>0</v>
      </c>
      <c r="N123" s="157">
        <v>0</v>
      </c>
      <c r="O123" s="82">
        <f t="shared" si="25"/>
        <v>0</v>
      </c>
      <c r="P123" s="158"/>
      <c r="Q123" s="1071">
        <f t="shared" si="27"/>
        <v>0</v>
      </c>
    </row>
    <row r="124" spans="9:17" ht="13.9" x14ac:dyDescent="0.4">
      <c r="I124" s="1071"/>
      <c r="J124" s="86" t="s">
        <v>22</v>
      </c>
      <c r="K124" s="86"/>
      <c r="L124" s="86"/>
      <c r="M124" s="81"/>
      <c r="N124" s="87"/>
      <c r="O124" s="88">
        <f>SUM(O117:O123)</f>
        <v>0</v>
      </c>
      <c r="P124" s="86"/>
      <c r="Q124" s="1071"/>
    </row>
    <row r="125" spans="9:17" ht="13.9" x14ac:dyDescent="0.4">
      <c r="I125" s="1071"/>
      <c r="J125" s="83"/>
      <c r="K125" s="83"/>
      <c r="L125" s="83"/>
      <c r="M125" s="89"/>
      <c r="N125" s="84"/>
      <c r="O125" s="89"/>
      <c r="P125" s="83"/>
      <c r="Q125" s="1071"/>
    </row>
    <row r="126" spans="9:17" ht="13.9" x14ac:dyDescent="0.4">
      <c r="I126" s="1071"/>
      <c r="J126" s="1168" t="str">
        <f>A2_Budget_Look_Up!H5</f>
        <v>Corn, No Irrigation</v>
      </c>
      <c r="K126" s="1168"/>
      <c r="L126" s="1168">
        <f>A2_Budget_Look_Up!F5</f>
        <v>3</v>
      </c>
      <c r="M126" s="1168"/>
      <c r="N126" s="1168"/>
      <c r="O126" s="1168"/>
      <c r="P126" s="1168"/>
      <c r="Q126" s="1071"/>
    </row>
    <row r="127" spans="9:17" ht="13.9" x14ac:dyDescent="0.4">
      <c r="I127" s="1071"/>
      <c r="J127" s="83"/>
      <c r="K127" s="83"/>
      <c r="L127" s="83"/>
      <c r="M127" s="83"/>
      <c r="N127" s="84"/>
      <c r="O127" s="83"/>
      <c r="P127" s="83"/>
      <c r="Q127" s="1071"/>
    </row>
    <row r="128" spans="9:17" ht="13.9" x14ac:dyDescent="0.4">
      <c r="I128" s="1071"/>
      <c r="J128" s="78" t="s">
        <v>18</v>
      </c>
      <c r="K128" s="78"/>
      <c r="L128" s="78"/>
      <c r="M128" s="79"/>
      <c r="N128" s="85"/>
      <c r="O128" s="79"/>
      <c r="P128" s="78"/>
      <c r="Q128" s="1071"/>
    </row>
    <row r="129" spans="9:17" ht="13.9" x14ac:dyDescent="0.4">
      <c r="I129" s="1071"/>
      <c r="J129" s="80" t="s">
        <v>212</v>
      </c>
      <c r="K129" s="80" t="s">
        <v>838</v>
      </c>
      <c r="L129" s="80" t="s">
        <v>2</v>
      </c>
      <c r="M129" s="80" t="s">
        <v>21</v>
      </c>
      <c r="N129" s="80" t="s">
        <v>174</v>
      </c>
      <c r="O129" s="80" t="s">
        <v>14</v>
      </c>
      <c r="P129" s="80" t="s">
        <v>890</v>
      </c>
      <c r="Q129" s="1071"/>
    </row>
    <row r="130" spans="9:17" ht="13.9" x14ac:dyDescent="0.4">
      <c r="I130" s="1073">
        <f>IF($A$1=3,1,0)</f>
        <v>0</v>
      </c>
      <c r="J130" s="1131" t="str">
        <f>A4_Chem_Prices!B$2</f>
        <v>Roundup Powermax 3</v>
      </c>
      <c r="K130" s="1350" t="s">
        <v>839</v>
      </c>
      <c r="L130" s="1093" t="str">
        <f>A4_Chem_Prices!C$2</f>
        <v>pt</v>
      </c>
      <c r="M130" s="1092">
        <f>A4_Chem_Prices!D$2</f>
        <v>2.25</v>
      </c>
      <c r="N130" s="1094">
        <v>2</v>
      </c>
      <c r="O130" s="82">
        <f t="shared" ref="O130:O143" si="28">M130*N130</f>
        <v>4.5</v>
      </c>
      <c r="P130" s="160">
        <f>N130*16</f>
        <v>32</v>
      </c>
      <c r="Q130" s="1171">
        <f>IF(SUM(I130:I185)=820,L126,0)</f>
        <v>0</v>
      </c>
    </row>
    <row r="131" spans="9:17" ht="13.9" x14ac:dyDescent="0.4">
      <c r="I131" s="1073">
        <f t="shared" ref="I131:I143" si="29">IF($A$1=3,I130+1,0)</f>
        <v>0</v>
      </c>
      <c r="J131" s="1092" t="str">
        <f>A4_Chem_Prices!B$7</f>
        <v>2,4-D</v>
      </c>
      <c r="K131" s="1350" t="s">
        <v>839</v>
      </c>
      <c r="L131" s="1095" t="str">
        <f>A4_Chem_Prices!C$7</f>
        <v>pt</v>
      </c>
      <c r="M131" s="1092">
        <f>A4_Chem_Prices!D$7</f>
        <v>4.375</v>
      </c>
      <c r="N131" s="1094">
        <v>2</v>
      </c>
      <c r="O131" s="82">
        <f t="shared" si="28"/>
        <v>8.75</v>
      </c>
      <c r="P131" s="160">
        <f>N131*16</f>
        <v>32</v>
      </c>
      <c r="Q131" s="1071">
        <f>Q130</f>
        <v>0</v>
      </c>
    </row>
    <row r="132" spans="9:17" ht="13.9" x14ac:dyDescent="0.4">
      <c r="I132" s="1073">
        <f t="shared" si="29"/>
        <v>0</v>
      </c>
      <c r="J132" s="1092" t="str">
        <f>A4_Chem_Prices!B$9</f>
        <v>Dual Magnum</v>
      </c>
      <c r="K132" s="1350" t="s">
        <v>839</v>
      </c>
      <c r="L132" s="1095" t="str">
        <f>A4_Chem_Prices!C$9</f>
        <v>pt</v>
      </c>
      <c r="M132" s="1092">
        <f>A4_Chem_Prices!D$9</f>
        <v>5.75</v>
      </c>
      <c r="N132" s="1094">
        <v>1.3</v>
      </c>
      <c r="O132" s="82">
        <f t="shared" si="28"/>
        <v>7.4750000000000005</v>
      </c>
      <c r="P132" s="160">
        <f>N132*16</f>
        <v>20.8</v>
      </c>
      <c r="Q132" s="1071">
        <f t="shared" ref="Q132:Q143" si="30">Q131</f>
        <v>0</v>
      </c>
    </row>
    <row r="133" spans="9:17" ht="13.9" x14ac:dyDescent="0.4">
      <c r="I133" s="1073">
        <f t="shared" si="29"/>
        <v>0</v>
      </c>
      <c r="J133" s="1092" t="str">
        <f>A4_Chem_Prices!B$6</f>
        <v>Halex GT</v>
      </c>
      <c r="K133" s="1350" t="s">
        <v>839</v>
      </c>
      <c r="L133" s="1095" t="str">
        <f>A4_Chem_Prices!C$6</f>
        <v>pt</v>
      </c>
      <c r="M133" s="1092">
        <f>A4_Chem_Prices!D$6</f>
        <v>6.8937499999999998</v>
      </c>
      <c r="N133" s="1094">
        <v>3.6</v>
      </c>
      <c r="O133" s="82">
        <f t="shared" si="28"/>
        <v>24.817499999999999</v>
      </c>
      <c r="P133" s="160">
        <f>N133*32</f>
        <v>115.2</v>
      </c>
      <c r="Q133" s="1071">
        <f t="shared" si="30"/>
        <v>0</v>
      </c>
    </row>
    <row r="134" spans="9:17" ht="13.9" x14ac:dyDescent="0.4">
      <c r="I134" s="1073">
        <f t="shared" si="29"/>
        <v>0</v>
      </c>
      <c r="J134" s="1092" t="str">
        <f>A4_Chem_Prices!B$3</f>
        <v>Atrazine</v>
      </c>
      <c r="K134" s="1350" t="s">
        <v>839</v>
      </c>
      <c r="L134" s="1095" t="str">
        <f>A4_Chem_Prices!C$3</f>
        <v>qt</v>
      </c>
      <c r="M134" s="1092">
        <f>A4_Chem_Prices!D$3</f>
        <v>4.1124999999999998</v>
      </c>
      <c r="N134" s="1094">
        <v>2</v>
      </c>
      <c r="O134" s="82">
        <f t="shared" si="28"/>
        <v>8.2249999999999996</v>
      </c>
      <c r="P134" s="160"/>
      <c r="Q134" s="1071">
        <f t="shared" si="30"/>
        <v>0</v>
      </c>
    </row>
    <row r="135" spans="9:17" ht="13.9" x14ac:dyDescent="0.4">
      <c r="I135" s="1073">
        <f t="shared" si="29"/>
        <v>0</v>
      </c>
      <c r="J135" s="159" t="s">
        <v>19</v>
      </c>
      <c r="K135" s="1350" t="s">
        <v>839</v>
      </c>
      <c r="L135" s="160"/>
      <c r="M135" s="159">
        <v>0</v>
      </c>
      <c r="N135" s="157">
        <v>0</v>
      </c>
      <c r="O135" s="82">
        <f t="shared" si="28"/>
        <v>0</v>
      </c>
      <c r="P135" s="160"/>
      <c r="Q135" s="1071">
        <f t="shared" si="30"/>
        <v>0</v>
      </c>
    </row>
    <row r="136" spans="9:17" ht="13.9" x14ac:dyDescent="0.4">
      <c r="I136" s="1073">
        <f t="shared" si="29"/>
        <v>0</v>
      </c>
      <c r="J136" s="159" t="s">
        <v>19</v>
      </c>
      <c r="K136" s="1350" t="s">
        <v>839</v>
      </c>
      <c r="L136" s="160"/>
      <c r="M136" s="159">
        <v>0</v>
      </c>
      <c r="N136" s="157">
        <v>0</v>
      </c>
      <c r="O136" s="82">
        <f t="shared" si="28"/>
        <v>0</v>
      </c>
      <c r="P136" s="160"/>
      <c r="Q136" s="1071">
        <f t="shared" si="30"/>
        <v>0</v>
      </c>
    </row>
    <row r="137" spans="9:17" ht="13.9" x14ac:dyDescent="0.4">
      <c r="I137" s="1073">
        <f t="shared" si="29"/>
        <v>0</v>
      </c>
      <c r="J137" s="159" t="s">
        <v>19</v>
      </c>
      <c r="K137" s="1350" t="s">
        <v>839</v>
      </c>
      <c r="L137" s="160"/>
      <c r="M137" s="159">
        <v>0</v>
      </c>
      <c r="N137" s="157">
        <v>0</v>
      </c>
      <c r="O137" s="82">
        <f t="shared" si="28"/>
        <v>0</v>
      </c>
      <c r="P137" s="160"/>
      <c r="Q137" s="1071">
        <f t="shared" si="30"/>
        <v>0</v>
      </c>
    </row>
    <row r="138" spans="9:17" ht="13.9" x14ac:dyDescent="0.4">
      <c r="I138" s="1073">
        <f t="shared" si="29"/>
        <v>0</v>
      </c>
      <c r="J138" s="159" t="s">
        <v>19</v>
      </c>
      <c r="K138" s="1350" t="s">
        <v>839</v>
      </c>
      <c r="L138" s="160"/>
      <c r="M138" s="159">
        <v>0</v>
      </c>
      <c r="N138" s="157">
        <v>0</v>
      </c>
      <c r="O138" s="82">
        <f t="shared" si="28"/>
        <v>0</v>
      </c>
      <c r="P138" s="160"/>
      <c r="Q138" s="1071">
        <f t="shared" si="30"/>
        <v>0</v>
      </c>
    </row>
    <row r="139" spans="9:17" ht="13.9" x14ac:dyDescent="0.4">
      <c r="I139" s="1073">
        <f t="shared" si="29"/>
        <v>0</v>
      </c>
      <c r="J139" s="159" t="s">
        <v>19</v>
      </c>
      <c r="K139" s="1350" t="s">
        <v>839</v>
      </c>
      <c r="L139" s="160"/>
      <c r="M139" s="159">
        <v>0</v>
      </c>
      <c r="N139" s="157">
        <v>0</v>
      </c>
      <c r="O139" s="82">
        <f t="shared" si="28"/>
        <v>0</v>
      </c>
      <c r="P139" s="160"/>
      <c r="Q139" s="1071">
        <f t="shared" si="30"/>
        <v>0</v>
      </c>
    </row>
    <row r="140" spans="9:17" ht="13.9" x14ac:dyDescent="0.4">
      <c r="I140" s="1073">
        <f t="shared" si="29"/>
        <v>0</v>
      </c>
      <c r="J140" s="159" t="s">
        <v>19</v>
      </c>
      <c r="K140" s="1350" t="s">
        <v>839</v>
      </c>
      <c r="L140" s="160"/>
      <c r="M140" s="159">
        <v>0</v>
      </c>
      <c r="N140" s="157">
        <v>0</v>
      </c>
      <c r="O140" s="82">
        <f t="shared" si="28"/>
        <v>0</v>
      </c>
      <c r="P140" s="160"/>
      <c r="Q140" s="1071">
        <f t="shared" si="30"/>
        <v>0</v>
      </c>
    </row>
    <row r="141" spans="9:17" ht="13.9" x14ac:dyDescent="0.4">
      <c r="I141" s="1073">
        <f t="shared" si="29"/>
        <v>0</v>
      </c>
      <c r="J141" s="159" t="s">
        <v>19</v>
      </c>
      <c r="K141" s="1350" t="s">
        <v>839</v>
      </c>
      <c r="L141" s="160"/>
      <c r="M141" s="159">
        <v>0</v>
      </c>
      <c r="N141" s="157">
        <v>0</v>
      </c>
      <c r="O141" s="82">
        <f t="shared" si="28"/>
        <v>0</v>
      </c>
      <c r="P141" s="160"/>
      <c r="Q141" s="1071">
        <f t="shared" si="30"/>
        <v>0</v>
      </c>
    </row>
    <row r="142" spans="9:17" ht="13.9" x14ac:dyDescent="0.4">
      <c r="I142" s="1073">
        <f t="shared" si="29"/>
        <v>0</v>
      </c>
      <c r="J142" s="159" t="s">
        <v>19</v>
      </c>
      <c r="K142" s="1350" t="s">
        <v>839</v>
      </c>
      <c r="L142" s="160"/>
      <c r="M142" s="159">
        <v>0</v>
      </c>
      <c r="N142" s="157">
        <v>0</v>
      </c>
      <c r="O142" s="82">
        <f t="shared" si="28"/>
        <v>0</v>
      </c>
      <c r="P142" s="160"/>
      <c r="Q142" s="1071">
        <f t="shared" si="30"/>
        <v>0</v>
      </c>
    </row>
    <row r="143" spans="9:17" ht="13.9" x14ac:dyDescent="0.4">
      <c r="I143" s="1073">
        <f t="shared" si="29"/>
        <v>0</v>
      </c>
      <c r="J143" s="159" t="s">
        <v>19</v>
      </c>
      <c r="K143" s="1350" t="s">
        <v>839</v>
      </c>
      <c r="L143" s="160"/>
      <c r="M143" s="159">
        <v>0</v>
      </c>
      <c r="N143" s="157">
        <v>0</v>
      </c>
      <c r="O143" s="82">
        <f t="shared" si="28"/>
        <v>0</v>
      </c>
      <c r="P143" s="160"/>
      <c r="Q143" s="1071">
        <f t="shared" si="30"/>
        <v>0</v>
      </c>
    </row>
    <row r="144" spans="9:17" ht="13.9" x14ac:dyDescent="0.4">
      <c r="I144" s="1071"/>
      <c r="J144" s="86" t="s">
        <v>22</v>
      </c>
      <c r="K144" s="86"/>
      <c r="L144" s="86"/>
      <c r="M144" s="81"/>
      <c r="N144" s="87"/>
      <c r="O144" s="88">
        <f>SUM(O130:O143)</f>
        <v>53.767500000000005</v>
      </c>
      <c r="P144" s="86"/>
      <c r="Q144" s="1071"/>
    </row>
    <row r="146" spans="9:17" ht="13.9" x14ac:dyDescent="0.4">
      <c r="I146" s="1071"/>
      <c r="J146" s="78" t="s">
        <v>20</v>
      </c>
      <c r="K146" s="78"/>
      <c r="L146" s="78"/>
      <c r="M146" s="79"/>
      <c r="N146" s="85"/>
      <c r="O146" s="79"/>
      <c r="P146" s="78"/>
      <c r="Q146" s="1071"/>
    </row>
    <row r="147" spans="9:17" ht="13.9" x14ac:dyDescent="0.4">
      <c r="I147" s="1071"/>
      <c r="J147" s="80" t="s">
        <v>212</v>
      </c>
      <c r="K147" s="80" t="s">
        <v>838</v>
      </c>
      <c r="L147" s="80" t="s">
        <v>2</v>
      </c>
      <c r="M147" s="80" t="s">
        <v>21</v>
      </c>
      <c r="N147" s="80" t="s">
        <v>174</v>
      </c>
      <c r="O147" s="80" t="s">
        <v>14</v>
      </c>
      <c r="P147" s="80" t="s">
        <v>890</v>
      </c>
      <c r="Q147" s="1071"/>
    </row>
    <row r="148" spans="9:17" ht="13.9" x14ac:dyDescent="0.4">
      <c r="I148" s="1073">
        <f>IF($A$1=3,I143+1,0)</f>
        <v>0</v>
      </c>
      <c r="J148" s="159" t="s">
        <v>19</v>
      </c>
      <c r="K148" s="1350" t="s">
        <v>839</v>
      </c>
      <c r="L148" s="160"/>
      <c r="M148" s="159">
        <v>0</v>
      </c>
      <c r="N148" s="157">
        <v>0</v>
      </c>
      <c r="O148" s="82">
        <f t="shared" ref="O148:O157" si="31">M148*N148</f>
        <v>0</v>
      </c>
      <c r="P148" s="158"/>
      <c r="Q148" s="1071">
        <f>Q130</f>
        <v>0</v>
      </c>
    </row>
    <row r="149" spans="9:17" ht="13.9" x14ac:dyDescent="0.4">
      <c r="I149" s="1073">
        <f t="shared" ref="I149:I157" si="32">IF($A$1=3,I148+1,0)</f>
        <v>0</v>
      </c>
      <c r="J149" s="159" t="s">
        <v>19</v>
      </c>
      <c r="K149" s="1350" t="s">
        <v>839</v>
      </c>
      <c r="L149" s="160"/>
      <c r="M149" s="159">
        <v>0</v>
      </c>
      <c r="N149" s="157">
        <v>0</v>
      </c>
      <c r="O149" s="82">
        <f t="shared" si="31"/>
        <v>0</v>
      </c>
      <c r="P149" s="158"/>
      <c r="Q149" s="1071">
        <f>Q148</f>
        <v>0</v>
      </c>
    </row>
    <row r="150" spans="9:17" ht="13.9" x14ac:dyDescent="0.4">
      <c r="I150" s="1073">
        <f t="shared" si="32"/>
        <v>0</v>
      </c>
      <c r="J150" s="159" t="s">
        <v>19</v>
      </c>
      <c r="K150" s="1350" t="s">
        <v>839</v>
      </c>
      <c r="L150" s="160"/>
      <c r="M150" s="159">
        <v>0</v>
      </c>
      <c r="N150" s="157">
        <v>0</v>
      </c>
      <c r="O150" s="82">
        <f t="shared" si="31"/>
        <v>0</v>
      </c>
      <c r="P150" s="158"/>
      <c r="Q150" s="1071">
        <f t="shared" ref="Q150:Q157" si="33">Q149</f>
        <v>0</v>
      </c>
    </row>
    <row r="151" spans="9:17" ht="13.9" x14ac:dyDescent="0.4">
      <c r="I151" s="1073">
        <f t="shared" si="32"/>
        <v>0</v>
      </c>
      <c r="J151" s="159" t="s">
        <v>19</v>
      </c>
      <c r="K151" s="1350" t="s">
        <v>839</v>
      </c>
      <c r="L151" s="160"/>
      <c r="M151" s="159">
        <v>0</v>
      </c>
      <c r="N151" s="157">
        <v>0</v>
      </c>
      <c r="O151" s="82">
        <f t="shared" si="31"/>
        <v>0</v>
      </c>
      <c r="P151" s="158"/>
      <c r="Q151" s="1071">
        <f t="shared" si="33"/>
        <v>0</v>
      </c>
    </row>
    <row r="152" spans="9:17" ht="13.9" x14ac:dyDescent="0.4">
      <c r="I152" s="1073">
        <f t="shared" si="32"/>
        <v>0</v>
      </c>
      <c r="J152" s="159" t="s">
        <v>19</v>
      </c>
      <c r="K152" s="1350" t="s">
        <v>839</v>
      </c>
      <c r="L152" s="160"/>
      <c r="M152" s="159">
        <v>0</v>
      </c>
      <c r="N152" s="157">
        <v>0</v>
      </c>
      <c r="O152" s="82">
        <f t="shared" si="31"/>
        <v>0</v>
      </c>
      <c r="P152" s="158"/>
      <c r="Q152" s="1071">
        <f t="shared" si="33"/>
        <v>0</v>
      </c>
    </row>
    <row r="153" spans="9:17" ht="13.9" x14ac:dyDescent="0.4">
      <c r="I153" s="1073">
        <f t="shared" si="32"/>
        <v>0</v>
      </c>
      <c r="J153" s="159" t="s">
        <v>19</v>
      </c>
      <c r="K153" s="1350" t="s">
        <v>839</v>
      </c>
      <c r="L153" s="160"/>
      <c r="M153" s="159">
        <v>0</v>
      </c>
      <c r="N153" s="157">
        <v>0</v>
      </c>
      <c r="O153" s="82">
        <f t="shared" si="31"/>
        <v>0</v>
      </c>
      <c r="P153" s="158"/>
      <c r="Q153" s="1071">
        <f t="shared" si="33"/>
        <v>0</v>
      </c>
    </row>
    <row r="154" spans="9:17" ht="13.9" x14ac:dyDescent="0.4">
      <c r="I154" s="1073">
        <f t="shared" si="32"/>
        <v>0</v>
      </c>
      <c r="J154" s="159" t="s">
        <v>19</v>
      </c>
      <c r="K154" s="1350" t="s">
        <v>839</v>
      </c>
      <c r="L154" s="160"/>
      <c r="M154" s="159">
        <v>0</v>
      </c>
      <c r="N154" s="157">
        <v>0</v>
      </c>
      <c r="O154" s="82">
        <f t="shared" si="31"/>
        <v>0</v>
      </c>
      <c r="P154" s="158"/>
      <c r="Q154" s="1071">
        <f t="shared" si="33"/>
        <v>0</v>
      </c>
    </row>
    <row r="155" spans="9:17" ht="13.9" x14ac:dyDescent="0.4">
      <c r="I155" s="1073">
        <f t="shared" si="32"/>
        <v>0</v>
      </c>
      <c r="J155" s="159" t="s">
        <v>19</v>
      </c>
      <c r="K155" s="1350" t="s">
        <v>839</v>
      </c>
      <c r="L155" s="160"/>
      <c r="M155" s="159">
        <v>0</v>
      </c>
      <c r="N155" s="157">
        <v>0</v>
      </c>
      <c r="O155" s="82">
        <f t="shared" si="31"/>
        <v>0</v>
      </c>
      <c r="P155" s="158"/>
      <c r="Q155" s="1071">
        <f t="shared" si="33"/>
        <v>0</v>
      </c>
    </row>
    <row r="156" spans="9:17" ht="13.9" x14ac:dyDescent="0.4">
      <c r="I156" s="1073">
        <f t="shared" si="32"/>
        <v>0</v>
      </c>
      <c r="J156" s="159" t="s">
        <v>19</v>
      </c>
      <c r="K156" s="1350" t="s">
        <v>839</v>
      </c>
      <c r="L156" s="160"/>
      <c r="M156" s="159">
        <v>0</v>
      </c>
      <c r="N156" s="157">
        <v>0</v>
      </c>
      <c r="O156" s="82">
        <f t="shared" si="31"/>
        <v>0</v>
      </c>
      <c r="P156" s="158"/>
      <c r="Q156" s="1071">
        <f t="shared" si="33"/>
        <v>0</v>
      </c>
    </row>
    <row r="157" spans="9:17" ht="13.9" x14ac:dyDescent="0.4">
      <c r="I157" s="1073">
        <f t="shared" si="32"/>
        <v>0</v>
      </c>
      <c r="J157" s="159" t="s">
        <v>19</v>
      </c>
      <c r="K157" s="1350" t="s">
        <v>839</v>
      </c>
      <c r="L157" s="160"/>
      <c r="M157" s="159">
        <v>0</v>
      </c>
      <c r="N157" s="157">
        <v>0</v>
      </c>
      <c r="O157" s="82">
        <f t="shared" si="31"/>
        <v>0</v>
      </c>
      <c r="P157" s="158"/>
      <c r="Q157" s="1071">
        <f t="shared" si="33"/>
        <v>0</v>
      </c>
    </row>
    <row r="158" spans="9:17" ht="13.9" x14ac:dyDescent="0.4">
      <c r="I158" s="1071"/>
      <c r="J158" s="86" t="s">
        <v>22</v>
      </c>
      <c r="K158" s="86"/>
      <c r="L158" s="86"/>
      <c r="M158" s="81"/>
      <c r="N158" s="87"/>
      <c r="O158" s="88">
        <f>SUM(O148:O157)</f>
        <v>0</v>
      </c>
      <c r="P158" s="86"/>
      <c r="Q158" s="1071"/>
    </row>
    <row r="159" spans="9:17" ht="13.9" x14ac:dyDescent="0.4">
      <c r="I159" s="1071"/>
      <c r="J159" s="83"/>
      <c r="K159" s="83"/>
      <c r="L159" s="83"/>
      <c r="M159" s="83"/>
      <c r="N159" s="84"/>
      <c r="O159" s="83"/>
      <c r="P159" s="83"/>
      <c r="Q159" s="1071"/>
    </row>
    <row r="160" spans="9:17" ht="13.9" x14ac:dyDescent="0.4">
      <c r="I160" s="1071"/>
      <c r="J160" s="78" t="str">
        <f>IF(OR(A2_Budget_Look_Up!$B$7=1,A2_Budget_Look_Up!$B$13=1),"Nematicide Detail", "Fungicide Detail")</f>
        <v>Fungicide Detail</v>
      </c>
      <c r="K160" s="78"/>
      <c r="L160" s="78"/>
      <c r="M160" s="79"/>
      <c r="N160" s="85"/>
      <c r="O160" s="79"/>
      <c r="P160" s="78"/>
      <c r="Q160" s="1071"/>
    </row>
    <row r="161" spans="9:17" ht="13.9" x14ac:dyDescent="0.4">
      <c r="I161" s="1071"/>
      <c r="J161" s="80" t="s">
        <v>212</v>
      </c>
      <c r="K161" s="80" t="s">
        <v>838</v>
      </c>
      <c r="L161" s="80" t="s">
        <v>2</v>
      </c>
      <c r="M161" s="80" t="s">
        <v>21</v>
      </c>
      <c r="N161" s="80" t="s">
        <v>174</v>
      </c>
      <c r="O161" s="80" t="s">
        <v>14</v>
      </c>
      <c r="P161" s="80" t="s">
        <v>890</v>
      </c>
      <c r="Q161" s="1071"/>
    </row>
    <row r="162" spans="9:17" ht="13.9" x14ac:dyDescent="0.4">
      <c r="I162" s="1073">
        <f>IF($A$1=3,I157+1,0)</f>
        <v>0</v>
      </c>
      <c r="J162" s="156" t="s">
        <v>19</v>
      </c>
      <c r="K162" s="1350" t="s">
        <v>839</v>
      </c>
      <c r="L162" s="158"/>
      <c r="M162" s="159">
        <v>0</v>
      </c>
      <c r="N162" s="157">
        <v>0</v>
      </c>
      <c r="O162" s="82">
        <f>M162*N162</f>
        <v>0</v>
      </c>
      <c r="P162" s="158"/>
      <c r="Q162" s="1071">
        <f>Q157</f>
        <v>0</v>
      </c>
    </row>
    <row r="163" spans="9:17" ht="13.9" x14ac:dyDescent="0.4">
      <c r="I163" s="1073">
        <f>IF($A$1=3,I162+1,0)</f>
        <v>0</v>
      </c>
      <c r="J163" s="156" t="s">
        <v>19</v>
      </c>
      <c r="K163" s="1350" t="s">
        <v>839</v>
      </c>
      <c r="L163" s="158"/>
      <c r="M163" s="159">
        <v>0</v>
      </c>
      <c r="N163" s="157">
        <v>0</v>
      </c>
      <c r="O163" s="82">
        <f>M163*N163</f>
        <v>0</v>
      </c>
      <c r="P163" s="158"/>
      <c r="Q163" s="1071">
        <f>Q162</f>
        <v>0</v>
      </c>
    </row>
    <row r="164" spans="9:17" ht="13.9" x14ac:dyDescent="0.4">
      <c r="I164" s="1071"/>
      <c r="J164" s="86" t="s">
        <v>22</v>
      </c>
      <c r="K164" s="86"/>
      <c r="L164" s="86"/>
      <c r="M164" s="81"/>
      <c r="N164" s="87"/>
      <c r="O164" s="88">
        <f>SUM(O162:O163)</f>
        <v>0</v>
      </c>
      <c r="P164" s="86"/>
      <c r="Q164" s="1071"/>
    </row>
    <row r="165" spans="9:17" ht="13.9" x14ac:dyDescent="0.4">
      <c r="I165" s="1071"/>
      <c r="J165" s="83"/>
      <c r="K165" s="83"/>
      <c r="L165" s="83"/>
      <c r="M165" s="83"/>
      <c r="N165" s="84"/>
      <c r="O165" s="83"/>
      <c r="P165" s="83"/>
      <c r="Q165" s="1071"/>
    </row>
    <row r="166" spans="9:17" ht="13.9" x14ac:dyDescent="0.4">
      <c r="I166" s="1071"/>
      <c r="J166" s="78" t="str">
        <f>IF(A2_Budget_Look_Up!$B$7=1,"Growth Regulator Detail", IF(A2_Budget_Look_Up!$B$13=1,"Fungicide Detail","Other Chemical Detail"))</f>
        <v>Other Chemical Detail</v>
      </c>
      <c r="K166" s="78"/>
      <c r="L166" s="78"/>
      <c r="M166" s="79"/>
      <c r="N166" s="85"/>
      <c r="O166" s="79"/>
      <c r="P166" s="78"/>
      <c r="Q166" s="1071"/>
    </row>
    <row r="167" spans="9:17" ht="13.9" x14ac:dyDescent="0.4">
      <c r="I167" s="1071"/>
      <c r="J167" s="80" t="s">
        <v>212</v>
      </c>
      <c r="K167" s="80" t="s">
        <v>838</v>
      </c>
      <c r="L167" s="80" t="s">
        <v>2</v>
      </c>
      <c r="M167" s="80" t="s">
        <v>21</v>
      </c>
      <c r="N167" s="80" t="s">
        <v>174</v>
      </c>
      <c r="O167" s="80" t="s">
        <v>14</v>
      </c>
      <c r="P167" s="80" t="s">
        <v>890</v>
      </c>
      <c r="Q167" s="1071"/>
    </row>
    <row r="168" spans="9:17" ht="13.9" x14ac:dyDescent="0.4">
      <c r="I168" s="1073">
        <f>IF($A$1=3,I163+1,0)</f>
        <v>0</v>
      </c>
      <c r="J168" s="156" t="s">
        <v>19</v>
      </c>
      <c r="K168" s="1350" t="s">
        <v>839</v>
      </c>
      <c r="L168" s="158"/>
      <c r="M168" s="159">
        <v>0</v>
      </c>
      <c r="N168" s="157">
        <v>0</v>
      </c>
      <c r="O168" s="82">
        <f t="shared" ref="O168:O174" si="34">M168*N168</f>
        <v>0</v>
      </c>
      <c r="P168" s="158"/>
      <c r="Q168" s="1071">
        <f>Q163</f>
        <v>0</v>
      </c>
    </row>
    <row r="169" spans="9:17" ht="13.9" x14ac:dyDescent="0.4">
      <c r="I169" s="1073">
        <f t="shared" ref="I169:I174" si="35">IF($A$1=3,I168+1,0)</f>
        <v>0</v>
      </c>
      <c r="J169" s="156" t="s">
        <v>19</v>
      </c>
      <c r="K169" s="1350" t="s">
        <v>839</v>
      </c>
      <c r="L169" s="158"/>
      <c r="M169" s="159">
        <v>0</v>
      </c>
      <c r="N169" s="157">
        <v>0</v>
      </c>
      <c r="O169" s="82">
        <f t="shared" si="34"/>
        <v>0</v>
      </c>
      <c r="P169" s="158"/>
      <c r="Q169" s="1071">
        <f t="shared" ref="Q169:Q174" si="36">Q168</f>
        <v>0</v>
      </c>
    </row>
    <row r="170" spans="9:17" ht="13.9" x14ac:dyDescent="0.4">
      <c r="I170" s="1073">
        <f t="shared" si="35"/>
        <v>0</v>
      </c>
      <c r="J170" s="156" t="s">
        <v>19</v>
      </c>
      <c r="K170" s="1350" t="s">
        <v>839</v>
      </c>
      <c r="L170" s="158"/>
      <c r="M170" s="159">
        <v>0</v>
      </c>
      <c r="N170" s="157">
        <v>0</v>
      </c>
      <c r="O170" s="82">
        <f t="shared" si="34"/>
        <v>0</v>
      </c>
      <c r="P170" s="158"/>
      <c r="Q170" s="1071">
        <f t="shared" si="36"/>
        <v>0</v>
      </c>
    </row>
    <row r="171" spans="9:17" ht="13.9" x14ac:dyDescent="0.4">
      <c r="I171" s="1073">
        <f t="shared" si="35"/>
        <v>0</v>
      </c>
      <c r="J171" s="156" t="s">
        <v>19</v>
      </c>
      <c r="K171" s="1350" t="s">
        <v>839</v>
      </c>
      <c r="L171" s="158"/>
      <c r="M171" s="159">
        <v>0</v>
      </c>
      <c r="N171" s="157">
        <v>0</v>
      </c>
      <c r="O171" s="82">
        <f t="shared" si="34"/>
        <v>0</v>
      </c>
      <c r="P171" s="158"/>
      <c r="Q171" s="1071">
        <f t="shared" si="36"/>
        <v>0</v>
      </c>
    </row>
    <row r="172" spans="9:17" ht="13.9" x14ac:dyDescent="0.4">
      <c r="I172" s="1073">
        <f t="shared" si="35"/>
        <v>0</v>
      </c>
      <c r="J172" s="156" t="s">
        <v>19</v>
      </c>
      <c r="K172" s="1350" t="s">
        <v>839</v>
      </c>
      <c r="L172" s="158"/>
      <c r="M172" s="159">
        <v>0</v>
      </c>
      <c r="N172" s="157">
        <v>0</v>
      </c>
      <c r="O172" s="82">
        <f t="shared" si="34"/>
        <v>0</v>
      </c>
      <c r="P172" s="158"/>
      <c r="Q172" s="1071">
        <f t="shared" si="36"/>
        <v>0</v>
      </c>
    </row>
    <row r="173" spans="9:17" ht="13.9" x14ac:dyDescent="0.4">
      <c r="I173" s="1073">
        <f t="shared" si="35"/>
        <v>0</v>
      </c>
      <c r="J173" s="156" t="s">
        <v>19</v>
      </c>
      <c r="K173" s="1350" t="s">
        <v>839</v>
      </c>
      <c r="L173" s="158"/>
      <c r="M173" s="159">
        <v>0</v>
      </c>
      <c r="N173" s="157">
        <v>0</v>
      </c>
      <c r="O173" s="82">
        <f t="shared" si="34"/>
        <v>0</v>
      </c>
      <c r="P173" s="158"/>
      <c r="Q173" s="1071">
        <f t="shared" si="36"/>
        <v>0</v>
      </c>
    </row>
    <row r="174" spans="9:17" ht="13.9" x14ac:dyDescent="0.4">
      <c r="I174" s="1073">
        <f t="shared" si="35"/>
        <v>0</v>
      </c>
      <c r="J174" s="156" t="s">
        <v>19</v>
      </c>
      <c r="K174" s="1350" t="s">
        <v>839</v>
      </c>
      <c r="L174" s="158"/>
      <c r="M174" s="159">
        <v>0</v>
      </c>
      <c r="N174" s="157">
        <v>0</v>
      </c>
      <c r="O174" s="82">
        <f t="shared" si="34"/>
        <v>0</v>
      </c>
      <c r="P174" s="158"/>
      <c r="Q174" s="1071">
        <f t="shared" si="36"/>
        <v>0</v>
      </c>
    </row>
    <row r="175" spans="9:17" ht="13.9" x14ac:dyDescent="0.4">
      <c r="I175" s="1071"/>
      <c r="J175" s="86" t="s">
        <v>22</v>
      </c>
      <c r="K175" s="86"/>
      <c r="L175" s="86"/>
      <c r="M175" s="81"/>
      <c r="N175" s="87"/>
      <c r="O175" s="88">
        <f>SUM(O168:O174)</f>
        <v>0</v>
      </c>
      <c r="P175" s="86"/>
      <c r="Q175" s="1071"/>
    </row>
    <row r="177" spans="9:17" ht="13.9" x14ac:dyDescent="0.4">
      <c r="I177" s="1071"/>
      <c r="J177" s="78" t="str">
        <f>IF(A2_Budget_Look_Up!$B$7=1,"Defoliant Detail", "Other Chemical Detail")</f>
        <v>Other Chemical Detail</v>
      </c>
      <c r="K177" s="78"/>
      <c r="L177" s="78"/>
      <c r="M177" s="79"/>
      <c r="N177" s="85"/>
      <c r="O177" s="79"/>
      <c r="P177" s="78"/>
      <c r="Q177" s="1071"/>
    </row>
    <row r="178" spans="9:17" ht="13.9" x14ac:dyDescent="0.4">
      <c r="I178" s="1071"/>
      <c r="J178" s="80" t="s">
        <v>212</v>
      </c>
      <c r="K178" s="80" t="s">
        <v>838</v>
      </c>
      <c r="L178" s="80" t="s">
        <v>2</v>
      </c>
      <c r="M178" s="80" t="s">
        <v>21</v>
      </c>
      <c r="N178" s="80" t="s">
        <v>174</v>
      </c>
      <c r="O178" s="80" t="s">
        <v>14</v>
      </c>
      <c r="P178" s="80" t="s">
        <v>890</v>
      </c>
      <c r="Q178" s="1071"/>
    </row>
    <row r="179" spans="9:17" ht="13.9" x14ac:dyDescent="0.4">
      <c r="I179" s="1073">
        <f>IF($A$1=3,I174+1,0)</f>
        <v>0</v>
      </c>
      <c r="J179" s="156" t="s">
        <v>19</v>
      </c>
      <c r="K179" s="1350" t="s">
        <v>839</v>
      </c>
      <c r="L179" s="158"/>
      <c r="M179" s="159">
        <v>0</v>
      </c>
      <c r="N179" s="157">
        <v>0</v>
      </c>
      <c r="O179" s="82">
        <f t="shared" ref="O179:O185" si="37">M179*N179</f>
        <v>0</v>
      </c>
      <c r="P179" s="158"/>
      <c r="Q179" s="1071">
        <f>Q174</f>
        <v>0</v>
      </c>
    </row>
    <row r="180" spans="9:17" ht="13.9" x14ac:dyDescent="0.4">
      <c r="I180" s="1073">
        <f t="shared" ref="I180:I185" si="38">IF($A$1=3,I179+1,0)</f>
        <v>0</v>
      </c>
      <c r="J180" s="156" t="s">
        <v>19</v>
      </c>
      <c r="K180" s="1350" t="s">
        <v>839</v>
      </c>
      <c r="L180" s="158"/>
      <c r="M180" s="159">
        <v>0</v>
      </c>
      <c r="N180" s="157">
        <v>0</v>
      </c>
      <c r="O180" s="82">
        <f t="shared" si="37"/>
        <v>0</v>
      </c>
      <c r="P180" s="158"/>
      <c r="Q180" s="1071">
        <f t="shared" ref="Q180:Q185" si="39">Q179</f>
        <v>0</v>
      </c>
    </row>
    <row r="181" spans="9:17" ht="13.9" x14ac:dyDescent="0.4">
      <c r="I181" s="1073">
        <f t="shared" si="38"/>
        <v>0</v>
      </c>
      <c r="J181" s="156" t="s">
        <v>19</v>
      </c>
      <c r="K181" s="1350" t="s">
        <v>839</v>
      </c>
      <c r="L181" s="158"/>
      <c r="M181" s="159">
        <v>0</v>
      </c>
      <c r="N181" s="157">
        <v>0</v>
      </c>
      <c r="O181" s="82">
        <f t="shared" si="37"/>
        <v>0</v>
      </c>
      <c r="P181" s="158"/>
      <c r="Q181" s="1071">
        <f t="shared" si="39"/>
        <v>0</v>
      </c>
    </row>
    <row r="182" spans="9:17" ht="13.9" x14ac:dyDescent="0.4">
      <c r="I182" s="1073">
        <f t="shared" si="38"/>
        <v>0</v>
      </c>
      <c r="J182" s="156" t="s">
        <v>19</v>
      </c>
      <c r="K182" s="1350" t="s">
        <v>839</v>
      </c>
      <c r="L182" s="158"/>
      <c r="M182" s="159">
        <v>0</v>
      </c>
      <c r="N182" s="157">
        <v>0</v>
      </c>
      <c r="O182" s="82">
        <f t="shared" si="37"/>
        <v>0</v>
      </c>
      <c r="P182" s="158"/>
      <c r="Q182" s="1071">
        <f t="shared" si="39"/>
        <v>0</v>
      </c>
    </row>
    <row r="183" spans="9:17" ht="13.9" x14ac:dyDescent="0.4">
      <c r="I183" s="1073">
        <f t="shared" si="38"/>
        <v>0</v>
      </c>
      <c r="J183" s="156" t="s">
        <v>19</v>
      </c>
      <c r="K183" s="1350" t="s">
        <v>839</v>
      </c>
      <c r="L183" s="158"/>
      <c r="M183" s="159">
        <v>0</v>
      </c>
      <c r="N183" s="157">
        <v>0</v>
      </c>
      <c r="O183" s="82">
        <f t="shared" si="37"/>
        <v>0</v>
      </c>
      <c r="P183" s="158"/>
      <c r="Q183" s="1071">
        <f t="shared" si="39"/>
        <v>0</v>
      </c>
    </row>
    <row r="184" spans="9:17" ht="13.9" x14ac:dyDescent="0.4">
      <c r="I184" s="1073">
        <f t="shared" si="38"/>
        <v>0</v>
      </c>
      <c r="J184" s="156" t="s">
        <v>19</v>
      </c>
      <c r="K184" s="1350" t="s">
        <v>839</v>
      </c>
      <c r="L184" s="158"/>
      <c r="M184" s="159">
        <v>0</v>
      </c>
      <c r="N184" s="157">
        <v>0</v>
      </c>
      <c r="O184" s="82">
        <f t="shared" si="37"/>
        <v>0</v>
      </c>
      <c r="P184" s="158"/>
      <c r="Q184" s="1071">
        <f t="shared" si="39"/>
        <v>0</v>
      </c>
    </row>
    <row r="185" spans="9:17" ht="13.9" x14ac:dyDescent="0.4">
      <c r="I185" s="1073">
        <f t="shared" si="38"/>
        <v>0</v>
      </c>
      <c r="J185" s="156" t="s">
        <v>19</v>
      </c>
      <c r="K185" s="1350" t="s">
        <v>839</v>
      </c>
      <c r="L185" s="158"/>
      <c r="M185" s="159">
        <v>0</v>
      </c>
      <c r="N185" s="157">
        <v>0</v>
      </c>
      <c r="O185" s="82">
        <f t="shared" si="37"/>
        <v>0</v>
      </c>
      <c r="P185" s="158"/>
      <c r="Q185" s="1071">
        <f t="shared" si="39"/>
        <v>0</v>
      </c>
    </row>
    <row r="186" spans="9:17" ht="13.9" x14ac:dyDescent="0.4">
      <c r="I186" s="1071"/>
      <c r="J186" s="86" t="s">
        <v>22</v>
      </c>
      <c r="K186" s="86"/>
      <c r="L186" s="86"/>
      <c r="M186" s="81"/>
      <c r="N186" s="87"/>
      <c r="O186" s="88">
        <f>SUM(O179:O185)</f>
        <v>0</v>
      </c>
      <c r="P186" s="86"/>
      <c r="Q186" s="1071"/>
    </row>
    <row r="187" spans="9:17" ht="13.9" x14ac:dyDescent="0.4">
      <c r="I187" s="1071"/>
      <c r="J187" s="83"/>
      <c r="K187" s="83"/>
      <c r="L187" s="83"/>
      <c r="M187" s="89"/>
      <c r="N187" s="84"/>
      <c r="O187" s="89"/>
      <c r="P187" s="83"/>
      <c r="Q187" s="1071"/>
    </row>
    <row r="188" spans="9:17" ht="13.9" x14ac:dyDescent="0.4">
      <c r="I188" s="1071"/>
      <c r="J188" s="1168" t="str">
        <f>A2_Budget_Look_Up!H6</f>
        <v>B3XF Cotton, Furrow</v>
      </c>
      <c r="K188" s="1168"/>
      <c r="L188" s="1168">
        <f>A2_Budget_Look_Up!F6</f>
        <v>4</v>
      </c>
      <c r="M188" s="1168"/>
      <c r="N188" s="1168"/>
      <c r="O188" s="1168"/>
      <c r="P188" s="1168"/>
      <c r="Q188" s="1071"/>
    </row>
    <row r="189" spans="9:17" ht="13.9" x14ac:dyDescent="0.4">
      <c r="I189" s="1071"/>
      <c r="J189" s="83"/>
      <c r="K189" s="83"/>
      <c r="L189" s="83"/>
      <c r="M189" s="83"/>
      <c r="N189" s="84"/>
      <c r="O189" s="83"/>
      <c r="P189" s="83"/>
      <c r="Q189" s="1071"/>
    </row>
    <row r="190" spans="9:17" ht="13.9" x14ac:dyDescent="0.4">
      <c r="I190" s="1071"/>
      <c r="J190" s="78" t="s">
        <v>18</v>
      </c>
      <c r="K190" s="78"/>
      <c r="L190" s="78"/>
      <c r="M190" s="79"/>
      <c r="N190" s="85"/>
      <c r="O190" s="79"/>
      <c r="P190" s="78"/>
      <c r="Q190" s="1071"/>
    </row>
    <row r="191" spans="9:17" ht="13.9" x14ac:dyDescent="0.4">
      <c r="I191" s="1071"/>
      <c r="J191" s="80" t="s">
        <v>212</v>
      </c>
      <c r="K191" s="80" t="s">
        <v>838</v>
      </c>
      <c r="L191" s="80" t="s">
        <v>2</v>
      </c>
      <c r="M191" s="80" t="s">
        <v>21</v>
      </c>
      <c r="N191" s="80" t="s">
        <v>174</v>
      </c>
      <c r="O191" s="80" t="s">
        <v>14</v>
      </c>
      <c r="P191" s="80" t="s">
        <v>890</v>
      </c>
      <c r="Q191" s="1071"/>
    </row>
    <row r="192" spans="9:17" ht="13.9" x14ac:dyDescent="0.4">
      <c r="I192" s="1073">
        <f>IF($A$1=4,1,0)</f>
        <v>0</v>
      </c>
      <c r="J192" s="159" t="str">
        <f>A4_Chem_Prices!E$2</f>
        <v>Roundup Powermax 3</v>
      </c>
      <c r="K192" s="1350" t="s">
        <v>839</v>
      </c>
      <c r="L192" s="158" t="str">
        <f>A4_Chem_Prices!F$2</f>
        <v>pt</v>
      </c>
      <c r="M192" s="159">
        <f>A4_Chem_Prices!G$2</f>
        <v>2.25</v>
      </c>
      <c r="N192" s="159">
        <v>2</v>
      </c>
      <c r="O192" s="82">
        <f t="shared" ref="O192:O205" si="40">M192*N192</f>
        <v>4.5</v>
      </c>
      <c r="P192" s="1449">
        <f>N192*16</f>
        <v>32</v>
      </c>
      <c r="Q192" s="1171">
        <f>IF(SUM(I192:I247)=820,L188,0)</f>
        <v>0</v>
      </c>
    </row>
    <row r="193" spans="9:17" ht="13.9" x14ac:dyDescent="0.4">
      <c r="I193" s="1073">
        <f t="shared" ref="I193:I205" si="41">IF($A$1=4,I192+1,0)</f>
        <v>0</v>
      </c>
      <c r="J193" s="159" t="str">
        <f>A4_Chem_Prices!E$15</f>
        <v>2,4-D</v>
      </c>
      <c r="K193" s="1350" t="s">
        <v>839</v>
      </c>
      <c r="L193" s="158" t="str">
        <f>A4_Chem_Prices!F$15</f>
        <v>pt</v>
      </c>
      <c r="M193" s="159">
        <f>A4_Chem_Prices!G$15</f>
        <v>4.375</v>
      </c>
      <c r="N193" s="157">
        <v>1.5</v>
      </c>
      <c r="O193" s="82">
        <f t="shared" si="40"/>
        <v>6.5625</v>
      </c>
      <c r="P193" s="1449">
        <f>N193</f>
        <v>1.5</v>
      </c>
      <c r="Q193" s="1071">
        <f>Q192</f>
        <v>0</v>
      </c>
    </row>
    <row r="194" spans="9:17" ht="13.9" x14ac:dyDescent="0.4">
      <c r="I194" s="1073">
        <f t="shared" si="41"/>
        <v>0</v>
      </c>
      <c r="J194" s="159" t="str">
        <f>A4_Chem_Prices!B$13</f>
        <v>Brake</v>
      </c>
      <c r="K194" s="1350" t="s">
        <v>839</v>
      </c>
      <c r="L194" s="158" t="str">
        <f>A4_Chem_Prices!C$13</f>
        <v>pt</v>
      </c>
      <c r="M194" s="159">
        <f>A4_Chem_Prices!D$13</f>
        <v>25.5</v>
      </c>
      <c r="N194" s="157">
        <v>1</v>
      </c>
      <c r="O194" s="82">
        <f t="shared" si="40"/>
        <v>25.5</v>
      </c>
      <c r="P194" s="1449">
        <f>N194*16</f>
        <v>16</v>
      </c>
      <c r="Q194" s="1071">
        <f t="shared" ref="Q194:Q205" si="42">Q193</f>
        <v>0</v>
      </c>
    </row>
    <row r="195" spans="9:17" ht="13.9" x14ac:dyDescent="0.4">
      <c r="I195" s="1073">
        <f t="shared" si="41"/>
        <v>0</v>
      </c>
      <c r="J195" s="159" t="str">
        <f>A4_Chem_Prices!E$5</f>
        <v>Cotoran</v>
      </c>
      <c r="K195" s="1350" t="s">
        <v>839</v>
      </c>
      <c r="L195" s="160" t="str">
        <f>A4_Chem_Prices!F$5</f>
        <v>pt</v>
      </c>
      <c r="M195" s="159">
        <f>A4_Chem_Prices!G$5</f>
        <v>2.5</v>
      </c>
      <c r="N195" s="157">
        <v>1.6</v>
      </c>
      <c r="O195" s="82">
        <f t="shared" si="40"/>
        <v>4</v>
      </c>
      <c r="P195" s="1449">
        <f>N195*16</f>
        <v>25.6</v>
      </c>
      <c r="Q195" s="1071">
        <f t="shared" si="42"/>
        <v>0</v>
      </c>
    </row>
    <row r="196" spans="9:17" ht="13.9" x14ac:dyDescent="0.4">
      <c r="I196" s="1073">
        <f t="shared" si="41"/>
        <v>0</v>
      </c>
      <c r="J196" s="159" t="str">
        <f>A4_Chem_Prices!E$10</f>
        <v>Liberty</v>
      </c>
      <c r="K196" s="1350" t="s">
        <v>839</v>
      </c>
      <c r="L196" s="160" t="str">
        <f>A4_Chem_Prices!F$10</f>
        <v>oz</v>
      </c>
      <c r="M196" s="159">
        <f>A4_Chem_Prices!G$10</f>
        <v>0.28875000000000001</v>
      </c>
      <c r="N196" s="157">
        <v>32</v>
      </c>
      <c r="O196" s="82">
        <f t="shared" si="40"/>
        <v>9.24</v>
      </c>
      <c r="P196" s="1449">
        <f>N196*16</f>
        <v>512</v>
      </c>
      <c r="Q196" s="1071">
        <f t="shared" si="42"/>
        <v>0</v>
      </c>
    </row>
    <row r="197" spans="9:17" ht="15" customHeight="1" x14ac:dyDescent="0.4">
      <c r="I197" s="1073">
        <f t="shared" si="41"/>
        <v>0</v>
      </c>
      <c r="J197" s="159" t="str">
        <f>A4_Chem_Prices!B$12</f>
        <v>Outlook</v>
      </c>
      <c r="K197" s="1350" t="s">
        <v>839</v>
      </c>
      <c r="L197" s="160" t="str">
        <f>A4_Chem_Prices!C$12</f>
        <v>oz</v>
      </c>
      <c r="M197" s="159">
        <f>A4_Chem_Prices!D$12</f>
        <v>0.84234374999999995</v>
      </c>
      <c r="N197" s="157">
        <v>12.8</v>
      </c>
      <c r="O197" s="82">
        <f t="shared" si="40"/>
        <v>10.782</v>
      </c>
      <c r="P197" s="1449">
        <f>N197</f>
        <v>12.8</v>
      </c>
      <c r="Q197" s="1071">
        <f t="shared" si="42"/>
        <v>0</v>
      </c>
    </row>
    <row r="198" spans="9:17" ht="15" customHeight="1" x14ac:dyDescent="0.4">
      <c r="I198" s="1073">
        <f t="shared" si="41"/>
        <v>0</v>
      </c>
      <c r="J198" s="159" t="str">
        <f>A4_Chem_Prices!E$10</f>
        <v>Liberty</v>
      </c>
      <c r="K198" s="1350" t="s">
        <v>839</v>
      </c>
      <c r="L198" s="160" t="str">
        <f>A4_Chem_Prices!F$10</f>
        <v>oz</v>
      </c>
      <c r="M198" s="159">
        <f>A4_Chem_Prices!G$10</f>
        <v>0.28875000000000001</v>
      </c>
      <c r="N198" s="157">
        <v>32</v>
      </c>
      <c r="O198" s="82">
        <f t="shared" si="40"/>
        <v>9.24</v>
      </c>
      <c r="P198" s="1449">
        <f>N198</f>
        <v>32</v>
      </c>
      <c r="Q198" s="1071">
        <f t="shared" si="42"/>
        <v>0</v>
      </c>
    </row>
    <row r="199" spans="9:17" ht="13.9" x14ac:dyDescent="0.4">
      <c r="I199" s="1073">
        <f t="shared" si="41"/>
        <v>0</v>
      </c>
      <c r="J199" s="159" t="str">
        <f>A4_Chem_Prices!E$7</f>
        <v>Metolachlor</v>
      </c>
      <c r="K199" s="1350" t="s">
        <v>839</v>
      </c>
      <c r="L199" s="160" t="str">
        <f>A4_Chem_Prices!F$7</f>
        <v>pt</v>
      </c>
      <c r="M199" s="159">
        <f>A4_Chem_Prices!G$7</f>
        <v>5.0387500000000003</v>
      </c>
      <c r="N199" s="157">
        <v>1</v>
      </c>
      <c r="O199" s="82">
        <f t="shared" si="40"/>
        <v>5.0387500000000003</v>
      </c>
      <c r="P199" s="1449">
        <f>N199*16</f>
        <v>16</v>
      </c>
      <c r="Q199" s="1071">
        <f t="shared" si="42"/>
        <v>0</v>
      </c>
    </row>
    <row r="200" spans="9:17" ht="15" customHeight="1" x14ac:dyDescent="0.4">
      <c r="I200" s="1073">
        <f t="shared" si="41"/>
        <v>0</v>
      </c>
      <c r="J200" s="159" t="str">
        <f>A4_Chem_Prices!E$10</f>
        <v>Liberty</v>
      </c>
      <c r="K200" s="1350" t="s">
        <v>839</v>
      </c>
      <c r="L200" s="160" t="str">
        <f>A4_Chem_Prices!F$10</f>
        <v>oz</v>
      </c>
      <c r="M200" s="159">
        <f>A4_Chem_Prices!G$10</f>
        <v>0.28875000000000001</v>
      </c>
      <c r="N200" s="157">
        <v>32</v>
      </c>
      <c r="O200" s="82">
        <f t="shared" si="40"/>
        <v>9.24</v>
      </c>
      <c r="P200" s="1449">
        <f>N200</f>
        <v>32</v>
      </c>
      <c r="Q200" s="1071">
        <f t="shared" si="42"/>
        <v>0</v>
      </c>
    </row>
    <row r="201" spans="9:17" ht="13.9" x14ac:dyDescent="0.4">
      <c r="I201" s="1073">
        <f t="shared" si="41"/>
        <v>0</v>
      </c>
      <c r="J201" s="159" t="str">
        <f>A4_Chem_Prices!E$8</f>
        <v>Direx</v>
      </c>
      <c r="K201" s="1350" t="s">
        <v>839</v>
      </c>
      <c r="L201" s="160" t="str">
        <f>A4_Chem_Prices!F$8</f>
        <v>pt</v>
      </c>
      <c r="M201" s="159">
        <f>A4_Chem_Prices!G$8</f>
        <v>4.4637500000000001</v>
      </c>
      <c r="N201" s="157">
        <v>1.5</v>
      </c>
      <c r="O201" s="82">
        <f t="shared" si="40"/>
        <v>6.6956249999999997</v>
      </c>
      <c r="P201" s="1449">
        <f>N201*16</f>
        <v>24</v>
      </c>
      <c r="Q201" s="1071">
        <f t="shared" si="42"/>
        <v>0</v>
      </c>
    </row>
    <row r="202" spans="9:17" ht="13.9" x14ac:dyDescent="0.4">
      <c r="I202" s="1073">
        <f t="shared" si="41"/>
        <v>0</v>
      </c>
      <c r="J202" s="159" t="str">
        <f>A4_Chem_Prices!E$9</f>
        <v>MSMA 6</v>
      </c>
      <c r="K202" s="1350" t="s">
        <v>839</v>
      </c>
      <c r="L202" s="160" t="str">
        <f>A4_Chem_Prices!F$9</f>
        <v>qt</v>
      </c>
      <c r="M202" s="159">
        <f>A4_Chem_Prices!G$9</f>
        <v>14.375</v>
      </c>
      <c r="N202" s="157">
        <v>1.5</v>
      </c>
      <c r="O202" s="82">
        <f t="shared" si="40"/>
        <v>21.5625</v>
      </c>
      <c r="P202" s="1449">
        <f>N202*16</f>
        <v>24</v>
      </c>
      <c r="Q202" s="1071">
        <f t="shared" si="42"/>
        <v>0</v>
      </c>
    </row>
    <row r="203" spans="9:17" ht="13.9" x14ac:dyDescent="0.4">
      <c r="I203" s="1073">
        <f t="shared" si="41"/>
        <v>0</v>
      </c>
      <c r="J203" s="159" t="s">
        <v>19</v>
      </c>
      <c r="K203" s="1350" t="s">
        <v>839</v>
      </c>
      <c r="L203" s="160"/>
      <c r="M203" s="159">
        <v>0</v>
      </c>
      <c r="N203" s="157">
        <v>0</v>
      </c>
      <c r="O203" s="82">
        <f t="shared" si="40"/>
        <v>0</v>
      </c>
      <c r="P203" s="1449">
        <f>N203</f>
        <v>0</v>
      </c>
      <c r="Q203" s="1071">
        <f t="shared" si="42"/>
        <v>0</v>
      </c>
    </row>
    <row r="204" spans="9:17" ht="13.9" x14ac:dyDescent="0.4">
      <c r="I204" s="1073">
        <f t="shared" si="41"/>
        <v>0</v>
      </c>
      <c r="J204" s="159" t="s">
        <v>19</v>
      </c>
      <c r="K204" s="1350" t="s">
        <v>839</v>
      </c>
      <c r="L204" s="160"/>
      <c r="M204" s="159">
        <v>0</v>
      </c>
      <c r="N204" s="157">
        <v>0</v>
      </c>
      <c r="O204" s="82">
        <f t="shared" si="40"/>
        <v>0</v>
      </c>
      <c r="P204" s="160">
        <f>N204*32</f>
        <v>0</v>
      </c>
      <c r="Q204" s="1071">
        <f t="shared" si="42"/>
        <v>0</v>
      </c>
    </row>
    <row r="205" spans="9:17" ht="13.9" x14ac:dyDescent="0.4">
      <c r="I205" s="1073">
        <f t="shared" si="41"/>
        <v>0</v>
      </c>
      <c r="J205" s="159" t="s">
        <v>19</v>
      </c>
      <c r="K205" s="1350" t="s">
        <v>839</v>
      </c>
      <c r="L205" s="160"/>
      <c r="M205" s="159">
        <v>0</v>
      </c>
      <c r="N205" s="157">
        <v>0</v>
      </c>
      <c r="O205" s="82">
        <f t="shared" si="40"/>
        <v>0</v>
      </c>
      <c r="P205" s="1449"/>
      <c r="Q205" s="1071">
        <f t="shared" si="42"/>
        <v>0</v>
      </c>
    </row>
    <row r="206" spans="9:17" ht="13.9" x14ac:dyDescent="0.4">
      <c r="I206" s="1071"/>
      <c r="J206" s="86" t="s">
        <v>22</v>
      </c>
      <c r="K206" s="86"/>
      <c r="L206" s="86"/>
      <c r="M206" s="81"/>
      <c r="N206" s="87"/>
      <c r="O206" s="88">
        <f>SUM(O192:O205)</f>
        <v>112.36137499999998</v>
      </c>
      <c r="P206" s="86"/>
      <c r="Q206" s="1071"/>
    </row>
    <row r="207" spans="9:17" ht="13.9" x14ac:dyDescent="0.4">
      <c r="I207" s="1071"/>
      <c r="J207" s="83"/>
      <c r="K207" s="83"/>
      <c r="L207" s="83"/>
      <c r="M207" s="83"/>
      <c r="N207" s="84"/>
      <c r="O207" s="83"/>
      <c r="P207" s="83"/>
      <c r="Q207" s="1071"/>
    </row>
    <row r="208" spans="9:17" ht="13.9" x14ac:dyDescent="0.4">
      <c r="I208" s="1071"/>
      <c r="J208" s="78" t="s">
        <v>20</v>
      </c>
      <c r="K208" s="78"/>
      <c r="L208" s="78"/>
      <c r="M208" s="79"/>
      <c r="N208" s="85"/>
      <c r="O208" s="79"/>
      <c r="P208" s="78"/>
      <c r="Q208" s="1071"/>
    </row>
    <row r="209" spans="9:17" ht="13.9" x14ac:dyDescent="0.4">
      <c r="I209" s="1071"/>
      <c r="J209" s="80" t="s">
        <v>212</v>
      </c>
      <c r="K209" s="80" t="s">
        <v>838</v>
      </c>
      <c r="L209" s="80" t="s">
        <v>2</v>
      </c>
      <c r="M209" s="80" t="s">
        <v>21</v>
      </c>
      <c r="N209" s="80" t="s">
        <v>174</v>
      </c>
      <c r="O209" s="80" t="s">
        <v>14</v>
      </c>
      <c r="P209" s="80" t="s">
        <v>890</v>
      </c>
      <c r="Q209" s="1071"/>
    </row>
    <row r="210" spans="9:17" ht="13.9" x14ac:dyDescent="0.4">
      <c r="I210" s="1073">
        <f>IF($A$1=4,I205+1,0)</f>
        <v>0</v>
      </c>
      <c r="J210" s="159" t="str">
        <f>A4_Chem_Prices!E$18</f>
        <v>Centric</v>
      </c>
      <c r="K210" s="1350" t="s">
        <v>839</v>
      </c>
      <c r="L210" s="160" t="str">
        <f>A4_Chem_Prices!F$18</f>
        <v>oz</v>
      </c>
      <c r="M210" s="159">
        <f>A4_Chem_Prices!G$18</f>
        <v>5.95</v>
      </c>
      <c r="N210" s="157">
        <v>2</v>
      </c>
      <c r="O210" s="82">
        <f t="shared" ref="O210:O219" si="43">M210*N210</f>
        <v>11.9</v>
      </c>
      <c r="P210" s="1449">
        <f>N210</f>
        <v>2</v>
      </c>
      <c r="Q210" s="1071">
        <f>Q192</f>
        <v>0</v>
      </c>
    </row>
    <row r="211" spans="9:17" ht="13.9" x14ac:dyDescent="0.4">
      <c r="I211" s="1073">
        <f t="shared" ref="I211:I219" si="44">IF($A$1=4,I210+1,0)</f>
        <v>0</v>
      </c>
      <c r="J211" s="159" t="str">
        <f>A4_Chem_Prices!E$19</f>
        <v>Diamond</v>
      </c>
      <c r="K211" s="1350" t="s">
        <v>839</v>
      </c>
      <c r="L211" s="160" t="str">
        <f>A4_Chem_Prices!F$19</f>
        <v>oz</v>
      </c>
      <c r="M211" s="159">
        <f>A4_Chem_Prices!G$19</f>
        <v>1.1971354166666666</v>
      </c>
      <c r="N211" s="157">
        <v>6</v>
      </c>
      <c r="O211" s="82">
        <f t="shared" si="43"/>
        <v>7.1828124999999989</v>
      </c>
      <c r="P211" s="1449">
        <f t="shared" ref="P211:P216" si="45">N211</f>
        <v>6</v>
      </c>
      <c r="Q211" s="1071">
        <f>Q210</f>
        <v>0</v>
      </c>
    </row>
    <row r="212" spans="9:17" ht="13.9" x14ac:dyDescent="0.4">
      <c r="I212" s="1073">
        <f t="shared" si="44"/>
        <v>0</v>
      </c>
      <c r="J212" s="159" t="str">
        <f>A4_Chem_Prices!E$18</f>
        <v>Centric</v>
      </c>
      <c r="K212" s="1350" t="s">
        <v>839</v>
      </c>
      <c r="L212" s="160" t="str">
        <f>A4_Chem_Prices!F$18</f>
        <v>oz</v>
      </c>
      <c r="M212" s="159">
        <f>A4_Chem_Prices!G$18</f>
        <v>5.95</v>
      </c>
      <c r="N212" s="157">
        <v>2</v>
      </c>
      <c r="O212" s="82">
        <f t="shared" si="43"/>
        <v>11.9</v>
      </c>
      <c r="P212" s="1449">
        <f t="shared" si="45"/>
        <v>2</v>
      </c>
      <c r="Q212" s="1071">
        <f t="shared" ref="Q212:Q219" si="46">Q211</f>
        <v>0</v>
      </c>
    </row>
    <row r="213" spans="9:17" ht="13.9" x14ac:dyDescent="0.4">
      <c r="I213" s="1073">
        <f t="shared" si="44"/>
        <v>0</v>
      </c>
      <c r="J213" s="159" t="str">
        <f>A4_Chem_Prices!E$19</f>
        <v>Diamond</v>
      </c>
      <c r="K213" s="1350" t="s">
        <v>839</v>
      </c>
      <c r="L213" s="160" t="str">
        <f>A4_Chem_Prices!F$19</f>
        <v>oz</v>
      </c>
      <c r="M213" s="159">
        <f>A4_Chem_Prices!G$19</f>
        <v>1.1971354166666666</v>
      </c>
      <c r="N213" s="157">
        <v>6</v>
      </c>
      <c r="O213" s="82">
        <f t="shared" si="43"/>
        <v>7.1828124999999989</v>
      </c>
      <c r="P213" s="1449">
        <f t="shared" si="45"/>
        <v>6</v>
      </c>
      <c r="Q213" s="1071">
        <f t="shared" si="46"/>
        <v>0</v>
      </c>
    </row>
    <row r="214" spans="9:17" ht="13.9" x14ac:dyDescent="0.4">
      <c r="I214" s="1073">
        <f t="shared" si="44"/>
        <v>0</v>
      </c>
      <c r="J214" s="159" t="str">
        <f>A4_Chem_Prices!E$20</f>
        <v>Transform</v>
      </c>
      <c r="K214" s="1350" t="s">
        <v>839</v>
      </c>
      <c r="L214" s="160" t="str">
        <f>A4_Chem_Prices!F$20</f>
        <v>oz</v>
      </c>
      <c r="M214" s="159">
        <f>A4_Chem_Prices!G$20</f>
        <v>7.859375</v>
      </c>
      <c r="N214" s="157">
        <v>2</v>
      </c>
      <c r="O214" s="82">
        <f t="shared" si="43"/>
        <v>15.71875</v>
      </c>
      <c r="P214" s="1449">
        <f t="shared" si="45"/>
        <v>2</v>
      </c>
      <c r="Q214" s="1071">
        <f t="shared" si="46"/>
        <v>0</v>
      </c>
    </row>
    <row r="215" spans="9:17" ht="13.9" x14ac:dyDescent="0.4">
      <c r="I215" s="1073">
        <f t="shared" si="44"/>
        <v>0</v>
      </c>
      <c r="J215" s="159" t="str">
        <f>A4_Chem_Prices!E$20</f>
        <v>Transform</v>
      </c>
      <c r="K215" s="1350" t="s">
        <v>839</v>
      </c>
      <c r="L215" s="160" t="str">
        <f>A4_Chem_Prices!F$20</f>
        <v>oz</v>
      </c>
      <c r="M215" s="159">
        <f>A4_Chem_Prices!G$20</f>
        <v>7.859375</v>
      </c>
      <c r="N215" s="157">
        <v>2</v>
      </c>
      <c r="O215" s="82">
        <f t="shared" si="43"/>
        <v>15.71875</v>
      </c>
      <c r="P215" s="1449">
        <f t="shared" si="45"/>
        <v>2</v>
      </c>
      <c r="Q215" s="1071">
        <f t="shared" si="46"/>
        <v>0</v>
      </c>
    </row>
    <row r="216" spans="9:17" ht="13.9" x14ac:dyDescent="0.4">
      <c r="I216" s="1073">
        <f t="shared" si="44"/>
        <v>0</v>
      </c>
      <c r="J216" s="159" t="s">
        <v>19</v>
      </c>
      <c r="K216" s="1350" t="s">
        <v>839</v>
      </c>
      <c r="L216" s="160"/>
      <c r="M216" s="159">
        <v>0</v>
      </c>
      <c r="N216" s="157">
        <v>0</v>
      </c>
      <c r="O216" s="82">
        <f t="shared" si="43"/>
        <v>0</v>
      </c>
      <c r="P216" s="1449">
        <f t="shared" si="45"/>
        <v>0</v>
      </c>
      <c r="Q216" s="1071">
        <f t="shared" si="46"/>
        <v>0</v>
      </c>
    </row>
    <row r="217" spans="9:17" ht="13.9" x14ac:dyDescent="0.4">
      <c r="I217" s="1073">
        <f t="shared" si="44"/>
        <v>0</v>
      </c>
      <c r="J217" s="159" t="s">
        <v>19</v>
      </c>
      <c r="K217" s="1350" t="s">
        <v>839</v>
      </c>
      <c r="L217" s="160"/>
      <c r="M217" s="159">
        <v>0</v>
      </c>
      <c r="N217" s="157">
        <v>0</v>
      </c>
      <c r="O217" s="82">
        <f t="shared" si="43"/>
        <v>0</v>
      </c>
      <c r="P217" s="1449"/>
      <c r="Q217" s="1071">
        <f t="shared" si="46"/>
        <v>0</v>
      </c>
    </row>
    <row r="218" spans="9:17" ht="13.9" x14ac:dyDescent="0.4">
      <c r="I218" s="1073">
        <f t="shared" si="44"/>
        <v>0</v>
      </c>
      <c r="J218" s="159" t="s">
        <v>19</v>
      </c>
      <c r="K218" s="1350" t="s">
        <v>839</v>
      </c>
      <c r="L218" s="160"/>
      <c r="M218" s="159">
        <v>0</v>
      </c>
      <c r="N218" s="157">
        <v>0</v>
      </c>
      <c r="O218" s="82">
        <f t="shared" si="43"/>
        <v>0</v>
      </c>
      <c r="P218" s="1449"/>
      <c r="Q218" s="1071">
        <f t="shared" si="46"/>
        <v>0</v>
      </c>
    </row>
    <row r="219" spans="9:17" ht="13.9" x14ac:dyDescent="0.4">
      <c r="I219" s="1073">
        <f t="shared" si="44"/>
        <v>0</v>
      </c>
      <c r="J219" s="159" t="s">
        <v>19</v>
      </c>
      <c r="K219" s="1350" t="s">
        <v>839</v>
      </c>
      <c r="L219" s="160"/>
      <c r="M219" s="159">
        <v>0</v>
      </c>
      <c r="N219" s="157">
        <v>0</v>
      </c>
      <c r="O219" s="82">
        <f t="shared" si="43"/>
        <v>0</v>
      </c>
      <c r="P219" s="1449"/>
      <c r="Q219" s="1071">
        <f t="shared" si="46"/>
        <v>0</v>
      </c>
    </row>
    <row r="220" spans="9:17" ht="13.9" x14ac:dyDescent="0.4">
      <c r="I220" s="1071"/>
      <c r="J220" s="86" t="s">
        <v>22</v>
      </c>
      <c r="K220" s="86"/>
      <c r="L220" s="86"/>
      <c r="M220" s="81"/>
      <c r="N220" s="87"/>
      <c r="O220" s="88">
        <f>SUM(O210:O219)</f>
        <v>69.603125000000006</v>
      </c>
      <c r="P220" s="86"/>
      <c r="Q220" s="1071"/>
    </row>
    <row r="221" spans="9:17" ht="13.9" x14ac:dyDescent="0.4">
      <c r="I221" s="1071"/>
      <c r="J221" s="83"/>
      <c r="K221" s="83"/>
      <c r="L221" s="83"/>
      <c r="M221" s="83"/>
      <c r="N221" s="84"/>
      <c r="O221" s="83"/>
      <c r="P221" s="83"/>
      <c r="Q221" s="1071"/>
    </row>
    <row r="222" spans="9:17" ht="13.9" x14ac:dyDescent="0.4">
      <c r="I222" s="1071"/>
      <c r="J222" s="78" t="str">
        <f>IF(OR(A2_Budget_Look_Up!$B$7=1,A2_Budget_Look_Up!$B$13=1),"Nematicide Detail", "Fungicide Detail")</f>
        <v>Fungicide Detail</v>
      </c>
      <c r="K222" s="78"/>
      <c r="L222" s="78"/>
      <c r="M222" s="79"/>
      <c r="N222" s="85"/>
      <c r="O222" s="79"/>
      <c r="P222" s="78"/>
      <c r="Q222" s="1071"/>
    </row>
    <row r="223" spans="9:17" ht="13.9" x14ac:dyDescent="0.4">
      <c r="I223" s="1071"/>
      <c r="J223" s="80" t="s">
        <v>212</v>
      </c>
      <c r="K223" s="80" t="s">
        <v>838</v>
      </c>
      <c r="L223" s="80" t="s">
        <v>2</v>
      </c>
      <c r="M223" s="80" t="s">
        <v>21</v>
      </c>
      <c r="N223" s="80" t="s">
        <v>174</v>
      </c>
      <c r="O223" s="80" t="s">
        <v>14</v>
      </c>
      <c r="P223" s="80" t="s">
        <v>890</v>
      </c>
      <c r="Q223" s="1071"/>
    </row>
    <row r="224" spans="9:17" ht="13.9" x14ac:dyDescent="0.4">
      <c r="I224" s="1073">
        <f>IF($A$1=4,I219+1,0)</f>
        <v>0</v>
      </c>
      <c r="J224" s="156" t="s">
        <v>19</v>
      </c>
      <c r="K224" s="1350" t="s">
        <v>839</v>
      </c>
      <c r="L224" s="158"/>
      <c r="M224" s="159">
        <v>0</v>
      </c>
      <c r="N224" s="157">
        <v>0</v>
      </c>
      <c r="O224" s="82">
        <f>M224*N224</f>
        <v>0</v>
      </c>
      <c r="P224" s="1350" t="s">
        <v>839</v>
      </c>
      <c r="Q224" s="1071">
        <f>Q219</f>
        <v>0</v>
      </c>
    </row>
    <row r="225" spans="9:17" ht="13.9" x14ac:dyDescent="0.4">
      <c r="I225" s="1073">
        <f>IF($A$1=4,I224+1,0)</f>
        <v>0</v>
      </c>
      <c r="J225" s="156" t="s">
        <v>19</v>
      </c>
      <c r="K225" s="1350" t="s">
        <v>839</v>
      </c>
      <c r="L225" s="158"/>
      <c r="M225" s="159">
        <v>0</v>
      </c>
      <c r="N225" s="157">
        <v>0</v>
      </c>
      <c r="O225" s="82">
        <f>M225*N225</f>
        <v>0</v>
      </c>
      <c r="P225" s="1350" t="s">
        <v>839</v>
      </c>
      <c r="Q225" s="1071">
        <f>Q224</f>
        <v>0</v>
      </c>
    </row>
    <row r="226" spans="9:17" ht="13.9" x14ac:dyDescent="0.4">
      <c r="I226" s="1071"/>
      <c r="J226" s="86" t="s">
        <v>22</v>
      </c>
      <c r="K226" s="86"/>
      <c r="L226" s="86"/>
      <c r="M226" s="81"/>
      <c r="N226" s="87"/>
      <c r="O226" s="88">
        <f>SUM(O224:O225)</f>
        <v>0</v>
      </c>
      <c r="P226" s="86"/>
      <c r="Q226" s="1071"/>
    </row>
    <row r="227" spans="9:17" ht="13.9" x14ac:dyDescent="0.4">
      <c r="I227" s="1071"/>
      <c r="J227" s="83"/>
      <c r="K227" s="83"/>
      <c r="L227" s="83"/>
      <c r="M227" s="83"/>
      <c r="N227" s="84"/>
      <c r="O227" s="83"/>
      <c r="P227" s="83"/>
      <c r="Q227" s="1071"/>
    </row>
    <row r="228" spans="9:17" ht="13.9" x14ac:dyDescent="0.4">
      <c r="I228" s="1071"/>
      <c r="J228" s="78" t="str">
        <f>IF(A2_Budget_Look_Up!$B$7=1,"Growth Regulator Detail", IF(A2_Budget_Look_Up!$B$13=1,"Fungicide Detail","Other Chemical Detail"))</f>
        <v>Other Chemical Detail</v>
      </c>
      <c r="K228" s="78"/>
      <c r="L228" s="78"/>
      <c r="M228" s="79"/>
      <c r="N228" s="85"/>
      <c r="O228" s="79"/>
      <c r="P228" s="78"/>
      <c r="Q228" s="1071"/>
    </row>
    <row r="229" spans="9:17" ht="13.9" x14ac:dyDescent="0.4">
      <c r="I229" s="1071"/>
      <c r="J229" s="80" t="s">
        <v>212</v>
      </c>
      <c r="K229" s="80" t="s">
        <v>838</v>
      </c>
      <c r="L229" s="80" t="s">
        <v>2</v>
      </c>
      <c r="M229" s="80" t="s">
        <v>21</v>
      </c>
      <c r="N229" s="80" t="s">
        <v>174</v>
      </c>
      <c r="O229" s="80" t="s">
        <v>14</v>
      </c>
      <c r="P229" s="80" t="s">
        <v>890</v>
      </c>
      <c r="Q229" s="1071"/>
    </row>
    <row r="230" spans="9:17" ht="13.9" x14ac:dyDescent="0.4">
      <c r="I230" s="1073">
        <f>IF($A$1=4,I225+1,0)</f>
        <v>0</v>
      </c>
      <c r="J230" s="156" t="str">
        <f>A4_Chem_Prices!E$26</f>
        <v>Mepiquat</v>
      </c>
      <c r="K230" s="1350" t="s">
        <v>839</v>
      </c>
      <c r="L230" s="158" t="str">
        <f>A4_Chem_Prices!F$26</f>
        <v>oz</v>
      </c>
      <c r="M230" s="159">
        <f>A4_Chem_Prices!G$26</f>
        <v>4.9796874999999997E-2</v>
      </c>
      <c r="N230" s="157">
        <v>16</v>
      </c>
      <c r="O230" s="82">
        <f t="shared" ref="O230:O236" si="47">M230*N230</f>
        <v>0.79674999999999996</v>
      </c>
      <c r="P230" s="1449">
        <f>N230</f>
        <v>16</v>
      </c>
      <c r="Q230" s="1071">
        <f>Q225</f>
        <v>0</v>
      </c>
    </row>
    <row r="231" spans="9:17" ht="13.9" x14ac:dyDescent="0.4">
      <c r="I231" s="1073">
        <f t="shared" ref="I231:I236" si="48">IF($A$1=4,I230+1,0)</f>
        <v>0</v>
      </c>
      <c r="J231" s="156" t="str">
        <f>A4_Chem_Prices!E$26</f>
        <v>Mepiquat</v>
      </c>
      <c r="K231" s="1350" t="s">
        <v>839</v>
      </c>
      <c r="L231" s="158" t="str">
        <f>A4_Chem_Prices!F$26</f>
        <v>oz</v>
      </c>
      <c r="M231" s="159">
        <f>A4_Chem_Prices!G$26</f>
        <v>4.9796874999999997E-2</v>
      </c>
      <c r="N231" s="157">
        <v>20</v>
      </c>
      <c r="O231" s="82">
        <f>M231*N231</f>
        <v>0.99593749999999992</v>
      </c>
      <c r="P231" s="1449">
        <f>N231</f>
        <v>20</v>
      </c>
      <c r="Q231" s="1071">
        <f t="shared" ref="Q231:Q236" si="49">Q230</f>
        <v>0</v>
      </c>
    </row>
    <row r="232" spans="9:17" ht="13.9" x14ac:dyDescent="0.4">
      <c r="I232" s="1073">
        <f t="shared" si="48"/>
        <v>0</v>
      </c>
      <c r="J232" s="156" t="str">
        <f>A4_Chem_Prices!E$26</f>
        <v>Mepiquat</v>
      </c>
      <c r="K232" s="1350" t="s">
        <v>839</v>
      </c>
      <c r="L232" s="158" t="str">
        <f>A4_Chem_Prices!F$26</f>
        <v>oz</v>
      </c>
      <c r="M232" s="159">
        <f>A4_Chem_Prices!G$26</f>
        <v>4.9796874999999997E-2</v>
      </c>
      <c r="N232" s="157">
        <v>20</v>
      </c>
      <c r="O232" s="82">
        <f>M232*N232</f>
        <v>0.99593749999999992</v>
      </c>
      <c r="P232" s="1449">
        <f>N232</f>
        <v>20</v>
      </c>
      <c r="Q232" s="1071">
        <f t="shared" si="49"/>
        <v>0</v>
      </c>
    </row>
    <row r="233" spans="9:17" ht="13.9" x14ac:dyDescent="0.4">
      <c r="I233" s="1073">
        <f t="shared" si="48"/>
        <v>0</v>
      </c>
      <c r="J233" s="156" t="str">
        <f>A4_Chem_Prices!E$26</f>
        <v>Mepiquat</v>
      </c>
      <c r="K233" s="1350" t="s">
        <v>839</v>
      </c>
      <c r="L233" s="158" t="str">
        <f>A4_Chem_Prices!F$26</f>
        <v>oz</v>
      </c>
      <c r="M233" s="159">
        <f>A4_Chem_Prices!G$26</f>
        <v>4.9796874999999997E-2</v>
      </c>
      <c r="N233" s="157">
        <v>20</v>
      </c>
      <c r="O233" s="82">
        <f>M233*N233</f>
        <v>0.99593749999999992</v>
      </c>
      <c r="P233" s="1449">
        <f>N233</f>
        <v>20</v>
      </c>
      <c r="Q233" s="1071">
        <f t="shared" si="49"/>
        <v>0</v>
      </c>
    </row>
    <row r="234" spans="9:17" ht="13.9" x14ac:dyDescent="0.4">
      <c r="I234" s="1073">
        <f t="shared" si="48"/>
        <v>0</v>
      </c>
      <c r="J234" s="156" t="s">
        <v>19</v>
      </c>
      <c r="K234" s="1350" t="s">
        <v>839</v>
      </c>
      <c r="L234" s="158"/>
      <c r="M234" s="159">
        <v>0</v>
      </c>
      <c r="N234" s="157">
        <v>0</v>
      </c>
      <c r="O234" s="82">
        <f t="shared" si="47"/>
        <v>0</v>
      </c>
      <c r="P234" s="1350" t="s">
        <v>839</v>
      </c>
      <c r="Q234" s="1071">
        <f t="shared" si="49"/>
        <v>0</v>
      </c>
    </row>
    <row r="235" spans="9:17" ht="13.9" x14ac:dyDescent="0.4">
      <c r="I235" s="1073">
        <f t="shared" si="48"/>
        <v>0</v>
      </c>
      <c r="J235" s="156" t="s">
        <v>19</v>
      </c>
      <c r="K235" s="1350" t="s">
        <v>839</v>
      </c>
      <c r="L235" s="158"/>
      <c r="M235" s="159">
        <v>0</v>
      </c>
      <c r="N235" s="157">
        <v>0</v>
      </c>
      <c r="O235" s="82">
        <f t="shared" si="47"/>
        <v>0</v>
      </c>
      <c r="P235" s="1350" t="s">
        <v>839</v>
      </c>
      <c r="Q235" s="1071">
        <f t="shared" si="49"/>
        <v>0</v>
      </c>
    </row>
    <row r="236" spans="9:17" ht="13.9" x14ac:dyDescent="0.4">
      <c r="I236" s="1073">
        <f t="shared" si="48"/>
        <v>0</v>
      </c>
      <c r="J236" s="156" t="s">
        <v>19</v>
      </c>
      <c r="K236" s="1350" t="s">
        <v>839</v>
      </c>
      <c r="L236" s="158"/>
      <c r="M236" s="159">
        <v>0</v>
      </c>
      <c r="N236" s="157">
        <v>0</v>
      </c>
      <c r="O236" s="82">
        <f t="shared" si="47"/>
        <v>0</v>
      </c>
      <c r="P236" s="1350" t="s">
        <v>839</v>
      </c>
      <c r="Q236" s="1071">
        <f t="shared" si="49"/>
        <v>0</v>
      </c>
    </row>
    <row r="237" spans="9:17" ht="13.9" x14ac:dyDescent="0.4">
      <c r="I237" s="1071"/>
      <c r="J237" s="86" t="s">
        <v>22</v>
      </c>
      <c r="K237" s="86"/>
      <c r="L237" s="86"/>
      <c r="M237" s="81"/>
      <c r="N237" s="87"/>
      <c r="O237" s="88">
        <f>SUM(O230:O236)</f>
        <v>3.7845624999999998</v>
      </c>
      <c r="P237" s="86"/>
      <c r="Q237" s="1071"/>
    </row>
    <row r="238" spans="9:17" ht="13.9" x14ac:dyDescent="0.4">
      <c r="I238" s="1071"/>
      <c r="J238" s="83"/>
      <c r="K238" s="83"/>
      <c r="L238" s="83"/>
      <c r="M238" s="83"/>
      <c r="N238" s="84"/>
      <c r="O238" s="83"/>
      <c r="P238" s="83"/>
      <c r="Q238" s="1071"/>
    </row>
    <row r="239" spans="9:17" ht="13.9" x14ac:dyDescent="0.4">
      <c r="I239" s="1071"/>
      <c r="J239" s="78" t="str">
        <f>IF(A2_Budget_Look_Up!$B$7=1,"Defoliant Detail", "Other Chemical Detail")</f>
        <v>Other Chemical Detail</v>
      </c>
      <c r="K239" s="78"/>
      <c r="L239" s="78"/>
      <c r="M239" s="79"/>
      <c r="N239" s="85"/>
      <c r="O239" s="79"/>
      <c r="P239" s="78"/>
      <c r="Q239" s="1071"/>
    </row>
    <row r="240" spans="9:17" ht="13.9" x14ac:dyDescent="0.4">
      <c r="I240" s="1071"/>
      <c r="J240" s="80" t="s">
        <v>212</v>
      </c>
      <c r="K240" s="80" t="s">
        <v>838</v>
      </c>
      <c r="L240" s="80" t="s">
        <v>2</v>
      </c>
      <c r="M240" s="80" t="s">
        <v>21</v>
      </c>
      <c r="N240" s="80" t="s">
        <v>174</v>
      </c>
      <c r="O240" s="80" t="s">
        <v>14</v>
      </c>
      <c r="P240" s="80" t="s">
        <v>890</v>
      </c>
      <c r="Q240" s="1071"/>
    </row>
    <row r="241" spans="9:17" ht="13.9" x14ac:dyDescent="0.4">
      <c r="I241" s="1073">
        <f>IF($A$1=4,I236+1,0)</f>
        <v>0</v>
      </c>
      <c r="J241" s="156" t="str">
        <f>A4_Chem_Prices!E$28</f>
        <v>Dropp</v>
      </c>
      <c r="K241" s="1350" t="s">
        <v>839</v>
      </c>
      <c r="L241" s="158" t="str">
        <f>A4_Chem_Prices!F$28</f>
        <v>oz</v>
      </c>
      <c r="M241" s="159">
        <f>A4_Chem_Prices!G$28</f>
        <v>0.78125</v>
      </c>
      <c r="N241" s="157">
        <v>2</v>
      </c>
      <c r="O241" s="82">
        <f t="shared" ref="O241:O247" si="50">M241*N241</f>
        <v>1.5625</v>
      </c>
      <c r="P241" s="1449">
        <f>N241</f>
        <v>2</v>
      </c>
      <c r="Q241" s="1071">
        <f>Q236</f>
        <v>0</v>
      </c>
    </row>
    <row r="242" spans="9:17" ht="13.9" x14ac:dyDescent="0.4">
      <c r="I242" s="1073">
        <f t="shared" ref="I242:I247" si="51">IF($A$1=4,I241+1,0)</f>
        <v>0</v>
      </c>
      <c r="J242" s="156" t="str">
        <f>A4_Chem_Prices!E$29</f>
        <v>Folex</v>
      </c>
      <c r="K242" s="1350" t="s">
        <v>839</v>
      </c>
      <c r="L242" s="158" t="str">
        <f>A4_Chem_Prices!F$29</f>
        <v>oz</v>
      </c>
      <c r="M242" s="159">
        <f>A4_Chem_Prices!G$29</f>
        <v>0.5234375</v>
      </c>
      <c r="N242" s="157">
        <v>6</v>
      </c>
      <c r="O242" s="82">
        <f t="shared" si="50"/>
        <v>3.140625</v>
      </c>
      <c r="P242" s="1449">
        <f>N242</f>
        <v>6</v>
      </c>
      <c r="Q242" s="1071">
        <f t="shared" ref="Q242:Q247" si="52">Q241</f>
        <v>0</v>
      </c>
    </row>
    <row r="243" spans="9:17" ht="13.9" x14ac:dyDescent="0.4">
      <c r="I243" s="1073">
        <f t="shared" si="51"/>
        <v>0</v>
      </c>
      <c r="J243" s="156" t="str">
        <f>A4_Chem_Prices!E$30</f>
        <v>Prep</v>
      </c>
      <c r="K243" s="1350" t="s">
        <v>839</v>
      </c>
      <c r="L243" s="158" t="str">
        <f>A4_Chem_Prices!F$30</f>
        <v>oz</v>
      </c>
      <c r="M243" s="159">
        <f>A4_Chem_Prices!G$30</f>
        <v>0.28125</v>
      </c>
      <c r="N243" s="157">
        <v>6</v>
      </c>
      <c r="O243" s="82">
        <f t="shared" si="50"/>
        <v>1.6875</v>
      </c>
      <c r="P243" s="1449">
        <f>N243</f>
        <v>6</v>
      </c>
      <c r="Q243" s="1071">
        <f t="shared" si="52"/>
        <v>0</v>
      </c>
    </row>
    <row r="244" spans="9:17" ht="13.9" x14ac:dyDescent="0.4">
      <c r="I244" s="1073">
        <f t="shared" si="51"/>
        <v>0</v>
      </c>
      <c r="J244" s="156" t="str">
        <f>A4_Chem_Prices!E$29</f>
        <v>Folex</v>
      </c>
      <c r="K244" s="1350" t="s">
        <v>839</v>
      </c>
      <c r="L244" s="158" t="str">
        <f>A4_Chem_Prices!F$29</f>
        <v>oz</v>
      </c>
      <c r="M244" s="159">
        <f>A4_Chem_Prices!G$29</f>
        <v>0.5234375</v>
      </c>
      <c r="N244" s="157">
        <v>8</v>
      </c>
      <c r="O244" s="82">
        <f t="shared" si="50"/>
        <v>4.1875</v>
      </c>
      <c r="P244" s="1449">
        <f>N244</f>
        <v>8</v>
      </c>
      <c r="Q244" s="1071">
        <f t="shared" si="52"/>
        <v>0</v>
      </c>
    </row>
    <row r="245" spans="9:17" ht="13.9" x14ac:dyDescent="0.4">
      <c r="I245" s="1073">
        <f t="shared" si="51"/>
        <v>0</v>
      </c>
      <c r="J245" s="156" t="str">
        <f>A4_Chem_Prices!E$30</f>
        <v>Prep</v>
      </c>
      <c r="K245" s="1350" t="s">
        <v>839</v>
      </c>
      <c r="L245" s="158" t="str">
        <f>A4_Chem_Prices!F$30</f>
        <v>oz</v>
      </c>
      <c r="M245" s="159">
        <f>A4_Chem_Prices!G$30</f>
        <v>0.28125</v>
      </c>
      <c r="N245" s="157">
        <v>32</v>
      </c>
      <c r="O245" s="82">
        <f t="shared" si="50"/>
        <v>9</v>
      </c>
      <c r="P245" s="1449">
        <f>N245</f>
        <v>32</v>
      </c>
      <c r="Q245" s="1071">
        <f t="shared" si="52"/>
        <v>0</v>
      </c>
    </row>
    <row r="246" spans="9:17" ht="13.9" x14ac:dyDescent="0.4">
      <c r="I246" s="1073">
        <f t="shared" si="51"/>
        <v>0</v>
      </c>
      <c r="J246" s="156" t="s">
        <v>19</v>
      </c>
      <c r="K246" s="1350" t="s">
        <v>839</v>
      </c>
      <c r="L246" s="158"/>
      <c r="M246" s="159">
        <v>0</v>
      </c>
      <c r="N246" s="157">
        <v>0</v>
      </c>
      <c r="O246" s="82">
        <f t="shared" si="50"/>
        <v>0</v>
      </c>
      <c r="P246" s="1350" t="s">
        <v>839</v>
      </c>
      <c r="Q246" s="1071">
        <f t="shared" si="52"/>
        <v>0</v>
      </c>
    </row>
    <row r="247" spans="9:17" ht="13.9" x14ac:dyDescent="0.4">
      <c r="I247" s="1073">
        <f t="shared" si="51"/>
        <v>0</v>
      </c>
      <c r="J247" s="156" t="s">
        <v>19</v>
      </c>
      <c r="K247" s="1350" t="s">
        <v>839</v>
      </c>
      <c r="L247" s="158"/>
      <c r="M247" s="159">
        <v>0</v>
      </c>
      <c r="N247" s="157">
        <v>0</v>
      </c>
      <c r="O247" s="82">
        <f t="shared" si="50"/>
        <v>0</v>
      </c>
      <c r="P247" s="1350" t="s">
        <v>839</v>
      </c>
      <c r="Q247" s="1071">
        <f t="shared" si="52"/>
        <v>0</v>
      </c>
    </row>
    <row r="248" spans="9:17" ht="13.9" x14ac:dyDescent="0.4">
      <c r="I248" s="1071"/>
      <c r="J248" s="86" t="s">
        <v>22</v>
      </c>
      <c r="K248" s="86"/>
      <c r="L248" s="86"/>
      <c r="M248" s="81"/>
      <c r="N248" s="87"/>
      <c r="O248" s="88">
        <f>SUM(O241:O247)</f>
        <v>19.578125</v>
      </c>
      <c r="P248" s="86"/>
      <c r="Q248" s="1071"/>
    </row>
    <row r="249" spans="9:17" ht="13.9" x14ac:dyDescent="0.4">
      <c r="I249" s="1071"/>
      <c r="J249" s="83"/>
      <c r="K249" s="83"/>
      <c r="L249" s="83"/>
      <c r="M249" s="89"/>
      <c r="N249" s="84"/>
      <c r="O249" s="89"/>
      <c r="P249" s="83"/>
      <c r="Q249" s="1071"/>
    </row>
    <row r="250" spans="9:17" ht="13.9" x14ac:dyDescent="0.4">
      <c r="I250" s="1071"/>
      <c r="J250" s="1168" t="str">
        <f>A2_Budget_Look_Up!H7</f>
        <v>B3XF Cotton, Pivot</v>
      </c>
      <c r="K250" s="1168"/>
      <c r="L250" s="1168">
        <f>A2_Budget_Look_Up!F7</f>
        <v>5</v>
      </c>
      <c r="M250" s="1168"/>
      <c r="N250" s="1168"/>
      <c r="O250" s="1168"/>
      <c r="P250" s="1168"/>
      <c r="Q250" s="1071"/>
    </row>
    <row r="251" spans="9:17" ht="13.9" x14ac:dyDescent="0.4">
      <c r="I251" s="1071"/>
      <c r="J251" s="83"/>
      <c r="K251" s="83"/>
      <c r="L251" s="83"/>
      <c r="M251" s="83"/>
      <c r="N251" s="84"/>
      <c r="O251" s="83"/>
      <c r="P251" s="83"/>
      <c r="Q251" s="1071"/>
    </row>
    <row r="252" spans="9:17" ht="13.9" x14ac:dyDescent="0.4">
      <c r="I252" s="1071"/>
      <c r="J252" s="78" t="s">
        <v>18</v>
      </c>
      <c r="K252" s="78"/>
      <c r="L252" s="78"/>
      <c r="M252" s="79"/>
      <c r="N252" s="85"/>
      <c r="O252" s="79"/>
      <c r="P252" s="78"/>
      <c r="Q252" s="1071"/>
    </row>
    <row r="253" spans="9:17" ht="13.9" x14ac:dyDescent="0.4">
      <c r="I253" s="1071"/>
      <c r="J253" s="80" t="s">
        <v>212</v>
      </c>
      <c r="K253" s="80" t="s">
        <v>838</v>
      </c>
      <c r="L253" s="80" t="s">
        <v>2</v>
      </c>
      <c r="M253" s="80" t="s">
        <v>21</v>
      </c>
      <c r="N253" s="80" t="s">
        <v>174</v>
      </c>
      <c r="O253" s="80" t="s">
        <v>14</v>
      </c>
      <c r="P253" s="80" t="s">
        <v>890</v>
      </c>
      <c r="Q253" s="1071"/>
    </row>
    <row r="254" spans="9:17" ht="13.9" x14ac:dyDescent="0.4">
      <c r="I254" s="1073">
        <f>IF($A$1=5,1,0)</f>
        <v>0</v>
      </c>
      <c r="J254" s="159" t="str">
        <f>A4_Chem_Prices!E$2</f>
        <v>Roundup Powermax 3</v>
      </c>
      <c r="K254" s="1350" t="s">
        <v>839</v>
      </c>
      <c r="L254" s="158" t="str">
        <f>A4_Chem_Prices!F$2</f>
        <v>pt</v>
      </c>
      <c r="M254" s="159">
        <f>A4_Chem_Prices!G$2</f>
        <v>2.25</v>
      </c>
      <c r="N254" s="159">
        <v>2</v>
      </c>
      <c r="O254" s="82">
        <f t="shared" ref="O254:O267" si="53">M254*N254</f>
        <v>4.5</v>
      </c>
      <c r="P254" s="1449">
        <f>N254*16</f>
        <v>32</v>
      </c>
      <c r="Q254" s="1171">
        <f>IF(SUM(I254:I309)=820,L250,0)</f>
        <v>0</v>
      </c>
    </row>
    <row r="255" spans="9:17" ht="13.9" x14ac:dyDescent="0.4">
      <c r="I255" s="1073">
        <f t="shared" ref="I255:I267" si="54">IF($A$1=5,I254+1,0)</f>
        <v>0</v>
      </c>
      <c r="J255" s="159" t="str">
        <f>A4_Chem_Prices!E$15</f>
        <v>2,4-D</v>
      </c>
      <c r="K255" s="1350" t="s">
        <v>839</v>
      </c>
      <c r="L255" s="158" t="str">
        <f>A4_Chem_Prices!F$15</f>
        <v>pt</v>
      </c>
      <c r="M255" s="159">
        <f>A4_Chem_Prices!G$15</f>
        <v>4.375</v>
      </c>
      <c r="N255" s="157">
        <v>1.5</v>
      </c>
      <c r="O255" s="82">
        <f t="shared" si="53"/>
        <v>6.5625</v>
      </c>
      <c r="P255" s="1449">
        <f>N255</f>
        <v>1.5</v>
      </c>
      <c r="Q255" s="1071">
        <f>Q254</f>
        <v>0</v>
      </c>
    </row>
    <row r="256" spans="9:17" ht="13.9" x14ac:dyDescent="0.4">
      <c r="I256" s="1073">
        <f t="shared" si="54"/>
        <v>0</v>
      </c>
      <c r="J256" s="159" t="str">
        <f>A4_Chem_Prices!B$13</f>
        <v>Brake</v>
      </c>
      <c r="K256" s="1350" t="s">
        <v>839</v>
      </c>
      <c r="L256" s="158" t="str">
        <f>A4_Chem_Prices!C$13</f>
        <v>pt</v>
      </c>
      <c r="M256" s="159">
        <f>A4_Chem_Prices!D$13</f>
        <v>25.5</v>
      </c>
      <c r="N256" s="157">
        <v>1</v>
      </c>
      <c r="O256" s="82">
        <f t="shared" si="53"/>
        <v>25.5</v>
      </c>
      <c r="P256" s="1449">
        <f>N256*16</f>
        <v>16</v>
      </c>
      <c r="Q256" s="1071">
        <f t="shared" ref="Q256:Q267" si="55">Q255</f>
        <v>0</v>
      </c>
    </row>
    <row r="257" spans="9:17" ht="13.9" x14ac:dyDescent="0.4">
      <c r="I257" s="1073">
        <f t="shared" si="54"/>
        <v>0</v>
      </c>
      <c r="J257" s="159" t="str">
        <f>A4_Chem_Prices!E$5</f>
        <v>Cotoran</v>
      </c>
      <c r="K257" s="1350" t="s">
        <v>839</v>
      </c>
      <c r="L257" s="160" t="str">
        <f>A4_Chem_Prices!F$5</f>
        <v>pt</v>
      </c>
      <c r="M257" s="159">
        <f>A4_Chem_Prices!G$5</f>
        <v>2.5</v>
      </c>
      <c r="N257" s="157">
        <v>1.6</v>
      </c>
      <c r="O257" s="82">
        <f t="shared" si="53"/>
        <v>4</v>
      </c>
      <c r="P257" s="1449">
        <f>N257*16</f>
        <v>25.6</v>
      </c>
      <c r="Q257" s="1071">
        <f t="shared" si="55"/>
        <v>0</v>
      </c>
    </row>
    <row r="258" spans="9:17" ht="13.9" x14ac:dyDescent="0.4">
      <c r="I258" s="1073">
        <f t="shared" si="54"/>
        <v>0</v>
      </c>
      <c r="J258" s="159" t="str">
        <f>A4_Chem_Prices!E$10</f>
        <v>Liberty</v>
      </c>
      <c r="K258" s="1350" t="s">
        <v>839</v>
      </c>
      <c r="L258" s="160" t="str">
        <f>A4_Chem_Prices!F$10</f>
        <v>oz</v>
      </c>
      <c r="M258" s="159">
        <f>A4_Chem_Prices!G$10</f>
        <v>0.28875000000000001</v>
      </c>
      <c r="N258" s="157">
        <v>32</v>
      </c>
      <c r="O258" s="82">
        <f t="shared" si="53"/>
        <v>9.24</v>
      </c>
      <c r="P258" s="1449">
        <f>N258*16</f>
        <v>512</v>
      </c>
      <c r="Q258" s="1071">
        <f t="shared" si="55"/>
        <v>0</v>
      </c>
    </row>
    <row r="259" spans="9:17" ht="13.9" x14ac:dyDescent="0.4">
      <c r="I259" s="1073">
        <f t="shared" si="54"/>
        <v>0</v>
      </c>
      <c r="J259" s="159" t="str">
        <f>A4_Chem_Prices!B$12</f>
        <v>Outlook</v>
      </c>
      <c r="K259" s="1350" t="s">
        <v>839</v>
      </c>
      <c r="L259" s="160" t="str">
        <f>A4_Chem_Prices!C$12</f>
        <v>oz</v>
      </c>
      <c r="M259" s="159">
        <f>A4_Chem_Prices!D$12</f>
        <v>0.84234374999999995</v>
      </c>
      <c r="N259" s="157">
        <v>12.8</v>
      </c>
      <c r="O259" s="82">
        <f t="shared" si="53"/>
        <v>10.782</v>
      </c>
      <c r="P259" s="1449">
        <f>N259</f>
        <v>12.8</v>
      </c>
      <c r="Q259" s="1071">
        <f t="shared" si="55"/>
        <v>0</v>
      </c>
    </row>
    <row r="260" spans="9:17" ht="15" customHeight="1" x14ac:dyDescent="0.4">
      <c r="I260" s="1073">
        <f t="shared" si="54"/>
        <v>0</v>
      </c>
      <c r="J260" s="159" t="str">
        <f>A4_Chem_Prices!E$10</f>
        <v>Liberty</v>
      </c>
      <c r="K260" s="1350" t="s">
        <v>839</v>
      </c>
      <c r="L260" s="160" t="str">
        <f>A4_Chem_Prices!F$10</f>
        <v>oz</v>
      </c>
      <c r="M260" s="159">
        <f>A4_Chem_Prices!G$10</f>
        <v>0.28875000000000001</v>
      </c>
      <c r="N260" s="157">
        <v>32</v>
      </c>
      <c r="O260" s="82">
        <f t="shared" si="53"/>
        <v>9.24</v>
      </c>
      <c r="P260" s="1449">
        <f>N260</f>
        <v>32</v>
      </c>
      <c r="Q260" s="1071">
        <f t="shared" si="55"/>
        <v>0</v>
      </c>
    </row>
    <row r="261" spans="9:17" ht="13.9" x14ac:dyDescent="0.4">
      <c r="I261" s="1073">
        <f t="shared" si="54"/>
        <v>0</v>
      </c>
      <c r="J261" s="159" t="str">
        <f>A4_Chem_Prices!E$7</f>
        <v>Metolachlor</v>
      </c>
      <c r="K261" s="1350" t="s">
        <v>839</v>
      </c>
      <c r="L261" s="160" t="str">
        <f>A4_Chem_Prices!F$7</f>
        <v>pt</v>
      </c>
      <c r="M261" s="159">
        <f>A4_Chem_Prices!G$7</f>
        <v>5.0387500000000003</v>
      </c>
      <c r="N261" s="157">
        <v>1</v>
      </c>
      <c r="O261" s="82">
        <f t="shared" si="53"/>
        <v>5.0387500000000003</v>
      </c>
      <c r="P261" s="1449">
        <f>N261*16</f>
        <v>16</v>
      </c>
      <c r="Q261" s="1071">
        <f t="shared" si="55"/>
        <v>0</v>
      </c>
    </row>
    <row r="262" spans="9:17" ht="15" customHeight="1" x14ac:dyDescent="0.4">
      <c r="I262" s="1073">
        <f t="shared" si="54"/>
        <v>0</v>
      </c>
      <c r="J262" s="159" t="str">
        <f>A4_Chem_Prices!E$10</f>
        <v>Liberty</v>
      </c>
      <c r="K262" s="1350" t="s">
        <v>839</v>
      </c>
      <c r="L262" s="160" t="str">
        <f>A4_Chem_Prices!F$10</f>
        <v>oz</v>
      </c>
      <c r="M262" s="159">
        <f>A4_Chem_Prices!G$10</f>
        <v>0.28875000000000001</v>
      </c>
      <c r="N262" s="157">
        <v>32</v>
      </c>
      <c r="O262" s="82">
        <f t="shared" si="53"/>
        <v>9.24</v>
      </c>
      <c r="P262" s="1449">
        <f>N262</f>
        <v>32</v>
      </c>
      <c r="Q262" s="1071">
        <f t="shared" si="55"/>
        <v>0</v>
      </c>
    </row>
    <row r="263" spans="9:17" ht="13.9" x14ac:dyDescent="0.4">
      <c r="I263" s="1073">
        <f t="shared" si="54"/>
        <v>0</v>
      </c>
      <c r="J263" s="159" t="str">
        <f>A4_Chem_Prices!E$8</f>
        <v>Direx</v>
      </c>
      <c r="K263" s="1350" t="s">
        <v>839</v>
      </c>
      <c r="L263" s="160" t="str">
        <f>A4_Chem_Prices!F$8</f>
        <v>pt</v>
      </c>
      <c r="M263" s="159">
        <f>A4_Chem_Prices!G$8</f>
        <v>4.4637500000000001</v>
      </c>
      <c r="N263" s="157">
        <v>1.5</v>
      </c>
      <c r="O263" s="82">
        <f t="shared" si="53"/>
        <v>6.6956249999999997</v>
      </c>
      <c r="P263" s="1449">
        <f>N263*16</f>
        <v>24</v>
      </c>
      <c r="Q263" s="1071">
        <f t="shared" si="55"/>
        <v>0</v>
      </c>
    </row>
    <row r="264" spans="9:17" ht="13.9" x14ac:dyDescent="0.4">
      <c r="I264" s="1073">
        <f t="shared" si="54"/>
        <v>0</v>
      </c>
      <c r="J264" s="159" t="str">
        <f>A4_Chem_Prices!E$9</f>
        <v>MSMA 6</v>
      </c>
      <c r="K264" s="1350" t="s">
        <v>839</v>
      </c>
      <c r="L264" s="160" t="str">
        <f>A4_Chem_Prices!F$9</f>
        <v>qt</v>
      </c>
      <c r="M264" s="159">
        <f>A4_Chem_Prices!G$9</f>
        <v>14.375</v>
      </c>
      <c r="N264" s="157">
        <v>1.5</v>
      </c>
      <c r="O264" s="82">
        <f t="shared" si="53"/>
        <v>21.5625</v>
      </c>
      <c r="P264" s="1449">
        <f>N264*16</f>
        <v>24</v>
      </c>
      <c r="Q264" s="1071">
        <f t="shared" si="55"/>
        <v>0</v>
      </c>
    </row>
    <row r="265" spans="9:17" ht="13.9" x14ac:dyDescent="0.4">
      <c r="I265" s="1073">
        <f t="shared" si="54"/>
        <v>0</v>
      </c>
      <c r="J265" s="159" t="s">
        <v>19</v>
      </c>
      <c r="K265" s="1350" t="s">
        <v>839</v>
      </c>
      <c r="L265" s="160"/>
      <c r="M265" s="159">
        <v>0</v>
      </c>
      <c r="N265" s="157">
        <v>0</v>
      </c>
      <c r="O265" s="82">
        <f t="shared" si="53"/>
        <v>0</v>
      </c>
      <c r="P265" s="1449">
        <f>N265</f>
        <v>0</v>
      </c>
      <c r="Q265" s="1071">
        <f t="shared" si="55"/>
        <v>0</v>
      </c>
    </row>
    <row r="266" spans="9:17" ht="13.9" x14ac:dyDescent="0.4">
      <c r="I266" s="1073">
        <f t="shared" si="54"/>
        <v>0</v>
      </c>
      <c r="J266" s="159" t="s">
        <v>19</v>
      </c>
      <c r="K266" s="1350" t="s">
        <v>839</v>
      </c>
      <c r="L266" s="160"/>
      <c r="M266" s="159">
        <v>0</v>
      </c>
      <c r="N266" s="157">
        <v>0</v>
      </c>
      <c r="O266" s="82">
        <f t="shared" si="53"/>
        <v>0</v>
      </c>
      <c r="P266" s="160">
        <f>N266*32</f>
        <v>0</v>
      </c>
      <c r="Q266" s="1071">
        <f t="shared" si="55"/>
        <v>0</v>
      </c>
    </row>
    <row r="267" spans="9:17" ht="13.9" x14ac:dyDescent="0.4">
      <c r="I267" s="1073">
        <f t="shared" si="54"/>
        <v>0</v>
      </c>
      <c r="J267" s="159" t="s">
        <v>19</v>
      </c>
      <c r="K267" s="1350" t="s">
        <v>839</v>
      </c>
      <c r="L267" s="160"/>
      <c r="M267" s="159">
        <v>0</v>
      </c>
      <c r="N267" s="157">
        <v>0</v>
      </c>
      <c r="O267" s="82">
        <f t="shared" si="53"/>
        <v>0</v>
      </c>
      <c r="P267" s="158"/>
      <c r="Q267" s="1071">
        <f t="shared" si="55"/>
        <v>0</v>
      </c>
    </row>
    <row r="268" spans="9:17" ht="13.9" x14ac:dyDescent="0.4">
      <c r="I268" s="1071"/>
      <c r="J268" s="86" t="s">
        <v>22</v>
      </c>
      <c r="K268" s="86"/>
      <c r="L268" s="86"/>
      <c r="M268" s="81"/>
      <c r="N268" s="87"/>
      <c r="O268" s="88">
        <f>SUM(O254:O267)</f>
        <v>112.36137499999998</v>
      </c>
      <c r="P268" s="86"/>
      <c r="Q268" s="1071"/>
    </row>
    <row r="269" spans="9:17" ht="13.9" x14ac:dyDescent="0.4">
      <c r="I269" s="1071"/>
      <c r="J269" s="83"/>
      <c r="K269" s="83"/>
      <c r="L269" s="83"/>
      <c r="M269" s="83"/>
      <c r="N269" s="84"/>
      <c r="O269" s="83"/>
      <c r="P269" s="83"/>
      <c r="Q269" s="1071"/>
    </row>
    <row r="270" spans="9:17" ht="13.9" x14ac:dyDescent="0.4">
      <c r="I270" s="1071"/>
      <c r="J270" s="78" t="s">
        <v>20</v>
      </c>
      <c r="K270" s="78"/>
      <c r="L270" s="78"/>
      <c r="M270" s="79"/>
      <c r="N270" s="85"/>
      <c r="O270" s="79"/>
      <c r="P270" s="78"/>
      <c r="Q270" s="1071"/>
    </row>
    <row r="271" spans="9:17" ht="13.9" x14ac:dyDescent="0.4">
      <c r="I271" s="1071"/>
      <c r="J271" s="80" t="s">
        <v>212</v>
      </c>
      <c r="K271" s="80" t="s">
        <v>838</v>
      </c>
      <c r="L271" s="80" t="s">
        <v>2</v>
      </c>
      <c r="M271" s="80" t="s">
        <v>21</v>
      </c>
      <c r="N271" s="80" t="s">
        <v>174</v>
      </c>
      <c r="O271" s="80" t="s">
        <v>14</v>
      </c>
      <c r="P271" s="80" t="s">
        <v>890</v>
      </c>
      <c r="Q271" s="1071"/>
    </row>
    <row r="272" spans="9:17" ht="13.9" x14ac:dyDescent="0.4">
      <c r="I272" s="1073">
        <f>IF($A$1=5,I267+1,0)</f>
        <v>0</v>
      </c>
      <c r="J272" s="159" t="str">
        <f>A4_Chem_Prices!E$18</f>
        <v>Centric</v>
      </c>
      <c r="K272" s="1350" t="s">
        <v>839</v>
      </c>
      <c r="L272" s="160" t="str">
        <f>A4_Chem_Prices!F$18</f>
        <v>oz</v>
      </c>
      <c r="M272" s="159">
        <f>A4_Chem_Prices!G$18</f>
        <v>5.95</v>
      </c>
      <c r="N272" s="157">
        <v>2</v>
      </c>
      <c r="O272" s="82">
        <f t="shared" ref="O272:O281" si="56">M272*N272</f>
        <v>11.9</v>
      </c>
      <c r="P272" s="1449">
        <f t="shared" ref="P272:P278" si="57">N272</f>
        <v>2</v>
      </c>
      <c r="Q272" s="1071">
        <f>Q254</f>
        <v>0</v>
      </c>
    </row>
    <row r="273" spans="9:17" ht="13.9" x14ac:dyDescent="0.4">
      <c r="I273" s="1073">
        <f t="shared" ref="I273:I281" si="58">IF($A$1=5,I272+1,0)</f>
        <v>0</v>
      </c>
      <c r="J273" s="159" t="str">
        <f>A4_Chem_Prices!E$19</f>
        <v>Diamond</v>
      </c>
      <c r="K273" s="1350" t="s">
        <v>839</v>
      </c>
      <c r="L273" s="160" t="str">
        <f>A4_Chem_Prices!F$19</f>
        <v>oz</v>
      </c>
      <c r="M273" s="159">
        <f>A4_Chem_Prices!G$19</f>
        <v>1.1971354166666666</v>
      </c>
      <c r="N273" s="157">
        <v>6</v>
      </c>
      <c r="O273" s="82">
        <f t="shared" si="56"/>
        <v>7.1828124999999989</v>
      </c>
      <c r="P273" s="1449">
        <f t="shared" si="57"/>
        <v>6</v>
      </c>
      <c r="Q273" s="1071">
        <f>Q272</f>
        <v>0</v>
      </c>
    </row>
    <row r="274" spans="9:17" ht="13.9" x14ac:dyDescent="0.4">
      <c r="I274" s="1073">
        <f t="shared" si="58"/>
        <v>0</v>
      </c>
      <c r="J274" s="159" t="str">
        <f>A4_Chem_Prices!E$18</f>
        <v>Centric</v>
      </c>
      <c r="K274" s="1350" t="s">
        <v>839</v>
      </c>
      <c r="L274" s="160" t="str">
        <f>A4_Chem_Prices!F$18</f>
        <v>oz</v>
      </c>
      <c r="M274" s="159">
        <f>A4_Chem_Prices!G$18</f>
        <v>5.95</v>
      </c>
      <c r="N274" s="157">
        <v>2</v>
      </c>
      <c r="O274" s="82">
        <f t="shared" si="56"/>
        <v>11.9</v>
      </c>
      <c r="P274" s="1449">
        <f t="shared" si="57"/>
        <v>2</v>
      </c>
      <c r="Q274" s="1071">
        <f t="shared" ref="Q274:Q281" si="59">Q273</f>
        <v>0</v>
      </c>
    </row>
    <row r="275" spans="9:17" ht="13.9" x14ac:dyDescent="0.4">
      <c r="I275" s="1073">
        <f t="shared" si="58"/>
        <v>0</v>
      </c>
      <c r="J275" s="159" t="str">
        <f>A4_Chem_Prices!E$19</f>
        <v>Diamond</v>
      </c>
      <c r="K275" s="1350" t="s">
        <v>839</v>
      </c>
      <c r="L275" s="160" t="str">
        <f>A4_Chem_Prices!F$19</f>
        <v>oz</v>
      </c>
      <c r="M275" s="159">
        <f>A4_Chem_Prices!G$19</f>
        <v>1.1971354166666666</v>
      </c>
      <c r="N275" s="157">
        <v>6</v>
      </c>
      <c r="O275" s="82">
        <f t="shared" si="56"/>
        <v>7.1828124999999989</v>
      </c>
      <c r="P275" s="1449">
        <f t="shared" si="57"/>
        <v>6</v>
      </c>
      <c r="Q275" s="1071">
        <f t="shared" si="59"/>
        <v>0</v>
      </c>
    </row>
    <row r="276" spans="9:17" ht="13.9" x14ac:dyDescent="0.4">
      <c r="I276" s="1073">
        <f t="shared" si="58"/>
        <v>0</v>
      </c>
      <c r="J276" s="159" t="str">
        <f>A4_Chem_Prices!E$20</f>
        <v>Transform</v>
      </c>
      <c r="K276" s="1350" t="s">
        <v>839</v>
      </c>
      <c r="L276" s="160" t="str">
        <f>A4_Chem_Prices!F$20</f>
        <v>oz</v>
      </c>
      <c r="M276" s="159">
        <f>A4_Chem_Prices!G$20</f>
        <v>7.859375</v>
      </c>
      <c r="N276" s="157">
        <v>2</v>
      </c>
      <c r="O276" s="82">
        <f t="shared" si="56"/>
        <v>15.71875</v>
      </c>
      <c r="P276" s="1449">
        <f t="shared" si="57"/>
        <v>2</v>
      </c>
      <c r="Q276" s="1071">
        <f t="shared" si="59"/>
        <v>0</v>
      </c>
    </row>
    <row r="277" spans="9:17" ht="13.9" x14ac:dyDescent="0.4">
      <c r="I277" s="1073">
        <f t="shared" si="58"/>
        <v>0</v>
      </c>
      <c r="J277" s="159" t="str">
        <f>A4_Chem_Prices!E$20</f>
        <v>Transform</v>
      </c>
      <c r="K277" s="1350" t="s">
        <v>839</v>
      </c>
      <c r="L277" s="160" t="str">
        <f>A4_Chem_Prices!F$20</f>
        <v>oz</v>
      </c>
      <c r="M277" s="159">
        <f>A4_Chem_Prices!G$20</f>
        <v>7.859375</v>
      </c>
      <c r="N277" s="157">
        <v>2</v>
      </c>
      <c r="O277" s="82">
        <f t="shared" si="56"/>
        <v>15.71875</v>
      </c>
      <c r="P277" s="1449">
        <f t="shared" si="57"/>
        <v>2</v>
      </c>
      <c r="Q277" s="1071">
        <f t="shared" si="59"/>
        <v>0</v>
      </c>
    </row>
    <row r="278" spans="9:17" ht="13.9" x14ac:dyDescent="0.4">
      <c r="I278" s="1073">
        <f t="shared" si="58"/>
        <v>0</v>
      </c>
      <c r="J278" s="159" t="s">
        <v>19</v>
      </c>
      <c r="K278" s="1350" t="s">
        <v>839</v>
      </c>
      <c r="L278" s="160"/>
      <c r="M278" s="159">
        <v>0</v>
      </c>
      <c r="N278" s="157">
        <v>0</v>
      </c>
      <c r="O278" s="82">
        <f t="shared" si="56"/>
        <v>0</v>
      </c>
      <c r="P278" s="1449">
        <f t="shared" si="57"/>
        <v>0</v>
      </c>
      <c r="Q278" s="1071">
        <f t="shared" si="59"/>
        <v>0</v>
      </c>
    </row>
    <row r="279" spans="9:17" ht="13.9" x14ac:dyDescent="0.4">
      <c r="I279" s="1073">
        <f t="shared" si="58"/>
        <v>0</v>
      </c>
      <c r="J279" s="159" t="s">
        <v>19</v>
      </c>
      <c r="K279" s="1350" t="s">
        <v>839</v>
      </c>
      <c r="L279" s="160"/>
      <c r="M279" s="159">
        <v>0</v>
      </c>
      <c r="N279" s="157">
        <v>0</v>
      </c>
      <c r="O279" s="82">
        <f t="shared" si="56"/>
        <v>0</v>
      </c>
      <c r="P279" s="158"/>
      <c r="Q279" s="1071">
        <f t="shared" si="59"/>
        <v>0</v>
      </c>
    </row>
    <row r="280" spans="9:17" ht="13.9" x14ac:dyDescent="0.4">
      <c r="I280" s="1073">
        <f t="shared" si="58"/>
        <v>0</v>
      </c>
      <c r="J280" s="159" t="s">
        <v>19</v>
      </c>
      <c r="K280" s="1350" t="s">
        <v>839</v>
      </c>
      <c r="L280" s="160"/>
      <c r="M280" s="159">
        <v>0</v>
      </c>
      <c r="N280" s="157">
        <v>0</v>
      </c>
      <c r="O280" s="82">
        <f t="shared" si="56"/>
        <v>0</v>
      </c>
      <c r="P280" s="158"/>
      <c r="Q280" s="1071">
        <f t="shared" si="59"/>
        <v>0</v>
      </c>
    </row>
    <row r="281" spans="9:17" ht="13.9" x14ac:dyDescent="0.4">
      <c r="I281" s="1073">
        <f t="shared" si="58"/>
        <v>0</v>
      </c>
      <c r="J281" s="159" t="s">
        <v>19</v>
      </c>
      <c r="K281" s="1350" t="s">
        <v>839</v>
      </c>
      <c r="L281" s="160"/>
      <c r="M281" s="159">
        <v>0</v>
      </c>
      <c r="N281" s="157">
        <v>0</v>
      </c>
      <c r="O281" s="82">
        <f t="shared" si="56"/>
        <v>0</v>
      </c>
      <c r="P281" s="158"/>
      <c r="Q281" s="1071">
        <f t="shared" si="59"/>
        <v>0</v>
      </c>
    </row>
    <row r="282" spans="9:17" ht="13.9" x14ac:dyDescent="0.4">
      <c r="I282" s="1071"/>
      <c r="J282" s="86" t="s">
        <v>22</v>
      </c>
      <c r="K282" s="86"/>
      <c r="L282" s="86"/>
      <c r="M282" s="81"/>
      <c r="N282" s="87"/>
      <c r="O282" s="88">
        <f>SUM(O272:O281)</f>
        <v>69.603125000000006</v>
      </c>
      <c r="P282" s="86"/>
      <c r="Q282" s="1071"/>
    </row>
    <row r="283" spans="9:17" ht="13.9" x14ac:dyDescent="0.4">
      <c r="I283" s="1071"/>
      <c r="J283" s="83"/>
      <c r="K283" s="83"/>
      <c r="L283" s="83"/>
      <c r="M283" s="83"/>
      <c r="N283" s="84"/>
      <c r="O283" s="83"/>
      <c r="P283" s="83"/>
      <c r="Q283" s="1071"/>
    </row>
    <row r="284" spans="9:17" ht="13.9" x14ac:dyDescent="0.4">
      <c r="I284" s="1071"/>
      <c r="J284" s="78" t="str">
        <f>IF(OR(A2_Budget_Look_Up!$B$7=1,A2_Budget_Look_Up!$B$13=1),"Nematicide Detail", "Fungicide Detail")</f>
        <v>Fungicide Detail</v>
      </c>
      <c r="K284" s="78"/>
      <c r="L284" s="78"/>
      <c r="M284" s="79"/>
      <c r="N284" s="85"/>
      <c r="O284" s="79"/>
      <c r="P284" s="78"/>
      <c r="Q284" s="1071"/>
    </row>
    <row r="285" spans="9:17" ht="13.9" x14ac:dyDescent="0.4">
      <c r="I285" s="1071"/>
      <c r="J285" s="80" t="s">
        <v>212</v>
      </c>
      <c r="K285" s="80" t="s">
        <v>838</v>
      </c>
      <c r="L285" s="80" t="s">
        <v>2</v>
      </c>
      <c r="M285" s="80" t="s">
        <v>21</v>
      </c>
      <c r="N285" s="80" t="s">
        <v>174</v>
      </c>
      <c r="O285" s="80" t="s">
        <v>14</v>
      </c>
      <c r="P285" s="80" t="s">
        <v>890</v>
      </c>
      <c r="Q285" s="1071"/>
    </row>
    <row r="286" spans="9:17" ht="13.9" x14ac:dyDescent="0.4">
      <c r="I286" s="1073">
        <f>IF($A$1=5,I281+1,0)</f>
        <v>0</v>
      </c>
      <c r="J286" s="156" t="s">
        <v>19</v>
      </c>
      <c r="K286" s="1350" t="s">
        <v>839</v>
      </c>
      <c r="L286" s="158"/>
      <c r="M286" s="159">
        <v>0</v>
      </c>
      <c r="N286" s="157">
        <v>0</v>
      </c>
      <c r="O286" s="82">
        <f>M286*N286</f>
        <v>0</v>
      </c>
      <c r="P286" s="158"/>
      <c r="Q286" s="1071">
        <f>Q281</f>
        <v>0</v>
      </c>
    </row>
    <row r="287" spans="9:17" ht="13.9" x14ac:dyDescent="0.4">
      <c r="I287" s="1073">
        <f>IF($A$1=5,I286+1,0)</f>
        <v>0</v>
      </c>
      <c r="J287" s="156" t="s">
        <v>19</v>
      </c>
      <c r="K287" s="1350" t="s">
        <v>839</v>
      </c>
      <c r="L287" s="158"/>
      <c r="M287" s="159">
        <v>0</v>
      </c>
      <c r="N287" s="157">
        <v>0</v>
      </c>
      <c r="O287" s="82">
        <f>M287*N287</f>
        <v>0</v>
      </c>
      <c r="P287" s="158"/>
      <c r="Q287" s="1071">
        <f>Q286</f>
        <v>0</v>
      </c>
    </row>
    <row r="288" spans="9:17" ht="13.9" x14ac:dyDescent="0.4">
      <c r="I288" s="1071"/>
      <c r="J288" s="86" t="s">
        <v>22</v>
      </c>
      <c r="K288" s="86"/>
      <c r="L288" s="86"/>
      <c r="M288" s="81"/>
      <c r="N288" s="87"/>
      <c r="O288" s="88">
        <f>SUM(O286:O287)</f>
        <v>0</v>
      </c>
      <c r="P288" s="86"/>
      <c r="Q288" s="1071"/>
    </row>
    <row r="290" spans="9:17" ht="13.9" x14ac:dyDescent="0.4">
      <c r="I290" s="1071"/>
      <c r="J290" s="78" t="str">
        <f>IF(A2_Budget_Look_Up!$B$7=1,"Growth Regulator Detail", IF(A2_Budget_Look_Up!$B$13=1,"Fungicide Detail","Other Chemical Detail"))</f>
        <v>Other Chemical Detail</v>
      </c>
      <c r="K290" s="78"/>
      <c r="L290" s="78"/>
      <c r="M290" s="79"/>
      <c r="N290" s="85"/>
      <c r="O290" s="79"/>
      <c r="P290" s="78"/>
      <c r="Q290" s="1071"/>
    </row>
    <row r="291" spans="9:17" ht="13.9" x14ac:dyDescent="0.4">
      <c r="I291" s="1071"/>
      <c r="J291" s="80" t="s">
        <v>212</v>
      </c>
      <c r="K291" s="80" t="s">
        <v>838</v>
      </c>
      <c r="L291" s="80" t="s">
        <v>2</v>
      </c>
      <c r="M291" s="80" t="s">
        <v>21</v>
      </c>
      <c r="N291" s="80" t="s">
        <v>174</v>
      </c>
      <c r="O291" s="80" t="s">
        <v>14</v>
      </c>
      <c r="P291" s="80" t="s">
        <v>890</v>
      </c>
      <c r="Q291" s="1071"/>
    </row>
    <row r="292" spans="9:17" ht="13.9" x14ac:dyDescent="0.4">
      <c r="I292" s="1073">
        <f>IF($A$1=5,I287+1,0)</f>
        <v>0</v>
      </c>
      <c r="J292" s="156" t="str">
        <f>A4_Chem_Prices!E$26</f>
        <v>Mepiquat</v>
      </c>
      <c r="K292" s="1350" t="s">
        <v>839</v>
      </c>
      <c r="L292" s="158" t="str">
        <f>A4_Chem_Prices!F$26</f>
        <v>oz</v>
      </c>
      <c r="M292" s="159">
        <f>A4_Chem_Prices!G$26</f>
        <v>4.9796874999999997E-2</v>
      </c>
      <c r="N292" s="157">
        <v>16</v>
      </c>
      <c r="O292" s="82">
        <f t="shared" ref="O292:O298" si="60">M292*N292</f>
        <v>0.79674999999999996</v>
      </c>
      <c r="P292" s="1449">
        <f>N292</f>
        <v>16</v>
      </c>
      <c r="Q292" s="1071">
        <f>Q287</f>
        <v>0</v>
      </c>
    </row>
    <row r="293" spans="9:17" ht="13.9" x14ac:dyDescent="0.4">
      <c r="I293" s="1073">
        <f t="shared" ref="I293:I298" si="61">IF($A$1=5,I292+1,0)</f>
        <v>0</v>
      </c>
      <c r="J293" s="156" t="str">
        <f>A4_Chem_Prices!E$26</f>
        <v>Mepiquat</v>
      </c>
      <c r="K293" s="1350" t="s">
        <v>839</v>
      </c>
      <c r="L293" s="158" t="str">
        <f>A4_Chem_Prices!F$26</f>
        <v>oz</v>
      </c>
      <c r="M293" s="159">
        <f>A4_Chem_Prices!G$26</f>
        <v>4.9796874999999997E-2</v>
      </c>
      <c r="N293" s="157">
        <v>20</v>
      </c>
      <c r="O293" s="82">
        <f>M293*N293</f>
        <v>0.99593749999999992</v>
      </c>
      <c r="P293" s="1449">
        <f>N293</f>
        <v>20</v>
      </c>
      <c r="Q293" s="1071">
        <f t="shared" ref="Q293:Q298" si="62">Q292</f>
        <v>0</v>
      </c>
    </row>
    <row r="294" spans="9:17" ht="13.9" x14ac:dyDescent="0.4">
      <c r="I294" s="1073">
        <f t="shared" si="61"/>
        <v>0</v>
      </c>
      <c r="J294" s="156" t="str">
        <f>A4_Chem_Prices!E$26</f>
        <v>Mepiquat</v>
      </c>
      <c r="K294" s="1350" t="s">
        <v>839</v>
      </c>
      <c r="L294" s="158" t="str">
        <f>A4_Chem_Prices!F$26</f>
        <v>oz</v>
      </c>
      <c r="M294" s="159">
        <f>A4_Chem_Prices!G$26</f>
        <v>4.9796874999999997E-2</v>
      </c>
      <c r="N294" s="157">
        <v>20</v>
      </c>
      <c r="O294" s="82">
        <f>M294*N294</f>
        <v>0.99593749999999992</v>
      </c>
      <c r="P294" s="1449">
        <f>N294</f>
        <v>20</v>
      </c>
      <c r="Q294" s="1071">
        <f t="shared" si="62"/>
        <v>0</v>
      </c>
    </row>
    <row r="295" spans="9:17" ht="13.9" x14ac:dyDescent="0.4">
      <c r="I295" s="1073">
        <f t="shared" si="61"/>
        <v>0</v>
      </c>
      <c r="J295" s="156" t="str">
        <f>A4_Chem_Prices!E$26</f>
        <v>Mepiquat</v>
      </c>
      <c r="K295" s="1350" t="s">
        <v>839</v>
      </c>
      <c r="L295" s="158" t="str">
        <f>A4_Chem_Prices!F$26</f>
        <v>oz</v>
      </c>
      <c r="M295" s="159">
        <f>A4_Chem_Prices!G$26</f>
        <v>4.9796874999999997E-2</v>
      </c>
      <c r="N295" s="157">
        <v>20</v>
      </c>
      <c r="O295" s="82">
        <f>M295*N295</f>
        <v>0.99593749999999992</v>
      </c>
      <c r="P295" s="1449">
        <f>N295</f>
        <v>20</v>
      </c>
      <c r="Q295" s="1071">
        <f t="shared" si="62"/>
        <v>0</v>
      </c>
    </row>
    <row r="296" spans="9:17" ht="13.9" x14ac:dyDescent="0.4">
      <c r="I296" s="1073">
        <f t="shared" si="61"/>
        <v>0</v>
      </c>
      <c r="J296" s="156" t="s">
        <v>19</v>
      </c>
      <c r="K296" s="1350" t="s">
        <v>839</v>
      </c>
      <c r="L296" s="158"/>
      <c r="M296" s="159">
        <v>0</v>
      </c>
      <c r="N296" s="157">
        <v>0</v>
      </c>
      <c r="O296" s="82">
        <f t="shared" si="60"/>
        <v>0</v>
      </c>
      <c r="P296" s="158"/>
      <c r="Q296" s="1071">
        <f t="shared" si="62"/>
        <v>0</v>
      </c>
    </row>
    <row r="297" spans="9:17" ht="13.9" x14ac:dyDescent="0.4">
      <c r="I297" s="1073">
        <f t="shared" si="61"/>
        <v>0</v>
      </c>
      <c r="J297" s="156" t="s">
        <v>19</v>
      </c>
      <c r="K297" s="1350" t="s">
        <v>839</v>
      </c>
      <c r="L297" s="158"/>
      <c r="M297" s="159">
        <v>0</v>
      </c>
      <c r="N297" s="157">
        <v>0</v>
      </c>
      <c r="O297" s="82">
        <f t="shared" si="60"/>
        <v>0</v>
      </c>
      <c r="P297" s="158"/>
      <c r="Q297" s="1071">
        <f t="shared" si="62"/>
        <v>0</v>
      </c>
    </row>
    <row r="298" spans="9:17" ht="13.9" x14ac:dyDescent="0.4">
      <c r="I298" s="1073">
        <f t="shared" si="61"/>
        <v>0</v>
      </c>
      <c r="J298" s="156" t="s">
        <v>19</v>
      </c>
      <c r="K298" s="1350" t="s">
        <v>839</v>
      </c>
      <c r="L298" s="158"/>
      <c r="M298" s="159">
        <v>0</v>
      </c>
      <c r="N298" s="157">
        <v>0</v>
      </c>
      <c r="O298" s="82">
        <f t="shared" si="60"/>
        <v>0</v>
      </c>
      <c r="P298" s="158"/>
      <c r="Q298" s="1071">
        <f t="shared" si="62"/>
        <v>0</v>
      </c>
    </row>
    <row r="299" spans="9:17" ht="13.9" x14ac:dyDescent="0.4">
      <c r="I299" s="1071"/>
      <c r="J299" s="86" t="s">
        <v>22</v>
      </c>
      <c r="K299" s="86"/>
      <c r="L299" s="86"/>
      <c r="M299" s="81"/>
      <c r="N299" s="87"/>
      <c r="O299" s="88">
        <f>SUM(O292:O298)</f>
        <v>3.7845624999999998</v>
      </c>
      <c r="P299" s="86"/>
      <c r="Q299" s="1071"/>
    </row>
    <row r="300" spans="9:17" ht="13.9" x14ac:dyDescent="0.4">
      <c r="I300" s="1071"/>
      <c r="J300" s="83"/>
      <c r="K300" s="83"/>
      <c r="L300" s="83"/>
      <c r="M300" s="83"/>
      <c r="N300" s="84"/>
      <c r="O300" s="83"/>
      <c r="P300" s="83"/>
      <c r="Q300" s="1071"/>
    </row>
    <row r="301" spans="9:17" ht="13.9" x14ac:dyDescent="0.4">
      <c r="I301" s="1071"/>
      <c r="J301" s="78" t="str">
        <f>IF(A2_Budget_Look_Up!$B$7=1,"Defoliant Detail", "Other Chemical Detail")</f>
        <v>Other Chemical Detail</v>
      </c>
      <c r="K301" s="78"/>
      <c r="L301" s="78"/>
      <c r="M301" s="79"/>
      <c r="N301" s="85"/>
      <c r="O301" s="79"/>
      <c r="P301" s="78"/>
      <c r="Q301" s="1071"/>
    </row>
    <row r="302" spans="9:17" ht="13.9" x14ac:dyDescent="0.4">
      <c r="I302" s="1071"/>
      <c r="J302" s="80" t="s">
        <v>212</v>
      </c>
      <c r="K302" s="80" t="s">
        <v>838</v>
      </c>
      <c r="L302" s="80" t="s">
        <v>2</v>
      </c>
      <c r="M302" s="80" t="s">
        <v>21</v>
      </c>
      <c r="N302" s="80" t="s">
        <v>174</v>
      </c>
      <c r="O302" s="80" t="s">
        <v>14</v>
      </c>
      <c r="P302" s="80" t="s">
        <v>890</v>
      </c>
      <c r="Q302" s="1071"/>
    </row>
    <row r="303" spans="9:17" ht="13.9" x14ac:dyDescent="0.4">
      <c r="I303" s="1073">
        <f>IF($A$1=5,I298+1,0)</f>
        <v>0</v>
      </c>
      <c r="J303" s="156" t="str">
        <f>A4_Chem_Prices!E$28</f>
        <v>Dropp</v>
      </c>
      <c r="K303" s="1350" t="s">
        <v>839</v>
      </c>
      <c r="L303" s="158" t="str">
        <f>A4_Chem_Prices!F$28</f>
        <v>oz</v>
      </c>
      <c r="M303" s="159">
        <f>A4_Chem_Prices!G$28</f>
        <v>0.78125</v>
      </c>
      <c r="N303" s="157">
        <v>2</v>
      </c>
      <c r="O303" s="82">
        <f t="shared" ref="O303:O309" si="63">M303*N303</f>
        <v>1.5625</v>
      </c>
      <c r="P303" s="1449">
        <f>N303</f>
        <v>2</v>
      </c>
      <c r="Q303" s="1071">
        <f>Q298</f>
        <v>0</v>
      </c>
    </row>
    <row r="304" spans="9:17" ht="13.9" x14ac:dyDescent="0.4">
      <c r="I304" s="1073">
        <f t="shared" ref="I304:I309" si="64">IF($A$1=5,I303+1,0)</f>
        <v>0</v>
      </c>
      <c r="J304" s="156" t="str">
        <f>A4_Chem_Prices!E$29</f>
        <v>Folex</v>
      </c>
      <c r="K304" s="1350" t="s">
        <v>839</v>
      </c>
      <c r="L304" s="158" t="str">
        <f>A4_Chem_Prices!F$29</f>
        <v>oz</v>
      </c>
      <c r="M304" s="159">
        <f>A4_Chem_Prices!G$29</f>
        <v>0.5234375</v>
      </c>
      <c r="N304" s="157">
        <v>6</v>
      </c>
      <c r="O304" s="82">
        <f t="shared" si="63"/>
        <v>3.140625</v>
      </c>
      <c r="P304" s="1449">
        <f>N304</f>
        <v>6</v>
      </c>
      <c r="Q304" s="1071">
        <f t="shared" ref="Q304:Q309" si="65">Q303</f>
        <v>0</v>
      </c>
    </row>
    <row r="305" spans="9:17" ht="13.9" x14ac:dyDescent="0.4">
      <c r="I305" s="1073">
        <f t="shared" si="64"/>
        <v>0</v>
      </c>
      <c r="J305" s="156" t="str">
        <f>A4_Chem_Prices!E$30</f>
        <v>Prep</v>
      </c>
      <c r="K305" s="1350" t="s">
        <v>839</v>
      </c>
      <c r="L305" s="158" t="str">
        <f>A4_Chem_Prices!F$30</f>
        <v>oz</v>
      </c>
      <c r="M305" s="159">
        <f>A4_Chem_Prices!G$30</f>
        <v>0.28125</v>
      </c>
      <c r="N305" s="157">
        <v>6</v>
      </c>
      <c r="O305" s="82">
        <f t="shared" si="63"/>
        <v>1.6875</v>
      </c>
      <c r="P305" s="1449">
        <f>N305</f>
        <v>6</v>
      </c>
      <c r="Q305" s="1071">
        <f t="shared" si="65"/>
        <v>0</v>
      </c>
    </row>
    <row r="306" spans="9:17" ht="13.9" x14ac:dyDescent="0.4">
      <c r="I306" s="1073">
        <f t="shared" si="64"/>
        <v>0</v>
      </c>
      <c r="J306" s="156" t="str">
        <f>A4_Chem_Prices!E$29</f>
        <v>Folex</v>
      </c>
      <c r="K306" s="1350" t="s">
        <v>839</v>
      </c>
      <c r="L306" s="158" t="str">
        <f>A4_Chem_Prices!F$29</f>
        <v>oz</v>
      </c>
      <c r="M306" s="159">
        <f>A4_Chem_Prices!G$29</f>
        <v>0.5234375</v>
      </c>
      <c r="N306" s="157">
        <v>8</v>
      </c>
      <c r="O306" s="82">
        <f t="shared" si="63"/>
        <v>4.1875</v>
      </c>
      <c r="P306" s="1449">
        <f>N306</f>
        <v>8</v>
      </c>
      <c r="Q306" s="1071">
        <f t="shared" si="65"/>
        <v>0</v>
      </c>
    </row>
    <row r="307" spans="9:17" ht="13.9" x14ac:dyDescent="0.4">
      <c r="I307" s="1073">
        <f t="shared" si="64"/>
        <v>0</v>
      </c>
      <c r="J307" s="156" t="str">
        <f>A4_Chem_Prices!E$30</f>
        <v>Prep</v>
      </c>
      <c r="K307" s="1350" t="s">
        <v>839</v>
      </c>
      <c r="L307" s="158" t="str">
        <f>A4_Chem_Prices!F$30</f>
        <v>oz</v>
      </c>
      <c r="M307" s="159">
        <f>A4_Chem_Prices!G$30</f>
        <v>0.28125</v>
      </c>
      <c r="N307" s="157">
        <v>32</v>
      </c>
      <c r="O307" s="82">
        <f t="shared" si="63"/>
        <v>9</v>
      </c>
      <c r="P307" s="1449">
        <f>N307</f>
        <v>32</v>
      </c>
      <c r="Q307" s="1071">
        <f t="shared" si="65"/>
        <v>0</v>
      </c>
    </row>
    <row r="308" spans="9:17" ht="13.9" x14ac:dyDescent="0.4">
      <c r="I308" s="1073">
        <f t="shared" si="64"/>
        <v>0</v>
      </c>
      <c r="J308" s="156" t="s">
        <v>19</v>
      </c>
      <c r="K308" s="1350" t="s">
        <v>839</v>
      </c>
      <c r="L308" s="158"/>
      <c r="M308" s="159">
        <v>0</v>
      </c>
      <c r="N308" s="157">
        <v>0</v>
      </c>
      <c r="O308" s="82">
        <f t="shared" si="63"/>
        <v>0</v>
      </c>
      <c r="P308" s="158"/>
      <c r="Q308" s="1071">
        <f t="shared" si="65"/>
        <v>0</v>
      </c>
    </row>
    <row r="309" spans="9:17" ht="13.9" x14ac:dyDescent="0.4">
      <c r="I309" s="1073">
        <f t="shared" si="64"/>
        <v>0</v>
      </c>
      <c r="J309" s="156" t="s">
        <v>19</v>
      </c>
      <c r="K309" s="1350" t="s">
        <v>839</v>
      </c>
      <c r="L309" s="158"/>
      <c r="M309" s="159">
        <v>0</v>
      </c>
      <c r="N309" s="157">
        <v>0</v>
      </c>
      <c r="O309" s="82">
        <f t="shared" si="63"/>
        <v>0</v>
      </c>
      <c r="P309" s="158"/>
      <c r="Q309" s="1071">
        <f t="shared" si="65"/>
        <v>0</v>
      </c>
    </row>
    <row r="310" spans="9:17" ht="13.9" x14ac:dyDescent="0.4">
      <c r="I310" s="1071"/>
      <c r="J310" s="86" t="s">
        <v>22</v>
      </c>
      <c r="K310" s="86"/>
      <c r="L310" s="86"/>
      <c r="M310" s="81"/>
      <c r="N310" s="87"/>
      <c r="O310" s="88">
        <f>SUM(O303:O309)</f>
        <v>19.578125</v>
      </c>
      <c r="P310" s="86"/>
      <c r="Q310" s="1071"/>
    </row>
    <row r="311" spans="9:17" ht="13.9" x14ac:dyDescent="0.4">
      <c r="I311" s="1071"/>
      <c r="J311" s="83"/>
      <c r="K311" s="83"/>
      <c r="L311" s="83"/>
      <c r="M311" s="89"/>
      <c r="N311" s="84"/>
      <c r="O311" s="89"/>
      <c r="P311" s="83"/>
      <c r="Q311" s="1071"/>
    </row>
    <row r="312" spans="9:17" ht="13.9" x14ac:dyDescent="0.4">
      <c r="I312" s="1071"/>
      <c r="J312" s="1168" t="str">
        <f>A2_Budget_Look_Up!H8</f>
        <v>B3XF Cotton, No Irrigation</v>
      </c>
      <c r="K312" s="1168"/>
      <c r="L312" s="1168">
        <f>A2_Budget_Look_Up!F8</f>
        <v>6</v>
      </c>
      <c r="M312" s="1168"/>
      <c r="N312" s="1168"/>
      <c r="O312" s="1168"/>
      <c r="P312" s="1168"/>
      <c r="Q312" s="1071"/>
    </row>
    <row r="313" spans="9:17" ht="13.9" x14ac:dyDescent="0.4">
      <c r="I313" s="1071"/>
      <c r="J313" s="83"/>
      <c r="K313" s="83"/>
      <c r="L313" s="83"/>
      <c r="M313" s="83"/>
      <c r="N313" s="84"/>
      <c r="O313" s="83"/>
      <c r="P313" s="83"/>
      <c r="Q313" s="1071"/>
    </row>
    <row r="314" spans="9:17" ht="13.9" x14ac:dyDescent="0.4">
      <c r="I314" s="1071"/>
      <c r="J314" s="78" t="s">
        <v>18</v>
      </c>
      <c r="K314" s="78"/>
      <c r="L314" s="78"/>
      <c r="M314" s="79"/>
      <c r="N314" s="85"/>
      <c r="O314" s="79"/>
      <c r="P314" s="78"/>
      <c r="Q314" s="1071"/>
    </row>
    <row r="315" spans="9:17" ht="13.9" x14ac:dyDescent="0.4">
      <c r="I315" s="1071"/>
      <c r="J315" s="80" t="s">
        <v>212</v>
      </c>
      <c r="K315" s="80" t="s">
        <v>838</v>
      </c>
      <c r="L315" s="80" t="s">
        <v>2</v>
      </c>
      <c r="M315" s="80" t="s">
        <v>21</v>
      </c>
      <c r="N315" s="80" t="s">
        <v>174</v>
      </c>
      <c r="O315" s="80" t="s">
        <v>14</v>
      </c>
      <c r="P315" s="80" t="s">
        <v>890</v>
      </c>
      <c r="Q315" s="1071"/>
    </row>
    <row r="316" spans="9:17" ht="13.9" x14ac:dyDescent="0.4">
      <c r="I316" s="1073">
        <f>IF($A$1=6,1,0)</f>
        <v>0</v>
      </c>
      <c r="J316" s="159" t="str">
        <f>A4_Chem_Prices!E$2</f>
        <v>Roundup Powermax 3</v>
      </c>
      <c r="K316" s="1350" t="s">
        <v>839</v>
      </c>
      <c r="L316" s="158" t="str">
        <f>A4_Chem_Prices!F$2</f>
        <v>pt</v>
      </c>
      <c r="M316" s="159">
        <f>A4_Chem_Prices!G$2</f>
        <v>2.25</v>
      </c>
      <c r="N316" s="159">
        <v>2</v>
      </c>
      <c r="O316" s="82">
        <f t="shared" ref="O316:O329" si="66">M316*N316</f>
        <v>4.5</v>
      </c>
      <c r="P316" s="160">
        <f>N316*16</f>
        <v>32</v>
      </c>
      <c r="Q316" s="1171">
        <f>IF(SUM(I316:I371)=820,L312,0)</f>
        <v>0</v>
      </c>
    </row>
    <row r="317" spans="9:17" ht="13.9" x14ac:dyDescent="0.4">
      <c r="I317" s="1073">
        <f t="shared" ref="I317:I329" si="67">IF($A$1=6,I316+1,0)</f>
        <v>0</v>
      </c>
      <c r="J317" s="159" t="str">
        <f>A4_Chem_Prices!E$15</f>
        <v>2,4-D</v>
      </c>
      <c r="K317" s="1350" t="s">
        <v>839</v>
      </c>
      <c r="L317" s="158" t="str">
        <f>A4_Chem_Prices!F$15</f>
        <v>pt</v>
      </c>
      <c r="M317" s="159">
        <f>A4_Chem_Prices!G$15</f>
        <v>4.375</v>
      </c>
      <c r="N317" s="157">
        <v>1.5</v>
      </c>
      <c r="O317" s="82">
        <f t="shared" si="66"/>
        <v>6.5625</v>
      </c>
      <c r="P317" s="1449">
        <f>N317</f>
        <v>1.5</v>
      </c>
      <c r="Q317" s="1071">
        <f>Q316</f>
        <v>0</v>
      </c>
    </row>
    <row r="318" spans="9:17" ht="13.9" x14ac:dyDescent="0.4">
      <c r="I318" s="1073">
        <f t="shared" si="67"/>
        <v>0</v>
      </c>
      <c r="J318" s="159" t="str">
        <f>A4_Chem_Prices!B$13</f>
        <v>Brake</v>
      </c>
      <c r="K318" s="1350" t="s">
        <v>839</v>
      </c>
      <c r="L318" s="158" t="str">
        <f>A4_Chem_Prices!C$13</f>
        <v>pt</v>
      </c>
      <c r="M318" s="159">
        <f>A4_Chem_Prices!D$13</f>
        <v>25.5</v>
      </c>
      <c r="N318" s="157">
        <v>1</v>
      </c>
      <c r="O318" s="82">
        <f t="shared" si="66"/>
        <v>25.5</v>
      </c>
      <c r="P318" s="160">
        <f>N318*16</f>
        <v>16</v>
      </c>
      <c r="Q318" s="1071">
        <f t="shared" ref="Q318:Q329" si="68">Q317</f>
        <v>0</v>
      </c>
    </row>
    <row r="319" spans="9:17" ht="13.9" x14ac:dyDescent="0.4">
      <c r="I319" s="1073">
        <f t="shared" si="67"/>
        <v>0</v>
      </c>
      <c r="J319" s="159" t="str">
        <f>A4_Chem_Prices!E$5</f>
        <v>Cotoran</v>
      </c>
      <c r="K319" s="1350" t="s">
        <v>839</v>
      </c>
      <c r="L319" s="160" t="str">
        <f>A4_Chem_Prices!F$5</f>
        <v>pt</v>
      </c>
      <c r="M319" s="159">
        <f>A4_Chem_Prices!G$5</f>
        <v>2.5</v>
      </c>
      <c r="N319" s="157">
        <v>1.6</v>
      </c>
      <c r="O319" s="82">
        <f t="shared" si="66"/>
        <v>4</v>
      </c>
      <c r="P319" s="160">
        <f>N319*16</f>
        <v>25.6</v>
      </c>
      <c r="Q319" s="1071">
        <f t="shared" si="68"/>
        <v>0</v>
      </c>
    </row>
    <row r="320" spans="9:17" ht="13.9" x14ac:dyDescent="0.4">
      <c r="I320" s="1073">
        <f t="shared" si="67"/>
        <v>0</v>
      </c>
      <c r="J320" s="159" t="str">
        <f>A4_Chem_Prices!E$10</f>
        <v>Liberty</v>
      </c>
      <c r="K320" s="1350" t="s">
        <v>839</v>
      </c>
      <c r="L320" s="160" t="str">
        <f>A4_Chem_Prices!F$10</f>
        <v>oz</v>
      </c>
      <c r="M320" s="159">
        <f>A4_Chem_Prices!G$10</f>
        <v>0.28875000000000001</v>
      </c>
      <c r="N320" s="157">
        <v>32</v>
      </c>
      <c r="O320" s="82">
        <f t="shared" si="66"/>
        <v>9.24</v>
      </c>
      <c r="P320" s="160">
        <f>N320*16</f>
        <v>512</v>
      </c>
      <c r="Q320" s="1071">
        <f t="shared" si="68"/>
        <v>0</v>
      </c>
    </row>
    <row r="321" spans="9:17" ht="13.9" x14ac:dyDescent="0.4">
      <c r="I321" s="1073">
        <f t="shared" si="67"/>
        <v>0</v>
      </c>
      <c r="J321" s="159" t="str">
        <f>A4_Chem_Prices!B$12</f>
        <v>Outlook</v>
      </c>
      <c r="K321" s="1350" t="s">
        <v>839</v>
      </c>
      <c r="L321" s="160" t="str">
        <f>A4_Chem_Prices!C$12</f>
        <v>oz</v>
      </c>
      <c r="M321" s="159">
        <f>A4_Chem_Prices!D$12</f>
        <v>0.84234374999999995</v>
      </c>
      <c r="N321" s="157">
        <v>12.8</v>
      </c>
      <c r="O321" s="82">
        <f t="shared" si="66"/>
        <v>10.782</v>
      </c>
      <c r="P321" s="1449">
        <f>N321</f>
        <v>12.8</v>
      </c>
      <c r="Q321" s="1071">
        <f t="shared" si="68"/>
        <v>0</v>
      </c>
    </row>
    <row r="322" spans="9:17" ht="15" customHeight="1" x14ac:dyDescent="0.4">
      <c r="I322" s="1073">
        <f t="shared" si="67"/>
        <v>0</v>
      </c>
      <c r="J322" s="159" t="str">
        <f>A4_Chem_Prices!E$10</f>
        <v>Liberty</v>
      </c>
      <c r="K322" s="1350" t="s">
        <v>839</v>
      </c>
      <c r="L322" s="160" t="str">
        <f>A4_Chem_Prices!F$10</f>
        <v>oz</v>
      </c>
      <c r="M322" s="159">
        <f>A4_Chem_Prices!G$10</f>
        <v>0.28875000000000001</v>
      </c>
      <c r="N322" s="157">
        <v>32</v>
      </c>
      <c r="O322" s="82">
        <f t="shared" si="66"/>
        <v>9.24</v>
      </c>
      <c r="P322" s="1449">
        <f>N322</f>
        <v>32</v>
      </c>
      <c r="Q322" s="1071">
        <f t="shared" si="68"/>
        <v>0</v>
      </c>
    </row>
    <row r="323" spans="9:17" ht="13.9" x14ac:dyDescent="0.4">
      <c r="I323" s="1073">
        <f t="shared" si="67"/>
        <v>0</v>
      </c>
      <c r="J323" s="159" t="str">
        <f>A4_Chem_Prices!E$7</f>
        <v>Metolachlor</v>
      </c>
      <c r="K323" s="1350" t="s">
        <v>839</v>
      </c>
      <c r="L323" s="160" t="str">
        <f>A4_Chem_Prices!F$7</f>
        <v>pt</v>
      </c>
      <c r="M323" s="159">
        <f>A4_Chem_Prices!G$7</f>
        <v>5.0387500000000003</v>
      </c>
      <c r="N323" s="157">
        <v>1</v>
      </c>
      <c r="O323" s="82">
        <f t="shared" si="66"/>
        <v>5.0387500000000003</v>
      </c>
      <c r="P323" s="160">
        <f>N323*16</f>
        <v>16</v>
      </c>
      <c r="Q323" s="1071">
        <f t="shared" si="68"/>
        <v>0</v>
      </c>
    </row>
    <row r="324" spans="9:17" ht="15" customHeight="1" x14ac:dyDescent="0.4">
      <c r="I324" s="1073">
        <f t="shared" si="67"/>
        <v>0</v>
      </c>
      <c r="J324" s="159" t="str">
        <f>A4_Chem_Prices!E$10</f>
        <v>Liberty</v>
      </c>
      <c r="K324" s="1350" t="s">
        <v>839</v>
      </c>
      <c r="L324" s="160" t="str">
        <f>A4_Chem_Prices!F$10</f>
        <v>oz</v>
      </c>
      <c r="M324" s="159">
        <f>A4_Chem_Prices!G$10</f>
        <v>0.28875000000000001</v>
      </c>
      <c r="N324" s="157">
        <v>32</v>
      </c>
      <c r="O324" s="82">
        <f t="shared" si="66"/>
        <v>9.24</v>
      </c>
      <c r="P324" s="1449">
        <f>N324</f>
        <v>32</v>
      </c>
      <c r="Q324" s="1071">
        <f t="shared" si="68"/>
        <v>0</v>
      </c>
    </row>
    <row r="325" spans="9:17" ht="13.9" x14ac:dyDescent="0.4">
      <c r="I325" s="1073">
        <f t="shared" si="67"/>
        <v>0</v>
      </c>
      <c r="J325" s="159" t="str">
        <f>A4_Chem_Prices!E$8</f>
        <v>Direx</v>
      </c>
      <c r="K325" s="1350" t="s">
        <v>839</v>
      </c>
      <c r="L325" s="160" t="str">
        <f>A4_Chem_Prices!F$8</f>
        <v>pt</v>
      </c>
      <c r="M325" s="159">
        <f>A4_Chem_Prices!G$8</f>
        <v>4.4637500000000001</v>
      </c>
      <c r="N325" s="157">
        <v>1.5</v>
      </c>
      <c r="O325" s="82">
        <f t="shared" si="66"/>
        <v>6.6956249999999997</v>
      </c>
      <c r="P325" s="160">
        <f>N325*16</f>
        <v>24</v>
      </c>
      <c r="Q325" s="1071">
        <f t="shared" si="68"/>
        <v>0</v>
      </c>
    </row>
    <row r="326" spans="9:17" ht="13.9" x14ac:dyDescent="0.4">
      <c r="I326" s="1073">
        <f t="shared" si="67"/>
        <v>0</v>
      </c>
      <c r="J326" s="159" t="str">
        <f>A4_Chem_Prices!E$9</f>
        <v>MSMA 6</v>
      </c>
      <c r="K326" s="1350" t="s">
        <v>839</v>
      </c>
      <c r="L326" s="160" t="str">
        <f>A4_Chem_Prices!F$9</f>
        <v>qt</v>
      </c>
      <c r="M326" s="159">
        <f>A4_Chem_Prices!G$9</f>
        <v>14.375</v>
      </c>
      <c r="N326" s="157">
        <v>1.5</v>
      </c>
      <c r="O326" s="82">
        <f t="shared" si="66"/>
        <v>21.5625</v>
      </c>
      <c r="P326" s="160">
        <f>N326*16</f>
        <v>24</v>
      </c>
      <c r="Q326" s="1071">
        <f t="shared" si="68"/>
        <v>0</v>
      </c>
    </row>
    <row r="327" spans="9:17" ht="13.9" x14ac:dyDescent="0.4">
      <c r="I327" s="1073">
        <f t="shared" si="67"/>
        <v>0</v>
      </c>
      <c r="J327" s="159" t="s">
        <v>19</v>
      </c>
      <c r="K327" s="1350" t="s">
        <v>839</v>
      </c>
      <c r="L327" s="160"/>
      <c r="M327" s="159">
        <v>0</v>
      </c>
      <c r="N327" s="157">
        <v>0</v>
      </c>
      <c r="O327" s="82">
        <f t="shared" si="66"/>
        <v>0</v>
      </c>
      <c r="P327" s="1449">
        <f>N327</f>
        <v>0</v>
      </c>
      <c r="Q327" s="1071">
        <f t="shared" si="68"/>
        <v>0</v>
      </c>
    </row>
    <row r="328" spans="9:17" ht="13.9" x14ac:dyDescent="0.4">
      <c r="I328" s="1073">
        <f t="shared" si="67"/>
        <v>0</v>
      </c>
      <c r="J328" s="159" t="s">
        <v>19</v>
      </c>
      <c r="K328" s="1350" t="s">
        <v>839</v>
      </c>
      <c r="L328" s="160"/>
      <c r="M328" s="159">
        <v>0</v>
      </c>
      <c r="N328" s="157">
        <v>0</v>
      </c>
      <c r="O328" s="82">
        <f t="shared" si="66"/>
        <v>0</v>
      </c>
      <c r="P328" s="160">
        <f>N328*32</f>
        <v>0</v>
      </c>
      <c r="Q328" s="1071">
        <f t="shared" si="68"/>
        <v>0</v>
      </c>
    </row>
    <row r="329" spans="9:17" ht="13.9" x14ac:dyDescent="0.4">
      <c r="I329" s="1073">
        <f t="shared" si="67"/>
        <v>0</v>
      </c>
      <c r="J329" s="159" t="s">
        <v>19</v>
      </c>
      <c r="K329" s="1350" t="s">
        <v>839</v>
      </c>
      <c r="L329" s="160"/>
      <c r="M329" s="159">
        <v>0</v>
      </c>
      <c r="N329" s="157">
        <v>0</v>
      </c>
      <c r="O329" s="82">
        <f t="shared" si="66"/>
        <v>0</v>
      </c>
      <c r="P329" s="160"/>
      <c r="Q329" s="1071">
        <f t="shared" si="68"/>
        <v>0</v>
      </c>
    </row>
    <row r="330" spans="9:17" ht="13.9" x14ac:dyDescent="0.4">
      <c r="I330" s="1071"/>
      <c r="J330" s="86" t="s">
        <v>22</v>
      </c>
      <c r="K330" s="86"/>
      <c r="L330" s="86"/>
      <c r="M330" s="81"/>
      <c r="N330" s="87"/>
      <c r="O330" s="88">
        <f>SUM(O316:O329)</f>
        <v>112.36137499999998</v>
      </c>
      <c r="P330" s="86"/>
      <c r="Q330" s="1071"/>
    </row>
    <row r="331" spans="9:17" ht="13.9" x14ac:dyDescent="0.4">
      <c r="I331" s="1071"/>
      <c r="J331" s="83"/>
      <c r="K331" s="83"/>
      <c r="L331" s="83"/>
      <c r="M331" s="83"/>
      <c r="N331" s="84"/>
      <c r="O331" s="83"/>
      <c r="P331" s="83"/>
      <c r="Q331" s="1071"/>
    </row>
    <row r="332" spans="9:17" ht="13.9" x14ac:dyDescent="0.4">
      <c r="I332" s="1071"/>
      <c r="J332" s="78" t="s">
        <v>20</v>
      </c>
      <c r="K332" s="78"/>
      <c r="L332" s="78"/>
      <c r="M332" s="79"/>
      <c r="N332" s="85"/>
      <c r="O332" s="79"/>
      <c r="P332" s="78"/>
      <c r="Q332" s="1071"/>
    </row>
    <row r="333" spans="9:17" ht="13.9" x14ac:dyDescent="0.4">
      <c r="I333" s="1071"/>
      <c r="J333" s="80" t="s">
        <v>212</v>
      </c>
      <c r="K333" s="80" t="s">
        <v>838</v>
      </c>
      <c r="L333" s="80" t="s">
        <v>2</v>
      </c>
      <c r="M333" s="80" t="s">
        <v>21</v>
      </c>
      <c r="N333" s="80" t="s">
        <v>174</v>
      </c>
      <c r="O333" s="80" t="s">
        <v>14</v>
      </c>
      <c r="P333" s="80" t="s">
        <v>890</v>
      </c>
      <c r="Q333" s="1071"/>
    </row>
    <row r="334" spans="9:17" ht="13.9" x14ac:dyDescent="0.4">
      <c r="I334" s="1073">
        <f>IF($A$1=6,I329+1,0)</f>
        <v>0</v>
      </c>
      <c r="J334" s="159" t="str">
        <f>A4_Chem_Prices!E$18</f>
        <v>Centric</v>
      </c>
      <c r="K334" s="1350" t="s">
        <v>839</v>
      </c>
      <c r="L334" s="160" t="str">
        <f>A4_Chem_Prices!F$18</f>
        <v>oz</v>
      </c>
      <c r="M334" s="159">
        <f>A4_Chem_Prices!G$18</f>
        <v>5.95</v>
      </c>
      <c r="N334" s="157">
        <v>2</v>
      </c>
      <c r="O334" s="82">
        <f t="shared" ref="O334:O343" si="69">M334*N334</f>
        <v>11.9</v>
      </c>
      <c r="P334" s="1449">
        <f t="shared" ref="P334:P340" si="70">N334</f>
        <v>2</v>
      </c>
      <c r="Q334" s="1071">
        <f>Q316</f>
        <v>0</v>
      </c>
    </row>
    <row r="335" spans="9:17" ht="13.9" x14ac:dyDescent="0.4">
      <c r="I335" s="1073">
        <f t="shared" ref="I335:I343" si="71">IF($A$1=6,I334+1,0)</f>
        <v>0</v>
      </c>
      <c r="J335" s="159" t="str">
        <f>A4_Chem_Prices!E$19</f>
        <v>Diamond</v>
      </c>
      <c r="K335" s="1350" t="s">
        <v>839</v>
      </c>
      <c r="L335" s="160" t="str">
        <f>A4_Chem_Prices!F$19</f>
        <v>oz</v>
      </c>
      <c r="M335" s="159">
        <f>A4_Chem_Prices!G$19</f>
        <v>1.1971354166666666</v>
      </c>
      <c r="N335" s="157">
        <v>6</v>
      </c>
      <c r="O335" s="82">
        <f t="shared" si="69"/>
        <v>7.1828124999999989</v>
      </c>
      <c r="P335" s="1449">
        <f t="shared" si="70"/>
        <v>6</v>
      </c>
      <c r="Q335" s="1071">
        <f>Q334</f>
        <v>0</v>
      </c>
    </row>
    <row r="336" spans="9:17" ht="13.9" x14ac:dyDescent="0.4">
      <c r="I336" s="1073">
        <f t="shared" si="71"/>
        <v>0</v>
      </c>
      <c r="J336" s="159" t="str">
        <f>A4_Chem_Prices!E$18</f>
        <v>Centric</v>
      </c>
      <c r="K336" s="1350" t="s">
        <v>839</v>
      </c>
      <c r="L336" s="160" t="str">
        <f>A4_Chem_Prices!F$18</f>
        <v>oz</v>
      </c>
      <c r="M336" s="159">
        <f>A4_Chem_Prices!G$18</f>
        <v>5.95</v>
      </c>
      <c r="N336" s="157">
        <v>2</v>
      </c>
      <c r="O336" s="82">
        <f t="shared" si="69"/>
        <v>11.9</v>
      </c>
      <c r="P336" s="1449">
        <f t="shared" si="70"/>
        <v>2</v>
      </c>
      <c r="Q336" s="1071">
        <f t="shared" ref="Q336:Q343" si="72">Q335</f>
        <v>0</v>
      </c>
    </row>
    <row r="337" spans="9:17" ht="13.9" x14ac:dyDescent="0.4">
      <c r="I337" s="1073">
        <f t="shared" si="71"/>
        <v>0</v>
      </c>
      <c r="J337" s="159" t="str">
        <f>A4_Chem_Prices!E$19</f>
        <v>Diamond</v>
      </c>
      <c r="K337" s="1350" t="s">
        <v>839</v>
      </c>
      <c r="L337" s="160" t="str">
        <f>A4_Chem_Prices!F$19</f>
        <v>oz</v>
      </c>
      <c r="M337" s="159">
        <f>A4_Chem_Prices!G$19</f>
        <v>1.1971354166666666</v>
      </c>
      <c r="N337" s="157">
        <v>6</v>
      </c>
      <c r="O337" s="82">
        <f t="shared" si="69"/>
        <v>7.1828124999999989</v>
      </c>
      <c r="P337" s="1449">
        <f t="shared" si="70"/>
        <v>6</v>
      </c>
      <c r="Q337" s="1071">
        <f t="shared" si="72"/>
        <v>0</v>
      </c>
    </row>
    <row r="338" spans="9:17" ht="13.9" x14ac:dyDescent="0.4">
      <c r="I338" s="1073">
        <f t="shared" si="71"/>
        <v>0</v>
      </c>
      <c r="J338" s="159" t="str">
        <f>A4_Chem_Prices!E$20</f>
        <v>Transform</v>
      </c>
      <c r="K338" s="1350" t="s">
        <v>839</v>
      </c>
      <c r="L338" s="160" t="str">
        <f>A4_Chem_Prices!F$20</f>
        <v>oz</v>
      </c>
      <c r="M338" s="159">
        <f>A4_Chem_Prices!G$20</f>
        <v>7.859375</v>
      </c>
      <c r="N338" s="157">
        <v>2</v>
      </c>
      <c r="O338" s="82">
        <f t="shared" si="69"/>
        <v>15.71875</v>
      </c>
      <c r="P338" s="1449">
        <f t="shared" si="70"/>
        <v>2</v>
      </c>
      <c r="Q338" s="1071">
        <f t="shared" si="72"/>
        <v>0</v>
      </c>
    </row>
    <row r="339" spans="9:17" ht="13.9" x14ac:dyDescent="0.4">
      <c r="I339" s="1073">
        <f t="shared" si="71"/>
        <v>0</v>
      </c>
      <c r="J339" s="159" t="str">
        <f>A4_Chem_Prices!E$20</f>
        <v>Transform</v>
      </c>
      <c r="K339" s="1350" t="s">
        <v>839</v>
      </c>
      <c r="L339" s="160" t="str">
        <f>A4_Chem_Prices!F$20</f>
        <v>oz</v>
      </c>
      <c r="M339" s="159">
        <f>A4_Chem_Prices!G$20</f>
        <v>7.859375</v>
      </c>
      <c r="N339" s="157">
        <v>2</v>
      </c>
      <c r="O339" s="82">
        <f t="shared" si="69"/>
        <v>15.71875</v>
      </c>
      <c r="P339" s="1449">
        <f t="shared" si="70"/>
        <v>2</v>
      </c>
      <c r="Q339" s="1071">
        <f t="shared" si="72"/>
        <v>0</v>
      </c>
    </row>
    <row r="340" spans="9:17" ht="13.9" x14ac:dyDescent="0.4">
      <c r="I340" s="1073">
        <f t="shared" si="71"/>
        <v>0</v>
      </c>
      <c r="J340" s="159" t="s">
        <v>19</v>
      </c>
      <c r="K340" s="1350" t="s">
        <v>839</v>
      </c>
      <c r="L340" s="160"/>
      <c r="M340" s="159">
        <v>0</v>
      </c>
      <c r="N340" s="157">
        <v>0</v>
      </c>
      <c r="O340" s="82">
        <f t="shared" si="69"/>
        <v>0</v>
      </c>
      <c r="P340" s="1449">
        <f t="shared" si="70"/>
        <v>0</v>
      </c>
      <c r="Q340" s="1071">
        <f t="shared" si="72"/>
        <v>0</v>
      </c>
    </row>
    <row r="341" spans="9:17" ht="13.9" x14ac:dyDescent="0.4">
      <c r="I341" s="1073">
        <f t="shared" si="71"/>
        <v>0</v>
      </c>
      <c r="J341" s="159" t="s">
        <v>19</v>
      </c>
      <c r="K341" s="1350" t="s">
        <v>839</v>
      </c>
      <c r="L341" s="160"/>
      <c r="M341" s="159">
        <v>0</v>
      </c>
      <c r="N341" s="157">
        <v>0</v>
      </c>
      <c r="O341" s="82">
        <f t="shared" si="69"/>
        <v>0</v>
      </c>
      <c r="P341" s="160">
        <f>(N341*16)/(35.274/33.814)</f>
        <v>0</v>
      </c>
      <c r="Q341" s="1071">
        <f t="shared" si="72"/>
        <v>0</v>
      </c>
    </row>
    <row r="342" spans="9:17" ht="13.9" x14ac:dyDescent="0.4">
      <c r="I342" s="1073">
        <f t="shared" si="71"/>
        <v>0</v>
      </c>
      <c r="J342" s="159" t="s">
        <v>19</v>
      </c>
      <c r="K342" s="1350" t="s">
        <v>839</v>
      </c>
      <c r="L342" s="160"/>
      <c r="M342" s="159">
        <v>0</v>
      </c>
      <c r="N342" s="157">
        <v>0</v>
      </c>
      <c r="O342" s="82">
        <f t="shared" si="69"/>
        <v>0</v>
      </c>
      <c r="P342" s="160"/>
      <c r="Q342" s="1071">
        <f t="shared" si="72"/>
        <v>0</v>
      </c>
    </row>
    <row r="343" spans="9:17" ht="13.9" x14ac:dyDescent="0.4">
      <c r="I343" s="1073">
        <f t="shared" si="71"/>
        <v>0</v>
      </c>
      <c r="J343" s="159" t="s">
        <v>19</v>
      </c>
      <c r="K343" s="1350" t="s">
        <v>839</v>
      </c>
      <c r="L343" s="160"/>
      <c r="M343" s="159">
        <v>0</v>
      </c>
      <c r="N343" s="157">
        <v>0</v>
      </c>
      <c r="O343" s="82">
        <f t="shared" si="69"/>
        <v>0</v>
      </c>
      <c r="P343" s="160"/>
      <c r="Q343" s="1071">
        <f t="shared" si="72"/>
        <v>0</v>
      </c>
    </row>
    <row r="344" spans="9:17" ht="13.9" x14ac:dyDescent="0.4">
      <c r="I344" s="1071"/>
      <c r="J344" s="86" t="s">
        <v>22</v>
      </c>
      <c r="K344" s="86"/>
      <c r="L344" s="86"/>
      <c r="M344" s="81"/>
      <c r="N344" s="87"/>
      <c r="O344" s="88">
        <f>SUM(O334:O343)</f>
        <v>69.603125000000006</v>
      </c>
      <c r="P344" s="86"/>
      <c r="Q344" s="1071"/>
    </row>
    <row r="345" spans="9:17" ht="13.9" x14ac:dyDescent="0.4">
      <c r="I345" s="1071"/>
      <c r="J345" s="83"/>
      <c r="K345" s="83"/>
      <c r="L345" s="83"/>
      <c r="M345" s="83"/>
      <c r="N345" s="84"/>
      <c r="O345" s="83"/>
      <c r="P345" s="83"/>
      <c r="Q345" s="1071"/>
    </row>
    <row r="346" spans="9:17" ht="13.9" x14ac:dyDescent="0.4">
      <c r="I346" s="1071"/>
      <c r="J346" s="78" t="str">
        <f>IF(OR(A2_Budget_Look_Up!$B$7=1,A2_Budget_Look_Up!$B$13=1),"Nematicide Detail", "Fungicide Detail")</f>
        <v>Fungicide Detail</v>
      </c>
      <c r="K346" s="78"/>
      <c r="L346" s="78"/>
      <c r="M346" s="79"/>
      <c r="N346" s="85"/>
      <c r="O346" s="79"/>
      <c r="P346" s="78"/>
      <c r="Q346" s="1071"/>
    </row>
    <row r="347" spans="9:17" ht="13.9" x14ac:dyDescent="0.4">
      <c r="I347" s="1071"/>
      <c r="J347" s="80" t="s">
        <v>212</v>
      </c>
      <c r="K347" s="80" t="s">
        <v>838</v>
      </c>
      <c r="L347" s="80" t="s">
        <v>2</v>
      </c>
      <c r="M347" s="80" t="s">
        <v>21</v>
      </c>
      <c r="N347" s="80" t="s">
        <v>174</v>
      </c>
      <c r="O347" s="80" t="s">
        <v>14</v>
      </c>
      <c r="P347" s="80" t="s">
        <v>890</v>
      </c>
      <c r="Q347" s="1071"/>
    </row>
    <row r="348" spans="9:17" ht="13.9" x14ac:dyDescent="0.4">
      <c r="I348" s="1073">
        <f>IF($A$1=6,I343+1,0)</f>
        <v>0</v>
      </c>
      <c r="J348" s="156" t="s">
        <v>19</v>
      </c>
      <c r="K348" s="1350" t="s">
        <v>839</v>
      </c>
      <c r="L348" s="158"/>
      <c r="M348" s="159">
        <v>0</v>
      </c>
      <c r="N348" s="157">
        <v>0</v>
      </c>
      <c r="O348" s="82">
        <f>M348*N348</f>
        <v>0</v>
      </c>
      <c r="P348" s="158"/>
      <c r="Q348" s="1071">
        <f>Q343</f>
        <v>0</v>
      </c>
    </row>
    <row r="349" spans="9:17" ht="13.9" x14ac:dyDescent="0.4">
      <c r="I349" s="1073">
        <f>IF($A$1=6,I348+1,0)</f>
        <v>0</v>
      </c>
      <c r="J349" s="156" t="s">
        <v>19</v>
      </c>
      <c r="K349" s="1350" t="s">
        <v>839</v>
      </c>
      <c r="L349" s="158"/>
      <c r="M349" s="159">
        <v>0</v>
      </c>
      <c r="N349" s="157">
        <v>0</v>
      </c>
      <c r="O349" s="82">
        <f>M349*N349</f>
        <v>0</v>
      </c>
      <c r="P349" s="158"/>
      <c r="Q349" s="1071">
        <f>Q348</f>
        <v>0</v>
      </c>
    </row>
    <row r="350" spans="9:17" ht="13.9" x14ac:dyDescent="0.4">
      <c r="I350" s="1071"/>
      <c r="J350" s="86" t="s">
        <v>22</v>
      </c>
      <c r="K350" s="86"/>
      <c r="L350" s="86"/>
      <c r="M350" s="81"/>
      <c r="N350" s="87"/>
      <c r="O350" s="88">
        <f>SUM(O348:O349)</f>
        <v>0</v>
      </c>
      <c r="P350" s="86"/>
      <c r="Q350" s="1071"/>
    </row>
    <row r="351" spans="9:17" ht="13.9" x14ac:dyDescent="0.4">
      <c r="I351" s="1071"/>
      <c r="J351" s="83"/>
      <c r="K351" s="83"/>
      <c r="L351" s="83"/>
      <c r="M351" s="83"/>
      <c r="N351" s="84"/>
      <c r="O351" s="83"/>
      <c r="P351" s="83"/>
      <c r="Q351" s="1071"/>
    </row>
    <row r="352" spans="9:17" ht="13.9" x14ac:dyDescent="0.4">
      <c r="I352" s="1071"/>
      <c r="J352" s="78" t="str">
        <f>IF(A2_Budget_Look_Up!$B$7=1,"Growth Regulator Detail", IF(A2_Budget_Look_Up!$B$13=1,"Fungicide Detail","Other Chemical Detail"))</f>
        <v>Other Chemical Detail</v>
      </c>
      <c r="K352" s="78"/>
      <c r="L352" s="78"/>
      <c r="M352" s="79"/>
      <c r="N352" s="85"/>
      <c r="O352" s="79"/>
      <c r="P352" s="78"/>
      <c r="Q352" s="1071"/>
    </row>
    <row r="353" spans="9:17" ht="13.9" x14ac:dyDescent="0.4">
      <c r="I353" s="1071"/>
      <c r="J353" s="80" t="s">
        <v>212</v>
      </c>
      <c r="K353" s="80" t="s">
        <v>838</v>
      </c>
      <c r="L353" s="80" t="s">
        <v>2</v>
      </c>
      <c r="M353" s="80" t="s">
        <v>21</v>
      </c>
      <c r="N353" s="80" t="s">
        <v>174</v>
      </c>
      <c r="O353" s="80" t="s">
        <v>14</v>
      </c>
      <c r="P353" s="80" t="s">
        <v>890</v>
      </c>
      <c r="Q353" s="1071"/>
    </row>
    <row r="354" spans="9:17" ht="13.9" x14ac:dyDescent="0.4">
      <c r="I354" s="1073">
        <f>IF($A$1=6,I349+1,0)</f>
        <v>0</v>
      </c>
      <c r="J354" s="156" t="str">
        <f>A4_Chem_Prices!E$26</f>
        <v>Mepiquat</v>
      </c>
      <c r="K354" s="1350" t="s">
        <v>839</v>
      </c>
      <c r="L354" s="158" t="str">
        <f>A4_Chem_Prices!F$26</f>
        <v>oz</v>
      </c>
      <c r="M354" s="159">
        <f>A4_Chem_Prices!G$26</f>
        <v>4.9796874999999997E-2</v>
      </c>
      <c r="N354" s="157">
        <v>16</v>
      </c>
      <c r="O354" s="82">
        <f t="shared" ref="O354:O360" si="73">M354*N354</f>
        <v>0.79674999999999996</v>
      </c>
      <c r="P354" s="1449">
        <f>N354</f>
        <v>16</v>
      </c>
      <c r="Q354" s="1071">
        <f>Q349</f>
        <v>0</v>
      </c>
    </row>
    <row r="355" spans="9:17" ht="13.9" x14ac:dyDescent="0.4">
      <c r="I355" s="1073">
        <f t="shared" ref="I355:I360" si="74">IF($A$1=6,I354+1,0)</f>
        <v>0</v>
      </c>
      <c r="J355" s="156" t="str">
        <f>A4_Chem_Prices!E$26</f>
        <v>Mepiquat</v>
      </c>
      <c r="K355" s="1350" t="s">
        <v>839</v>
      </c>
      <c r="L355" s="158" t="str">
        <f>A4_Chem_Prices!F$26</f>
        <v>oz</v>
      </c>
      <c r="M355" s="159">
        <f>A4_Chem_Prices!G$26</f>
        <v>4.9796874999999997E-2</v>
      </c>
      <c r="N355" s="157">
        <v>20</v>
      </c>
      <c r="O355" s="82">
        <f t="shared" si="73"/>
        <v>0.99593749999999992</v>
      </c>
      <c r="P355" s="1449">
        <f>N355</f>
        <v>20</v>
      </c>
      <c r="Q355" s="1071">
        <f t="shared" ref="Q355:Q360" si="75">Q354</f>
        <v>0</v>
      </c>
    </row>
    <row r="356" spans="9:17" ht="13.9" x14ac:dyDescent="0.4">
      <c r="I356" s="1073">
        <f t="shared" si="74"/>
        <v>0</v>
      </c>
      <c r="J356" s="156" t="str">
        <f>A4_Chem_Prices!E$26</f>
        <v>Mepiquat</v>
      </c>
      <c r="K356" s="1350" t="s">
        <v>839</v>
      </c>
      <c r="L356" s="158" t="str">
        <f>A4_Chem_Prices!F$26</f>
        <v>oz</v>
      </c>
      <c r="M356" s="159">
        <f>A4_Chem_Prices!G$26</f>
        <v>4.9796874999999997E-2</v>
      </c>
      <c r="N356" s="157">
        <v>20</v>
      </c>
      <c r="O356" s="82">
        <f t="shared" si="73"/>
        <v>0.99593749999999992</v>
      </c>
      <c r="P356" s="1449">
        <f>N356</f>
        <v>20</v>
      </c>
      <c r="Q356" s="1071">
        <f t="shared" si="75"/>
        <v>0</v>
      </c>
    </row>
    <row r="357" spans="9:17" ht="13.9" x14ac:dyDescent="0.4">
      <c r="I357" s="1073">
        <f t="shared" si="74"/>
        <v>0</v>
      </c>
      <c r="J357" s="156" t="str">
        <f>A4_Chem_Prices!E$26</f>
        <v>Mepiquat</v>
      </c>
      <c r="K357" s="1350" t="s">
        <v>839</v>
      </c>
      <c r="L357" s="158" t="str">
        <f>A4_Chem_Prices!F$26</f>
        <v>oz</v>
      </c>
      <c r="M357" s="159">
        <f>A4_Chem_Prices!G$26</f>
        <v>4.9796874999999997E-2</v>
      </c>
      <c r="N357" s="157">
        <v>20</v>
      </c>
      <c r="O357" s="82">
        <f t="shared" si="73"/>
        <v>0.99593749999999992</v>
      </c>
      <c r="P357" s="158"/>
      <c r="Q357" s="1071">
        <f t="shared" si="75"/>
        <v>0</v>
      </c>
    </row>
    <row r="358" spans="9:17" ht="13.9" x14ac:dyDescent="0.4">
      <c r="I358" s="1073">
        <f t="shared" si="74"/>
        <v>0</v>
      </c>
      <c r="J358" s="156" t="s">
        <v>19</v>
      </c>
      <c r="K358" s="1350" t="s">
        <v>839</v>
      </c>
      <c r="L358" s="158"/>
      <c r="M358" s="159">
        <v>0</v>
      </c>
      <c r="N358" s="157">
        <v>0</v>
      </c>
      <c r="O358" s="82">
        <f t="shared" si="73"/>
        <v>0</v>
      </c>
      <c r="P358" s="158"/>
      <c r="Q358" s="1071">
        <f t="shared" si="75"/>
        <v>0</v>
      </c>
    </row>
    <row r="359" spans="9:17" ht="13.9" x14ac:dyDescent="0.4">
      <c r="I359" s="1073">
        <f t="shared" si="74"/>
        <v>0</v>
      </c>
      <c r="J359" s="156" t="s">
        <v>19</v>
      </c>
      <c r="K359" s="1350" t="s">
        <v>839</v>
      </c>
      <c r="L359" s="158"/>
      <c r="M359" s="159">
        <v>0</v>
      </c>
      <c r="N359" s="157">
        <v>0</v>
      </c>
      <c r="O359" s="82">
        <f t="shared" si="73"/>
        <v>0</v>
      </c>
      <c r="P359" s="158"/>
      <c r="Q359" s="1071">
        <f t="shared" si="75"/>
        <v>0</v>
      </c>
    </row>
    <row r="360" spans="9:17" ht="13.9" x14ac:dyDescent="0.4">
      <c r="I360" s="1073">
        <f t="shared" si="74"/>
        <v>0</v>
      </c>
      <c r="J360" s="156" t="s">
        <v>19</v>
      </c>
      <c r="K360" s="1350" t="s">
        <v>839</v>
      </c>
      <c r="L360" s="158"/>
      <c r="M360" s="159">
        <v>0</v>
      </c>
      <c r="N360" s="157">
        <v>0</v>
      </c>
      <c r="O360" s="82">
        <f t="shared" si="73"/>
        <v>0</v>
      </c>
      <c r="P360" s="158"/>
      <c r="Q360" s="1071">
        <f t="shared" si="75"/>
        <v>0</v>
      </c>
    </row>
    <row r="361" spans="9:17" ht="13.9" x14ac:dyDescent="0.4">
      <c r="I361" s="1071"/>
      <c r="J361" s="86" t="s">
        <v>22</v>
      </c>
      <c r="K361" s="86"/>
      <c r="L361" s="86"/>
      <c r="M361" s="81"/>
      <c r="N361" s="87"/>
      <c r="O361" s="88">
        <f>SUM(O354:O360)</f>
        <v>3.7845624999999998</v>
      </c>
      <c r="P361" s="86"/>
      <c r="Q361" s="1071"/>
    </row>
    <row r="362" spans="9:17" ht="13.9" x14ac:dyDescent="0.4">
      <c r="I362" s="1071"/>
      <c r="J362" s="83"/>
      <c r="K362" s="83"/>
      <c r="L362" s="83"/>
      <c r="M362" s="83"/>
      <c r="N362" s="84"/>
      <c r="O362" s="83"/>
      <c r="P362" s="83"/>
      <c r="Q362" s="1071"/>
    </row>
    <row r="363" spans="9:17" ht="13.9" x14ac:dyDescent="0.4">
      <c r="I363" s="1071"/>
      <c r="J363" s="78" t="str">
        <f>IF(A2_Budget_Look_Up!$B$7=1,"Defoliant Detail", "Other Chemical Detail")</f>
        <v>Other Chemical Detail</v>
      </c>
      <c r="K363" s="78"/>
      <c r="L363" s="78"/>
      <c r="M363" s="79"/>
      <c r="N363" s="85"/>
      <c r="O363" s="79"/>
      <c r="P363" s="78"/>
      <c r="Q363" s="1071"/>
    </row>
    <row r="364" spans="9:17" ht="13.9" x14ac:dyDescent="0.4">
      <c r="I364" s="1071"/>
      <c r="J364" s="80" t="s">
        <v>212</v>
      </c>
      <c r="K364" s="80" t="s">
        <v>838</v>
      </c>
      <c r="L364" s="80" t="s">
        <v>2</v>
      </c>
      <c r="M364" s="80" t="s">
        <v>21</v>
      </c>
      <c r="N364" s="80" t="s">
        <v>174</v>
      </c>
      <c r="O364" s="80" t="s">
        <v>14</v>
      </c>
      <c r="P364" s="80" t="s">
        <v>890</v>
      </c>
      <c r="Q364" s="1071"/>
    </row>
    <row r="365" spans="9:17" ht="13.9" x14ac:dyDescent="0.4">
      <c r="I365" s="1073">
        <f>IF($A$1=6,I360+1,0)</f>
        <v>0</v>
      </c>
      <c r="J365" s="156" t="str">
        <f>A4_Chem_Prices!E$28</f>
        <v>Dropp</v>
      </c>
      <c r="K365" s="1350" t="s">
        <v>839</v>
      </c>
      <c r="L365" s="158" t="str">
        <f>A4_Chem_Prices!F$28</f>
        <v>oz</v>
      </c>
      <c r="M365" s="159">
        <f>A4_Chem_Prices!G$28</f>
        <v>0.78125</v>
      </c>
      <c r="N365" s="157">
        <v>2</v>
      </c>
      <c r="O365" s="82">
        <f t="shared" ref="O365:O371" si="76">M365*N365</f>
        <v>1.5625</v>
      </c>
      <c r="P365" s="1449">
        <f>N365</f>
        <v>2</v>
      </c>
      <c r="Q365" s="1071">
        <f>Q360</f>
        <v>0</v>
      </c>
    </row>
    <row r="366" spans="9:17" ht="13.9" x14ac:dyDescent="0.4">
      <c r="I366" s="1073">
        <f t="shared" ref="I366:I371" si="77">IF($A$1=6,I365+1,0)</f>
        <v>0</v>
      </c>
      <c r="J366" s="156" t="str">
        <f>A4_Chem_Prices!E$29</f>
        <v>Folex</v>
      </c>
      <c r="K366" s="1350" t="s">
        <v>839</v>
      </c>
      <c r="L366" s="158" t="str">
        <f>A4_Chem_Prices!F$29</f>
        <v>oz</v>
      </c>
      <c r="M366" s="159">
        <f>A4_Chem_Prices!G$29</f>
        <v>0.5234375</v>
      </c>
      <c r="N366" s="157">
        <v>6</v>
      </c>
      <c r="O366" s="82">
        <f t="shared" si="76"/>
        <v>3.140625</v>
      </c>
      <c r="P366" s="1449">
        <f>N366</f>
        <v>6</v>
      </c>
      <c r="Q366" s="1071">
        <f t="shared" ref="Q366:Q371" si="78">Q365</f>
        <v>0</v>
      </c>
    </row>
    <row r="367" spans="9:17" ht="13.9" x14ac:dyDescent="0.4">
      <c r="I367" s="1073">
        <f t="shared" si="77"/>
        <v>0</v>
      </c>
      <c r="J367" s="156" t="str">
        <f>A4_Chem_Prices!E$30</f>
        <v>Prep</v>
      </c>
      <c r="K367" s="1350" t="s">
        <v>839</v>
      </c>
      <c r="L367" s="158" t="str">
        <f>A4_Chem_Prices!F$30</f>
        <v>oz</v>
      </c>
      <c r="M367" s="159">
        <f>A4_Chem_Prices!G$30</f>
        <v>0.28125</v>
      </c>
      <c r="N367" s="157">
        <v>6</v>
      </c>
      <c r="O367" s="82">
        <f t="shared" si="76"/>
        <v>1.6875</v>
      </c>
      <c r="P367" s="1449">
        <f>N367</f>
        <v>6</v>
      </c>
      <c r="Q367" s="1071">
        <f t="shared" si="78"/>
        <v>0</v>
      </c>
    </row>
    <row r="368" spans="9:17" ht="13.9" x14ac:dyDescent="0.4">
      <c r="I368" s="1073">
        <f t="shared" si="77"/>
        <v>0</v>
      </c>
      <c r="J368" s="156" t="str">
        <f>A4_Chem_Prices!E$29</f>
        <v>Folex</v>
      </c>
      <c r="K368" s="1350" t="s">
        <v>839</v>
      </c>
      <c r="L368" s="158" t="str">
        <f>A4_Chem_Prices!F$29</f>
        <v>oz</v>
      </c>
      <c r="M368" s="159">
        <f>A4_Chem_Prices!G$29</f>
        <v>0.5234375</v>
      </c>
      <c r="N368" s="157">
        <v>8</v>
      </c>
      <c r="O368" s="82">
        <f t="shared" si="76"/>
        <v>4.1875</v>
      </c>
      <c r="P368" s="1449">
        <f>N368</f>
        <v>8</v>
      </c>
      <c r="Q368" s="1071">
        <f t="shared" si="78"/>
        <v>0</v>
      </c>
    </row>
    <row r="369" spans="9:17" ht="13.9" x14ac:dyDescent="0.4">
      <c r="I369" s="1073">
        <f t="shared" si="77"/>
        <v>0</v>
      </c>
      <c r="J369" s="156" t="str">
        <f>A4_Chem_Prices!E$30</f>
        <v>Prep</v>
      </c>
      <c r="K369" s="1350" t="s">
        <v>839</v>
      </c>
      <c r="L369" s="158" t="str">
        <f>A4_Chem_Prices!F$30</f>
        <v>oz</v>
      </c>
      <c r="M369" s="159">
        <f>A4_Chem_Prices!G$30</f>
        <v>0.28125</v>
      </c>
      <c r="N369" s="157">
        <v>32</v>
      </c>
      <c r="O369" s="82">
        <f t="shared" si="76"/>
        <v>9</v>
      </c>
      <c r="P369" s="1449">
        <f>N369</f>
        <v>32</v>
      </c>
      <c r="Q369" s="1071">
        <f t="shared" si="78"/>
        <v>0</v>
      </c>
    </row>
    <row r="370" spans="9:17" ht="13.9" x14ac:dyDescent="0.4">
      <c r="I370" s="1073">
        <f t="shared" si="77"/>
        <v>0</v>
      </c>
      <c r="J370" s="156" t="s">
        <v>19</v>
      </c>
      <c r="K370" s="1350" t="s">
        <v>839</v>
      </c>
      <c r="L370" s="158"/>
      <c r="M370" s="159">
        <v>0</v>
      </c>
      <c r="N370" s="157">
        <v>0</v>
      </c>
      <c r="O370" s="82">
        <f t="shared" si="76"/>
        <v>0</v>
      </c>
      <c r="P370" s="158"/>
      <c r="Q370" s="1071">
        <f t="shared" si="78"/>
        <v>0</v>
      </c>
    </row>
    <row r="371" spans="9:17" ht="13.9" x14ac:dyDescent="0.4">
      <c r="I371" s="1073">
        <f t="shared" si="77"/>
        <v>0</v>
      </c>
      <c r="J371" s="156" t="s">
        <v>19</v>
      </c>
      <c r="K371" s="1350" t="s">
        <v>839</v>
      </c>
      <c r="L371" s="158"/>
      <c r="M371" s="159">
        <v>0</v>
      </c>
      <c r="N371" s="157">
        <v>0</v>
      </c>
      <c r="O371" s="82">
        <f t="shared" si="76"/>
        <v>0</v>
      </c>
      <c r="P371" s="158"/>
      <c r="Q371" s="1071">
        <f t="shared" si="78"/>
        <v>0</v>
      </c>
    </row>
    <row r="372" spans="9:17" ht="13.9" x14ac:dyDescent="0.4">
      <c r="I372" s="1071"/>
      <c r="J372" s="86" t="s">
        <v>22</v>
      </c>
      <c r="K372" s="86"/>
      <c r="L372" s="86"/>
      <c r="M372" s="81"/>
      <c r="N372" s="87"/>
      <c r="O372" s="88">
        <f>SUM(O365:O371)</f>
        <v>19.578125</v>
      </c>
      <c r="P372" s="86"/>
      <c r="Q372" s="1071"/>
    </row>
    <row r="373" spans="9:17" ht="13.9" x14ac:dyDescent="0.4">
      <c r="I373" s="1071"/>
      <c r="J373" s="83"/>
      <c r="K373" s="83"/>
      <c r="L373" s="83"/>
      <c r="M373" s="89"/>
      <c r="N373" s="84"/>
      <c r="O373" s="89"/>
      <c r="P373" s="83"/>
      <c r="Q373" s="1071"/>
    </row>
    <row r="374" spans="9:17" ht="13.9" x14ac:dyDescent="0.4">
      <c r="I374" s="1071"/>
      <c r="J374" s="1168" t="str">
        <f>A2_Budget_Look_Up!H9</f>
        <v>ThyrvOn Cotton, Furrow</v>
      </c>
      <c r="K374" s="1168"/>
      <c r="L374" s="1168">
        <f>A2_Budget_Look_Up!F9</f>
        <v>7</v>
      </c>
      <c r="M374" s="1168"/>
      <c r="N374" s="1168"/>
      <c r="O374" s="1168"/>
      <c r="P374" s="1168"/>
      <c r="Q374" s="1071"/>
    </row>
    <row r="375" spans="9:17" ht="13.9" x14ac:dyDescent="0.4">
      <c r="I375" s="1071"/>
      <c r="J375" s="83"/>
      <c r="K375" s="83"/>
      <c r="L375" s="83"/>
      <c r="M375" s="83"/>
      <c r="N375" s="84"/>
      <c r="O375" s="83"/>
      <c r="P375" s="83"/>
      <c r="Q375" s="1071"/>
    </row>
    <row r="376" spans="9:17" ht="13.9" x14ac:dyDescent="0.4">
      <c r="I376" s="1071"/>
      <c r="J376" s="78" t="s">
        <v>18</v>
      </c>
      <c r="K376" s="78"/>
      <c r="L376" s="78"/>
      <c r="M376" s="79"/>
      <c r="N376" s="85"/>
      <c r="O376" s="79"/>
      <c r="P376" s="78"/>
      <c r="Q376" s="1071"/>
    </row>
    <row r="377" spans="9:17" ht="13.9" x14ac:dyDescent="0.4">
      <c r="I377" s="1071"/>
      <c r="J377" s="80" t="s">
        <v>212</v>
      </c>
      <c r="K377" s="80" t="s">
        <v>838</v>
      </c>
      <c r="L377" s="80" t="s">
        <v>2</v>
      </c>
      <c r="M377" s="80" t="s">
        <v>21</v>
      </c>
      <c r="N377" s="80" t="s">
        <v>174</v>
      </c>
      <c r="O377" s="80" t="s">
        <v>14</v>
      </c>
      <c r="P377" s="80" t="s">
        <v>890</v>
      </c>
      <c r="Q377" s="1071"/>
    </row>
    <row r="378" spans="9:17" ht="13.9" x14ac:dyDescent="0.4">
      <c r="I378" s="1073">
        <f>IF($A$1=7,1,0)</f>
        <v>0</v>
      </c>
      <c r="J378" s="159" t="str">
        <f>A4_Chem_Prices!E$2</f>
        <v>Roundup Powermax 3</v>
      </c>
      <c r="K378" s="1350" t="s">
        <v>839</v>
      </c>
      <c r="L378" s="158" t="str">
        <f>A4_Chem_Prices!F$2</f>
        <v>pt</v>
      </c>
      <c r="M378" s="159">
        <f>A4_Chem_Prices!G$2</f>
        <v>2.25</v>
      </c>
      <c r="N378" s="159">
        <v>2</v>
      </c>
      <c r="O378" s="82">
        <f t="shared" ref="O378:O391" si="79">M378*N378</f>
        <v>4.5</v>
      </c>
      <c r="P378" s="1449">
        <f>N378*16</f>
        <v>32</v>
      </c>
      <c r="Q378" s="1171">
        <f>IF(SUM(I378:I433)=820,L374,0)</f>
        <v>0</v>
      </c>
    </row>
    <row r="379" spans="9:17" ht="13.9" x14ac:dyDescent="0.4">
      <c r="I379" s="1073">
        <f t="shared" ref="I379:I391" si="80">IF($A$1=7,I378+1,0)</f>
        <v>0</v>
      </c>
      <c r="J379" s="159" t="str">
        <f>A4_Chem_Prices!E$15</f>
        <v>2,4-D</v>
      </c>
      <c r="K379" s="1350" t="s">
        <v>839</v>
      </c>
      <c r="L379" s="158" t="str">
        <f>A4_Chem_Prices!F$15</f>
        <v>pt</v>
      </c>
      <c r="M379" s="159">
        <f>A4_Chem_Prices!G$15</f>
        <v>4.375</v>
      </c>
      <c r="N379" s="157">
        <v>1.5</v>
      </c>
      <c r="O379" s="82">
        <f t="shared" si="79"/>
        <v>6.5625</v>
      </c>
      <c r="P379" s="1449">
        <f>N379</f>
        <v>1.5</v>
      </c>
      <c r="Q379" s="1071">
        <f>Q378</f>
        <v>0</v>
      </c>
    </row>
    <row r="380" spans="9:17" ht="13.9" x14ac:dyDescent="0.4">
      <c r="I380" s="1073">
        <f t="shared" si="80"/>
        <v>0</v>
      </c>
      <c r="J380" s="159" t="str">
        <f>A4_Chem_Prices!B$13</f>
        <v>Brake</v>
      </c>
      <c r="K380" s="1350" t="s">
        <v>839</v>
      </c>
      <c r="L380" s="158" t="str">
        <f>A4_Chem_Prices!C$13</f>
        <v>pt</v>
      </c>
      <c r="M380" s="159">
        <f>A4_Chem_Prices!D$13</f>
        <v>25.5</v>
      </c>
      <c r="N380" s="157">
        <v>1</v>
      </c>
      <c r="O380" s="82">
        <f t="shared" si="79"/>
        <v>25.5</v>
      </c>
      <c r="P380" s="1449">
        <f>N380*16</f>
        <v>16</v>
      </c>
      <c r="Q380" s="1071">
        <f t="shared" ref="Q380:Q391" si="81">Q379</f>
        <v>0</v>
      </c>
    </row>
    <row r="381" spans="9:17" ht="13.9" x14ac:dyDescent="0.4">
      <c r="I381" s="1073">
        <f t="shared" si="80"/>
        <v>0</v>
      </c>
      <c r="J381" s="159" t="str">
        <f>A4_Chem_Prices!E$5</f>
        <v>Cotoran</v>
      </c>
      <c r="K381" s="1350" t="s">
        <v>839</v>
      </c>
      <c r="L381" s="160" t="str">
        <f>A4_Chem_Prices!F$5</f>
        <v>pt</v>
      </c>
      <c r="M381" s="159">
        <f>A4_Chem_Prices!G$5</f>
        <v>2.5</v>
      </c>
      <c r="N381" s="157">
        <v>1.6</v>
      </c>
      <c r="O381" s="82">
        <f t="shared" si="79"/>
        <v>4</v>
      </c>
      <c r="P381" s="1449">
        <f>N381*16</f>
        <v>25.6</v>
      </c>
      <c r="Q381" s="1071">
        <f t="shared" si="81"/>
        <v>0</v>
      </c>
    </row>
    <row r="382" spans="9:17" ht="13.9" x14ac:dyDescent="0.4">
      <c r="I382" s="1073">
        <f t="shared" si="80"/>
        <v>0</v>
      </c>
      <c r="J382" s="159" t="str">
        <f>A4_Chem_Prices!E$10</f>
        <v>Liberty</v>
      </c>
      <c r="K382" s="1350" t="s">
        <v>839</v>
      </c>
      <c r="L382" s="160" t="str">
        <f>A4_Chem_Prices!F$10</f>
        <v>oz</v>
      </c>
      <c r="M382" s="159">
        <f>A4_Chem_Prices!G$10</f>
        <v>0.28875000000000001</v>
      </c>
      <c r="N382" s="157">
        <v>32</v>
      </c>
      <c r="O382" s="82">
        <f t="shared" si="79"/>
        <v>9.24</v>
      </c>
      <c r="P382" s="1449">
        <f>N382*16</f>
        <v>512</v>
      </c>
      <c r="Q382" s="1071">
        <f t="shared" si="81"/>
        <v>0</v>
      </c>
    </row>
    <row r="383" spans="9:17" ht="13.9" x14ac:dyDescent="0.4">
      <c r="I383" s="1073">
        <f t="shared" si="80"/>
        <v>0</v>
      </c>
      <c r="J383" s="159" t="str">
        <f>A4_Chem_Prices!B$12</f>
        <v>Outlook</v>
      </c>
      <c r="K383" s="1350" t="s">
        <v>839</v>
      </c>
      <c r="L383" s="160" t="str">
        <f>A4_Chem_Prices!C$12</f>
        <v>oz</v>
      </c>
      <c r="M383" s="159">
        <f>A4_Chem_Prices!D$12</f>
        <v>0.84234374999999995</v>
      </c>
      <c r="N383" s="157">
        <v>12.8</v>
      </c>
      <c r="O383" s="82">
        <f t="shared" si="79"/>
        <v>10.782</v>
      </c>
      <c r="P383" s="1449">
        <f>N383</f>
        <v>12.8</v>
      </c>
      <c r="Q383" s="1071">
        <f t="shared" si="81"/>
        <v>0</v>
      </c>
    </row>
    <row r="384" spans="9:17" ht="13.9" x14ac:dyDescent="0.4">
      <c r="I384" s="1073">
        <f t="shared" si="80"/>
        <v>0</v>
      </c>
      <c r="J384" s="159" t="str">
        <f>A4_Chem_Prices!E$10</f>
        <v>Liberty</v>
      </c>
      <c r="K384" s="1350" t="s">
        <v>839</v>
      </c>
      <c r="L384" s="160" t="str">
        <f>A4_Chem_Prices!F$10</f>
        <v>oz</v>
      </c>
      <c r="M384" s="159">
        <f>A4_Chem_Prices!G$10</f>
        <v>0.28875000000000001</v>
      </c>
      <c r="N384" s="157">
        <v>32</v>
      </c>
      <c r="O384" s="82">
        <f t="shared" si="79"/>
        <v>9.24</v>
      </c>
      <c r="P384" s="1449">
        <f>N384</f>
        <v>32</v>
      </c>
      <c r="Q384" s="1071">
        <f t="shared" si="81"/>
        <v>0</v>
      </c>
    </row>
    <row r="385" spans="9:17" ht="13.9" x14ac:dyDescent="0.4">
      <c r="I385" s="1073">
        <f t="shared" si="80"/>
        <v>0</v>
      </c>
      <c r="J385" s="159" t="str">
        <f>A4_Chem_Prices!E$7</f>
        <v>Metolachlor</v>
      </c>
      <c r="K385" s="1350" t="s">
        <v>839</v>
      </c>
      <c r="L385" s="160" t="str">
        <f>A4_Chem_Prices!F$7</f>
        <v>pt</v>
      </c>
      <c r="M385" s="159">
        <f>A4_Chem_Prices!G$7</f>
        <v>5.0387500000000003</v>
      </c>
      <c r="N385" s="157">
        <v>1</v>
      </c>
      <c r="O385" s="82">
        <f t="shared" si="79"/>
        <v>5.0387500000000003</v>
      </c>
      <c r="P385" s="1449">
        <f>N385*16</f>
        <v>16</v>
      </c>
      <c r="Q385" s="1071">
        <f t="shared" si="81"/>
        <v>0</v>
      </c>
    </row>
    <row r="386" spans="9:17" ht="13.9" x14ac:dyDescent="0.4">
      <c r="I386" s="1073">
        <f t="shared" si="80"/>
        <v>0</v>
      </c>
      <c r="J386" s="159" t="str">
        <f>A4_Chem_Prices!E$10</f>
        <v>Liberty</v>
      </c>
      <c r="K386" s="1350" t="s">
        <v>839</v>
      </c>
      <c r="L386" s="160" t="str">
        <f>A4_Chem_Prices!F$10</f>
        <v>oz</v>
      </c>
      <c r="M386" s="159">
        <f>A4_Chem_Prices!G$10</f>
        <v>0.28875000000000001</v>
      </c>
      <c r="N386" s="157">
        <v>32</v>
      </c>
      <c r="O386" s="82">
        <f t="shared" si="79"/>
        <v>9.24</v>
      </c>
      <c r="P386" s="1449">
        <f>N386</f>
        <v>32</v>
      </c>
      <c r="Q386" s="1071">
        <f t="shared" si="81"/>
        <v>0</v>
      </c>
    </row>
    <row r="387" spans="9:17" ht="13.9" x14ac:dyDescent="0.4">
      <c r="I387" s="1073">
        <f t="shared" si="80"/>
        <v>0</v>
      </c>
      <c r="J387" s="159" t="str">
        <f>A4_Chem_Prices!E$8</f>
        <v>Direx</v>
      </c>
      <c r="K387" s="1350" t="s">
        <v>839</v>
      </c>
      <c r="L387" s="160" t="str">
        <f>A4_Chem_Prices!F$8</f>
        <v>pt</v>
      </c>
      <c r="M387" s="159">
        <f>A4_Chem_Prices!G$8</f>
        <v>4.4637500000000001</v>
      </c>
      <c r="N387" s="157">
        <v>1.5</v>
      </c>
      <c r="O387" s="82">
        <f t="shared" si="79"/>
        <v>6.6956249999999997</v>
      </c>
      <c r="P387" s="1449">
        <f>N387*16</f>
        <v>24</v>
      </c>
      <c r="Q387" s="1071">
        <f t="shared" si="81"/>
        <v>0</v>
      </c>
    </row>
    <row r="388" spans="9:17" ht="13.9" x14ac:dyDescent="0.4">
      <c r="I388" s="1073">
        <f t="shared" si="80"/>
        <v>0</v>
      </c>
      <c r="J388" s="159" t="str">
        <f>A4_Chem_Prices!E$9</f>
        <v>MSMA 6</v>
      </c>
      <c r="K388" s="1350" t="s">
        <v>839</v>
      </c>
      <c r="L388" s="160" t="str">
        <f>A4_Chem_Prices!F$9</f>
        <v>qt</v>
      </c>
      <c r="M388" s="159">
        <f>A4_Chem_Prices!G$9</f>
        <v>14.375</v>
      </c>
      <c r="N388" s="157">
        <v>1.5</v>
      </c>
      <c r="O388" s="82">
        <f t="shared" si="79"/>
        <v>21.5625</v>
      </c>
      <c r="P388" s="1449">
        <f>N388*16</f>
        <v>24</v>
      </c>
      <c r="Q388" s="1071">
        <f t="shared" si="81"/>
        <v>0</v>
      </c>
    </row>
    <row r="389" spans="9:17" ht="13.9" x14ac:dyDescent="0.4">
      <c r="I389" s="1073">
        <f t="shared" si="80"/>
        <v>0</v>
      </c>
      <c r="J389" s="159" t="s">
        <v>19</v>
      </c>
      <c r="K389" s="1350" t="s">
        <v>839</v>
      </c>
      <c r="L389" s="160"/>
      <c r="M389" s="159">
        <v>0</v>
      </c>
      <c r="N389" s="157">
        <v>0</v>
      </c>
      <c r="O389" s="82">
        <f t="shared" si="79"/>
        <v>0</v>
      </c>
      <c r="P389" s="1449">
        <f>N389</f>
        <v>0</v>
      </c>
      <c r="Q389" s="1071">
        <f t="shared" si="81"/>
        <v>0</v>
      </c>
    </row>
    <row r="390" spans="9:17" ht="13.9" x14ac:dyDescent="0.4">
      <c r="I390" s="1073">
        <f t="shared" si="80"/>
        <v>0</v>
      </c>
      <c r="J390" s="159" t="s">
        <v>19</v>
      </c>
      <c r="K390" s="1350" t="s">
        <v>839</v>
      </c>
      <c r="L390" s="160"/>
      <c r="M390" s="159">
        <v>0</v>
      </c>
      <c r="N390" s="157">
        <v>0</v>
      </c>
      <c r="O390" s="82">
        <f t="shared" si="79"/>
        <v>0</v>
      </c>
      <c r="P390" s="160">
        <f>N390*32</f>
        <v>0</v>
      </c>
      <c r="Q390" s="1071">
        <f t="shared" si="81"/>
        <v>0</v>
      </c>
    </row>
    <row r="391" spans="9:17" ht="13.9" x14ac:dyDescent="0.4">
      <c r="I391" s="1073">
        <f t="shared" si="80"/>
        <v>0</v>
      </c>
      <c r="J391" s="159" t="s">
        <v>19</v>
      </c>
      <c r="K391" s="1350" t="s">
        <v>839</v>
      </c>
      <c r="L391" s="160"/>
      <c r="M391" s="159">
        <v>0</v>
      </c>
      <c r="N391" s="157">
        <v>0</v>
      </c>
      <c r="O391" s="82">
        <f t="shared" si="79"/>
        <v>0</v>
      </c>
      <c r="P391" s="158"/>
      <c r="Q391" s="1071">
        <f t="shared" si="81"/>
        <v>0</v>
      </c>
    </row>
    <row r="392" spans="9:17" ht="13.9" x14ac:dyDescent="0.4">
      <c r="I392" s="1071"/>
      <c r="J392" s="86" t="s">
        <v>22</v>
      </c>
      <c r="K392" s="86"/>
      <c r="L392" s="86"/>
      <c r="M392" s="81"/>
      <c r="N392" s="87"/>
      <c r="O392" s="88">
        <f>SUM(O378:O391)</f>
        <v>112.36137499999998</v>
      </c>
      <c r="P392" s="86"/>
      <c r="Q392" s="1071"/>
    </row>
    <row r="393" spans="9:17" ht="13.9" x14ac:dyDescent="0.4">
      <c r="I393" s="1071"/>
      <c r="J393" s="83"/>
      <c r="K393" s="83"/>
      <c r="L393" s="83"/>
      <c r="M393" s="83"/>
      <c r="N393" s="84"/>
      <c r="O393" s="83"/>
      <c r="P393" s="83"/>
      <c r="Q393" s="1071"/>
    </row>
    <row r="394" spans="9:17" ht="13.9" x14ac:dyDescent="0.4">
      <c r="I394" s="1071"/>
      <c r="J394" s="78" t="s">
        <v>20</v>
      </c>
      <c r="K394" s="78"/>
      <c r="L394" s="78"/>
      <c r="M394" s="79"/>
      <c r="N394" s="85"/>
      <c r="O394" s="79"/>
      <c r="P394" s="78"/>
      <c r="Q394" s="1071"/>
    </row>
    <row r="395" spans="9:17" ht="13.9" x14ac:dyDescent="0.4">
      <c r="I395" s="1071"/>
      <c r="J395" s="80" t="s">
        <v>212</v>
      </c>
      <c r="K395" s="80" t="s">
        <v>838</v>
      </c>
      <c r="L395" s="80" t="s">
        <v>2</v>
      </c>
      <c r="M395" s="80" t="s">
        <v>21</v>
      </c>
      <c r="N395" s="80" t="s">
        <v>174</v>
      </c>
      <c r="O395" s="80" t="s">
        <v>14</v>
      </c>
      <c r="P395" s="80" t="s">
        <v>890</v>
      </c>
      <c r="Q395" s="1071"/>
    </row>
    <row r="396" spans="9:17" ht="13.9" x14ac:dyDescent="0.4">
      <c r="I396" s="1073">
        <f>IF($A$1=7,I391+1,0)</f>
        <v>0</v>
      </c>
      <c r="J396" s="159" t="str">
        <f>A4_Chem_Prices!E$18</f>
        <v>Centric</v>
      </c>
      <c r="K396" s="1350" t="s">
        <v>839</v>
      </c>
      <c r="L396" s="160" t="str">
        <f>A4_Chem_Prices!F$18</f>
        <v>oz</v>
      </c>
      <c r="M396" s="159">
        <f>A4_Chem_Prices!G$18</f>
        <v>5.95</v>
      </c>
      <c r="N396" s="157">
        <v>2</v>
      </c>
      <c r="O396" s="82">
        <f t="shared" ref="O396:O405" si="82">M396*N396</f>
        <v>11.9</v>
      </c>
      <c r="P396" s="1449">
        <f t="shared" ref="P396:P402" si="83">N396</f>
        <v>2</v>
      </c>
      <c r="Q396" s="1071">
        <f>Q378</f>
        <v>0</v>
      </c>
    </row>
    <row r="397" spans="9:17" ht="13.9" x14ac:dyDescent="0.4">
      <c r="I397" s="1073">
        <f t="shared" ref="I397:I405" si="84">IF($A$1=7,I396+1,0)</f>
        <v>0</v>
      </c>
      <c r="J397" s="159" t="str">
        <f>A4_Chem_Prices!E$19</f>
        <v>Diamond</v>
      </c>
      <c r="K397" s="1350" t="s">
        <v>839</v>
      </c>
      <c r="L397" s="160" t="str">
        <f>A4_Chem_Prices!F$19</f>
        <v>oz</v>
      </c>
      <c r="M397" s="159">
        <f>A4_Chem_Prices!G$19</f>
        <v>1.1971354166666666</v>
      </c>
      <c r="N397" s="157">
        <v>6</v>
      </c>
      <c r="O397" s="82">
        <f t="shared" si="82"/>
        <v>7.1828124999999989</v>
      </c>
      <c r="P397" s="1449">
        <f t="shared" si="83"/>
        <v>6</v>
      </c>
      <c r="Q397" s="1071">
        <f>Q396</f>
        <v>0</v>
      </c>
    </row>
    <row r="398" spans="9:17" ht="13.9" x14ac:dyDescent="0.4">
      <c r="I398" s="1073">
        <f t="shared" si="84"/>
        <v>0</v>
      </c>
      <c r="J398" s="159" t="str">
        <f>A4_Chem_Prices!E$18</f>
        <v>Centric</v>
      </c>
      <c r="K398" s="1350" t="s">
        <v>839</v>
      </c>
      <c r="L398" s="160" t="str">
        <f>A4_Chem_Prices!F$18</f>
        <v>oz</v>
      </c>
      <c r="M398" s="159">
        <f>A4_Chem_Prices!G$18</f>
        <v>5.95</v>
      </c>
      <c r="N398" s="157">
        <v>2</v>
      </c>
      <c r="O398" s="82">
        <f t="shared" si="82"/>
        <v>11.9</v>
      </c>
      <c r="P398" s="1449">
        <f t="shared" si="83"/>
        <v>2</v>
      </c>
      <c r="Q398" s="1071">
        <f t="shared" ref="Q398:Q405" si="85">Q397</f>
        <v>0</v>
      </c>
    </row>
    <row r="399" spans="9:17" ht="13.9" x14ac:dyDescent="0.4">
      <c r="I399" s="1073">
        <f t="shared" si="84"/>
        <v>0</v>
      </c>
      <c r="J399" s="159" t="str">
        <f>A4_Chem_Prices!E$19</f>
        <v>Diamond</v>
      </c>
      <c r="K399" s="1350" t="s">
        <v>839</v>
      </c>
      <c r="L399" s="160" t="str">
        <f>A4_Chem_Prices!F$19</f>
        <v>oz</v>
      </c>
      <c r="M399" s="159">
        <f>A4_Chem_Prices!G$19</f>
        <v>1.1971354166666666</v>
      </c>
      <c r="N399" s="157">
        <v>6</v>
      </c>
      <c r="O399" s="82">
        <f t="shared" si="82"/>
        <v>7.1828124999999989</v>
      </c>
      <c r="P399" s="1449">
        <f t="shared" si="83"/>
        <v>6</v>
      </c>
      <c r="Q399" s="1071">
        <f t="shared" si="85"/>
        <v>0</v>
      </c>
    </row>
    <row r="400" spans="9:17" ht="13.9" x14ac:dyDescent="0.4">
      <c r="I400" s="1073">
        <f t="shared" si="84"/>
        <v>0</v>
      </c>
      <c r="J400" s="159" t="s">
        <v>19</v>
      </c>
      <c r="K400" s="1350" t="s">
        <v>839</v>
      </c>
      <c r="L400" s="160"/>
      <c r="M400" s="159">
        <v>0</v>
      </c>
      <c r="N400" s="157">
        <v>0</v>
      </c>
      <c r="O400" s="82">
        <f t="shared" si="82"/>
        <v>0</v>
      </c>
      <c r="P400" s="1449">
        <f t="shared" si="83"/>
        <v>0</v>
      </c>
      <c r="Q400" s="1071">
        <f t="shared" si="85"/>
        <v>0</v>
      </c>
    </row>
    <row r="401" spans="9:17" ht="13.9" x14ac:dyDescent="0.4">
      <c r="I401" s="1073">
        <f t="shared" si="84"/>
        <v>0</v>
      </c>
      <c r="J401" s="159" t="s">
        <v>19</v>
      </c>
      <c r="K401" s="1350" t="s">
        <v>839</v>
      </c>
      <c r="L401" s="160"/>
      <c r="M401" s="159">
        <v>0</v>
      </c>
      <c r="N401" s="157">
        <v>0</v>
      </c>
      <c r="O401" s="82">
        <f t="shared" si="82"/>
        <v>0</v>
      </c>
      <c r="P401" s="1449">
        <f t="shared" si="83"/>
        <v>0</v>
      </c>
      <c r="Q401" s="1071">
        <f t="shared" si="85"/>
        <v>0</v>
      </c>
    </row>
    <row r="402" spans="9:17" ht="13.9" x14ac:dyDescent="0.4">
      <c r="I402" s="1073">
        <f t="shared" si="84"/>
        <v>0</v>
      </c>
      <c r="J402" s="159" t="s">
        <v>19</v>
      </c>
      <c r="K402" s="1350" t="s">
        <v>839</v>
      </c>
      <c r="L402" s="160"/>
      <c r="M402" s="159">
        <v>0</v>
      </c>
      <c r="N402" s="157">
        <v>0</v>
      </c>
      <c r="O402" s="82">
        <f t="shared" si="82"/>
        <v>0</v>
      </c>
      <c r="P402" s="1449">
        <f t="shared" si="83"/>
        <v>0</v>
      </c>
      <c r="Q402" s="1071">
        <f t="shared" si="85"/>
        <v>0</v>
      </c>
    </row>
    <row r="403" spans="9:17" ht="13.9" x14ac:dyDescent="0.4">
      <c r="I403" s="1073">
        <f t="shared" si="84"/>
        <v>0</v>
      </c>
      <c r="J403" s="159" t="s">
        <v>19</v>
      </c>
      <c r="K403" s="1350" t="s">
        <v>839</v>
      </c>
      <c r="L403" s="160"/>
      <c r="M403" s="159">
        <v>0</v>
      </c>
      <c r="N403" s="157">
        <v>0</v>
      </c>
      <c r="O403" s="82">
        <f t="shared" si="82"/>
        <v>0</v>
      </c>
      <c r="P403" s="158"/>
      <c r="Q403" s="1071">
        <f t="shared" si="85"/>
        <v>0</v>
      </c>
    </row>
    <row r="404" spans="9:17" ht="13.9" x14ac:dyDescent="0.4">
      <c r="I404" s="1073">
        <f t="shared" si="84"/>
        <v>0</v>
      </c>
      <c r="J404" s="159" t="s">
        <v>19</v>
      </c>
      <c r="K404" s="1350" t="s">
        <v>839</v>
      </c>
      <c r="L404" s="160"/>
      <c r="M404" s="159">
        <v>0</v>
      </c>
      <c r="N404" s="157">
        <v>0</v>
      </c>
      <c r="O404" s="82">
        <f t="shared" si="82"/>
        <v>0</v>
      </c>
      <c r="P404" s="158"/>
      <c r="Q404" s="1071">
        <f t="shared" si="85"/>
        <v>0</v>
      </c>
    </row>
    <row r="405" spans="9:17" ht="13.9" x14ac:dyDescent="0.4">
      <c r="I405" s="1073">
        <f t="shared" si="84"/>
        <v>0</v>
      </c>
      <c r="J405" s="159" t="s">
        <v>19</v>
      </c>
      <c r="K405" s="1350" t="s">
        <v>839</v>
      </c>
      <c r="L405" s="160"/>
      <c r="M405" s="159">
        <v>0</v>
      </c>
      <c r="N405" s="157">
        <v>0</v>
      </c>
      <c r="O405" s="82">
        <f t="shared" si="82"/>
        <v>0</v>
      </c>
      <c r="P405" s="158"/>
      <c r="Q405" s="1071">
        <f t="shared" si="85"/>
        <v>0</v>
      </c>
    </row>
    <row r="406" spans="9:17" ht="13.9" x14ac:dyDescent="0.4">
      <c r="I406" s="1071"/>
      <c r="J406" s="86" t="s">
        <v>22</v>
      </c>
      <c r="K406" s="86"/>
      <c r="L406" s="86"/>
      <c r="M406" s="81"/>
      <c r="N406" s="87"/>
      <c r="O406" s="88">
        <f>SUM(O396:O405)</f>
        <v>38.165624999999999</v>
      </c>
      <c r="P406" s="86"/>
      <c r="Q406" s="1071"/>
    </row>
    <row r="407" spans="9:17" ht="13.9" x14ac:dyDescent="0.4">
      <c r="I407" s="1071"/>
      <c r="J407" s="83"/>
      <c r="K407" s="83"/>
      <c r="L407" s="83"/>
      <c r="M407" s="83"/>
      <c r="N407" s="84"/>
      <c r="O407" s="83"/>
      <c r="P407" s="83"/>
      <c r="Q407" s="1071"/>
    </row>
    <row r="408" spans="9:17" ht="13.9" x14ac:dyDescent="0.4">
      <c r="I408" s="1071"/>
      <c r="J408" s="78" t="str">
        <f>IF(OR(A2_Budget_Look_Up!$B$7=1,A2_Budget_Look_Up!$B$13=1),"Nematicide Detail", "Fungicide Detail")</f>
        <v>Fungicide Detail</v>
      </c>
      <c r="K408" s="78"/>
      <c r="L408" s="78"/>
      <c r="M408" s="79"/>
      <c r="N408" s="85"/>
      <c r="O408" s="79"/>
      <c r="P408" s="78"/>
      <c r="Q408" s="1071"/>
    </row>
    <row r="409" spans="9:17" ht="13.9" x14ac:dyDescent="0.4">
      <c r="I409" s="1071"/>
      <c r="J409" s="80" t="s">
        <v>212</v>
      </c>
      <c r="K409" s="80" t="s">
        <v>838</v>
      </c>
      <c r="L409" s="80" t="s">
        <v>2</v>
      </c>
      <c r="M409" s="80" t="s">
        <v>21</v>
      </c>
      <c r="N409" s="80" t="s">
        <v>174</v>
      </c>
      <c r="O409" s="80" t="s">
        <v>14</v>
      </c>
      <c r="P409" s="80" t="s">
        <v>890</v>
      </c>
      <c r="Q409" s="1071"/>
    </row>
    <row r="410" spans="9:17" ht="13.9" x14ac:dyDescent="0.4">
      <c r="I410" s="1073">
        <f>IF($A$1=7,I405+1,0)</f>
        <v>0</v>
      </c>
      <c r="J410" s="156" t="s">
        <v>19</v>
      </c>
      <c r="K410" s="1350" t="s">
        <v>839</v>
      </c>
      <c r="L410" s="158"/>
      <c r="M410" s="159">
        <v>0</v>
      </c>
      <c r="N410" s="157">
        <v>0</v>
      </c>
      <c r="O410" s="82">
        <f>M410*N410</f>
        <v>0</v>
      </c>
      <c r="P410" s="158"/>
      <c r="Q410" s="1071">
        <f>Q405</f>
        <v>0</v>
      </c>
    </row>
    <row r="411" spans="9:17" ht="13.9" x14ac:dyDescent="0.4">
      <c r="I411" s="1073">
        <f>IF($A$1=7,I410+1,0)</f>
        <v>0</v>
      </c>
      <c r="J411" s="156" t="s">
        <v>19</v>
      </c>
      <c r="K411" s="1350" t="s">
        <v>839</v>
      </c>
      <c r="L411" s="158"/>
      <c r="M411" s="159">
        <v>0</v>
      </c>
      <c r="N411" s="157">
        <v>0</v>
      </c>
      <c r="O411" s="82">
        <f>M411*N411</f>
        <v>0</v>
      </c>
      <c r="P411" s="158"/>
      <c r="Q411" s="1071">
        <f>Q410</f>
        <v>0</v>
      </c>
    </row>
    <row r="412" spans="9:17" ht="13.9" x14ac:dyDescent="0.4">
      <c r="I412" s="1071"/>
      <c r="J412" s="86" t="s">
        <v>22</v>
      </c>
      <c r="K412" s="86"/>
      <c r="L412" s="86"/>
      <c r="M412" s="81"/>
      <c r="N412" s="87"/>
      <c r="O412" s="88">
        <f>SUM(O410:O411)</f>
        <v>0</v>
      </c>
      <c r="P412" s="86"/>
      <c r="Q412" s="1071"/>
    </row>
    <row r="413" spans="9:17" ht="13.9" x14ac:dyDescent="0.4">
      <c r="I413" s="1071"/>
      <c r="J413" s="83"/>
      <c r="K413" s="83"/>
      <c r="L413" s="83"/>
      <c r="M413" s="83"/>
      <c r="N413" s="84"/>
      <c r="O413" s="83"/>
      <c r="P413" s="83"/>
      <c r="Q413" s="1071"/>
    </row>
    <row r="414" spans="9:17" ht="13.9" x14ac:dyDescent="0.4">
      <c r="I414" s="1071"/>
      <c r="J414" s="78" t="str">
        <f>IF(A2_Budget_Look_Up!$B$7=1,"Growth Regulator Detail", IF(A2_Budget_Look_Up!$B$13=1,"Fungicide Detail","Other Chemical Detail"))</f>
        <v>Other Chemical Detail</v>
      </c>
      <c r="K414" s="78"/>
      <c r="L414" s="78"/>
      <c r="M414" s="79"/>
      <c r="N414" s="85"/>
      <c r="O414" s="79"/>
      <c r="P414" s="78"/>
      <c r="Q414" s="1071"/>
    </row>
    <row r="415" spans="9:17" ht="13.9" x14ac:dyDescent="0.4">
      <c r="I415" s="1071"/>
      <c r="J415" s="80" t="s">
        <v>212</v>
      </c>
      <c r="K415" s="80" t="s">
        <v>838</v>
      </c>
      <c r="L415" s="80" t="s">
        <v>2</v>
      </c>
      <c r="M415" s="80" t="s">
        <v>21</v>
      </c>
      <c r="N415" s="80" t="s">
        <v>174</v>
      </c>
      <c r="O415" s="80" t="s">
        <v>14</v>
      </c>
      <c r="P415" s="80" t="s">
        <v>890</v>
      </c>
      <c r="Q415" s="1071"/>
    </row>
    <row r="416" spans="9:17" ht="13.9" x14ac:dyDescent="0.4">
      <c r="I416" s="1073">
        <f>IF($A$1=7,I411+1,0)</f>
        <v>0</v>
      </c>
      <c r="J416" s="156" t="str">
        <f>A4_Chem_Prices!E$26</f>
        <v>Mepiquat</v>
      </c>
      <c r="K416" s="1350" t="s">
        <v>839</v>
      </c>
      <c r="L416" s="158" t="str">
        <f>A4_Chem_Prices!F$26</f>
        <v>oz</v>
      </c>
      <c r="M416" s="159">
        <f>A4_Chem_Prices!G$26</f>
        <v>4.9796874999999997E-2</v>
      </c>
      <c r="N416" s="157">
        <v>16</v>
      </c>
      <c r="O416" s="82">
        <f t="shared" ref="O416:O422" si="86">M416*N416</f>
        <v>0.79674999999999996</v>
      </c>
      <c r="P416" s="1449">
        <f>N416</f>
        <v>16</v>
      </c>
      <c r="Q416" s="1071">
        <f>Q411</f>
        <v>0</v>
      </c>
    </row>
    <row r="417" spans="9:17" ht="13.9" x14ac:dyDescent="0.4">
      <c r="I417" s="1073">
        <f t="shared" ref="I417:I422" si="87">IF($A$1=7,I416+1,0)</f>
        <v>0</v>
      </c>
      <c r="J417" s="156" t="str">
        <f>A4_Chem_Prices!E$26</f>
        <v>Mepiquat</v>
      </c>
      <c r="K417" s="1350" t="s">
        <v>839</v>
      </c>
      <c r="L417" s="158" t="str">
        <f>A4_Chem_Prices!F$26</f>
        <v>oz</v>
      </c>
      <c r="M417" s="159">
        <f>A4_Chem_Prices!G$26</f>
        <v>4.9796874999999997E-2</v>
      </c>
      <c r="N417" s="157">
        <v>20</v>
      </c>
      <c r="O417" s="82">
        <f>M417*N417</f>
        <v>0.99593749999999992</v>
      </c>
      <c r="P417" s="1449">
        <f>N417</f>
        <v>20</v>
      </c>
      <c r="Q417" s="1071">
        <f t="shared" ref="Q417:Q422" si="88">Q416</f>
        <v>0</v>
      </c>
    </row>
    <row r="418" spans="9:17" ht="13.9" x14ac:dyDescent="0.4">
      <c r="I418" s="1073">
        <f t="shared" si="87"/>
        <v>0</v>
      </c>
      <c r="J418" s="156" t="str">
        <f>A4_Chem_Prices!E$26</f>
        <v>Mepiquat</v>
      </c>
      <c r="K418" s="1350" t="s">
        <v>839</v>
      </c>
      <c r="L418" s="158" t="str">
        <f>A4_Chem_Prices!F$26</f>
        <v>oz</v>
      </c>
      <c r="M418" s="159">
        <f>A4_Chem_Prices!G$26</f>
        <v>4.9796874999999997E-2</v>
      </c>
      <c r="N418" s="157">
        <v>20</v>
      </c>
      <c r="O418" s="82">
        <f>M418*N418</f>
        <v>0.99593749999999992</v>
      </c>
      <c r="P418" s="1449">
        <f>N418</f>
        <v>20</v>
      </c>
      <c r="Q418" s="1071">
        <f t="shared" si="88"/>
        <v>0</v>
      </c>
    </row>
    <row r="419" spans="9:17" ht="13.9" x14ac:dyDescent="0.4">
      <c r="I419" s="1073">
        <f t="shared" si="87"/>
        <v>0</v>
      </c>
      <c r="J419" s="156" t="str">
        <f>A4_Chem_Prices!E$26</f>
        <v>Mepiquat</v>
      </c>
      <c r="K419" s="1350" t="s">
        <v>839</v>
      </c>
      <c r="L419" s="158" t="str">
        <f>A4_Chem_Prices!F$26</f>
        <v>oz</v>
      </c>
      <c r="M419" s="159">
        <f>A4_Chem_Prices!G$26</f>
        <v>4.9796874999999997E-2</v>
      </c>
      <c r="N419" s="157">
        <v>20</v>
      </c>
      <c r="O419" s="82">
        <f>M419*N419</f>
        <v>0.99593749999999992</v>
      </c>
      <c r="P419" s="1449">
        <f>N419</f>
        <v>20</v>
      </c>
      <c r="Q419" s="1071">
        <f t="shared" si="88"/>
        <v>0</v>
      </c>
    </row>
    <row r="420" spans="9:17" ht="13.9" x14ac:dyDescent="0.4">
      <c r="I420" s="1073">
        <f t="shared" si="87"/>
        <v>0</v>
      </c>
      <c r="J420" s="156" t="s">
        <v>19</v>
      </c>
      <c r="K420" s="1350" t="s">
        <v>839</v>
      </c>
      <c r="L420" s="158"/>
      <c r="M420" s="159">
        <v>0</v>
      </c>
      <c r="N420" s="157">
        <v>0</v>
      </c>
      <c r="O420" s="82">
        <f t="shared" si="86"/>
        <v>0</v>
      </c>
      <c r="P420" s="158"/>
      <c r="Q420" s="1071">
        <f t="shared" si="88"/>
        <v>0</v>
      </c>
    </row>
    <row r="421" spans="9:17" ht="13.9" x14ac:dyDescent="0.4">
      <c r="I421" s="1073">
        <f t="shared" si="87"/>
        <v>0</v>
      </c>
      <c r="J421" s="156" t="s">
        <v>19</v>
      </c>
      <c r="K421" s="1350" t="s">
        <v>839</v>
      </c>
      <c r="L421" s="158"/>
      <c r="M421" s="159">
        <v>0</v>
      </c>
      <c r="N421" s="157">
        <v>0</v>
      </c>
      <c r="O421" s="82">
        <f t="shared" si="86"/>
        <v>0</v>
      </c>
      <c r="P421" s="158"/>
      <c r="Q421" s="1071">
        <f t="shared" si="88"/>
        <v>0</v>
      </c>
    </row>
    <row r="422" spans="9:17" ht="13.9" x14ac:dyDescent="0.4">
      <c r="I422" s="1073">
        <f t="shared" si="87"/>
        <v>0</v>
      </c>
      <c r="J422" s="156" t="s">
        <v>19</v>
      </c>
      <c r="K422" s="1350" t="s">
        <v>839</v>
      </c>
      <c r="L422" s="158"/>
      <c r="M422" s="159">
        <v>0</v>
      </c>
      <c r="N422" s="157">
        <v>0</v>
      </c>
      <c r="O422" s="82">
        <f t="shared" si="86"/>
        <v>0</v>
      </c>
      <c r="P422" s="158"/>
      <c r="Q422" s="1071">
        <f t="shared" si="88"/>
        <v>0</v>
      </c>
    </row>
    <row r="423" spans="9:17" ht="13.9" x14ac:dyDescent="0.4">
      <c r="I423" s="1071"/>
      <c r="J423" s="86" t="s">
        <v>22</v>
      </c>
      <c r="K423" s="86"/>
      <c r="L423" s="86"/>
      <c r="M423" s="81"/>
      <c r="N423" s="87"/>
      <c r="O423" s="88">
        <f>SUM(O416:O422)</f>
        <v>3.7845624999999998</v>
      </c>
      <c r="P423" s="86"/>
      <c r="Q423" s="1071"/>
    </row>
    <row r="424" spans="9:17" ht="13.9" x14ac:dyDescent="0.4">
      <c r="I424" s="1071"/>
      <c r="J424" s="83"/>
      <c r="K424" s="83"/>
      <c r="L424" s="83"/>
      <c r="M424" s="83"/>
      <c r="N424" s="84"/>
      <c r="O424" s="83"/>
      <c r="P424" s="83"/>
      <c r="Q424" s="1071"/>
    </row>
    <row r="425" spans="9:17" ht="13.9" x14ac:dyDescent="0.4">
      <c r="I425" s="1071"/>
      <c r="J425" s="78" t="str">
        <f>IF(A2_Budget_Look_Up!$B$7=1,"Defoliant Detail", "Other Chemical Detail")</f>
        <v>Other Chemical Detail</v>
      </c>
      <c r="K425" s="78"/>
      <c r="L425" s="78"/>
      <c r="M425" s="79"/>
      <c r="N425" s="85"/>
      <c r="O425" s="79"/>
      <c r="P425" s="78"/>
      <c r="Q425" s="1071"/>
    </row>
    <row r="426" spans="9:17" ht="13.9" x14ac:dyDescent="0.4">
      <c r="I426" s="1071"/>
      <c r="J426" s="80" t="s">
        <v>212</v>
      </c>
      <c r="K426" s="80" t="s">
        <v>838</v>
      </c>
      <c r="L426" s="80" t="s">
        <v>2</v>
      </c>
      <c r="M426" s="80" t="s">
        <v>21</v>
      </c>
      <c r="N426" s="80" t="s">
        <v>174</v>
      </c>
      <c r="O426" s="80" t="s">
        <v>14</v>
      </c>
      <c r="P426" s="80" t="s">
        <v>890</v>
      </c>
      <c r="Q426" s="1071"/>
    </row>
    <row r="427" spans="9:17" ht="13.9" x14ac:dyDescent="0.4">
      <c r="I427" s="1073">
        <f>IF($A$1=7,I422+1,0)</f>
        <v>0</v>
      </c>
      <c r="J427" s="156" t="str">
        <f>A4_Chem_Prices!E$28</f>
        <v>Dropp</v>
      </c>
      <c r="K427" s="1350" t="s">
        <v>839</v>
      </c>
      <c r="L427" s="158" t="str">
        <f>A4_Chem_Prices!F$28</f>
        <v>oz</v>
      </c>
      <c r="M427" s="159">
        <f>A4_Chem_Prices!G$28</f>
        <v>0.78125</v>
      </c>
      <c r="N427" s="157">
        <v>2</v>
      </c>
      <c r="O427" s="82">
        <f t="shared" ref="O427:O433" si="89">M427*N427</f>
        <v>1.5625</v>
      </c>
      <c r="P427" s="1449">
        <f>N427</f>
        <v>2</v>
      </c>
      <c r="Q427" s="1071">
        <f>Q422</f>
        <v>0</v>
      </c>
    </row>
    <row r="428" spans="9:17" ht="13.9" x14ac:dyDescent="0.4">
      <c r="I428" s="1073">
        <f t="shared" ref="I428:I433" si="90">IF($A$1=7,I427+1,0)</f>
        <v>0</v>
      </c>
      <c r="J428" s="156" t="str">
        <f>A4_Chem_Prices!E$29</f>
        <v>Folex</v>
      </c>
      <c r="K428" s="1350" t="s">
        <v>839</v>
      </c>
      <c r="L428" s="158" t="str">
        <f>A4_Chem_Prices!F$29</f>
        <v>oz</v>
      </c>
      <c r="M428" s="159">
        <f>A4_Chem_Prices!G$29</f>
        <v>0.5234375</v>
      </c>
      <c r="N428" s="157">
        <v>6</v>
      </c>
      <c r="O428" s="82">
        <f t="shared" si="89"/>
        <v>3.140625</v>
      </c>
      <c r="P428" s="1449">
        <f>N428</f>
        <v>6</v>
      </c>
      <c r="Q428" s="1071">
        <f t="shared" ref="Q428:Q433" si="91">Q427</f>
        <v>0</v>
      </c>
    </row>
    <row r="429" spans="9:17" ht="13.9" x14ac:dyDescent="0.4">
      <c r="I429" s="1073">
        <f t="shared" si="90"/>
        <v>0</v>
      </c>
      <c r="J429" s="156" t="str">
        <f>A4_Chem_Prices!E$30</f>
        <v>Prep</v>
      </c>
      <c r="K429" s="1350" t="s">
        <v>839</v>
      </c>
      <c r="L429" s="158" t="str">
        <f>A4_Chem_Prices!F$30</f>
        <v>oz</v>
      </c>
      <c r="M429" s="159">
        <f>A4_Chem_Prices!G$30</f>
        <v>0.28125</v>
      </c>
      <c r="N429" s="157">
        <v>6</v>
      </c>
      <c r="O429" s="82">
        <f t="shared" si="89"/>
        <v>1.6875</v>
      </c>
      <c r="P429" s="1449">
        <f>N429</f>
        <v>6</v>
      </c>
      <c r="Q429" s="1071">
        <f t="shared" si="91"/>
        <v>0</v>
      </c>
    </row>
    <row r="430" spans="9:17" ht="13.9" x14ac:dyDescent="0.4">
      <c r="I430" s="1073">
        <f t="shared" si="90"/>
        <v>0</v>
      </c>
      <c r="J430" s="156" t="str">
        <f>A4_Chem_Prices!E$29</f>
        <v>Folex</v>
      </c>
      <c r="K430" s="1350" t="s">
        <v>839</v>
      </c>
      <c r="L430" s="158" t="str">
        <f>A4_Chem_Prices!F$29</f>
        <v>oz</v>
      </c>
      <c r="M430" s="159">
        <f>A4_Chem_Prices!G$29</f>
        <v>0.5234375</v>
      </c>
      <c r="N430" s="157">
        <v>8</v>
      </c>
      <c r="O430" s="82">
        <f t="shared" si="89"/>
        <v>4.1875</v>
      </c>
      <c r="P430" s="1449">
        <f>N430</f>
        <v>8</v>
      </c>
      <c r="Q430" s="1071">
        <f t="shared" si="91"/>
        <v>0</v>
      </c>
    </row>
    <row r="431" spans="9:17" ht="13.9" x14ac:dyDescent="0.4">
      <c r="I431" s="1073">
        <f t="shared" si="90"/>
        <v>0</v>
      </c>
      <c r="J431" s="156" t="str">
        <f>A4_Chem_Prices!E$30</f>
        <v>Prep</v>
      </c>
      <c r="K431" s="1350" t="s">
        <v>839</v>
      </c>
      <c r="L431" s="158" t="str">
        <f>A4_Chem_Prices!F$30</f>
        <v>oz</v>
      </c>
      <c r="M431" s="159">
        <f>A4_Chem_Prices!G$30</f>
        <v>0.28125</v>
      </c>
      <c r="N431" s="157">
        <v>32</v>
      </c>
      <c r="O431" s="82">
        <f t="shared" si="89"/>
        <v>9</v>
      </c>
      <c r="P431" s="1449">
        <f>N431</f>
        <v>32</v>
      </c>
      <c r="Q431" s="1071">
        <f t="shared" si="91"/>
        <v>0</v>
      </c>
    </row>
    <row r="432" spans="9:17" ht="13.9" x14ac:dyDescent="0.4">
      <c r="I432" s="1073">
        <f t="shared" si="90"/>
        <v>0</v>
      </c>
      <c r="J432" s="156" t="s">
        <v>19</v>
      </c>
      <c r="K432" s="1350" t="s">
        <v>839</v>
      </c>
      <c r="L432" s="158"/>
      <c r="M432" s="159">
        <v>0</v>
      </c>
      <c r="N432" s="157">
        <v>0</v>
      </c>
      <c r="O432" s="82">
        <f t="shared" si="89"/>
        <v>0</v>
      </c>
      <c r="P432" s="158"/>
      <c r="Q432" s="1071">
        <f t="shared" si="91"/>
        <v>0</v>
      </c>
    </row>
    <row r="433" spans="9:17" ht="13.9" x14ac:dyDescent="0.4">
      <c r="I433" s="1073">
        <f t="shared" si="90"/>
        <v>0</v>
      </c>
      <c r="J433" s="156" t="s">
        <v>19</v>
      </c>
      <c r="K433" s="1350" t="s">
        <v>839</v>
      </c>
      <c r="L433" s="158"/>
      <c r="M433" s="159">
        <v>0</v>
      </c>
      <c r="N433" s="157">
        <v>0</v>
      </c>
      <c r="O433" s="82">
        <f t="shared" si="89"/>
        <v>0</v>
      </c>
      <c r="P433" s="158"/>
      <c r="Q433" s="1071">
        <f t="shared" si="91"/>
        <v>0</v>
      </c>
    </row>
    <row r="434" spans="9:17" ht="13.9" x14ac:dyDescent="0.4">
      <c r="I434" s="1071"/>
      <c r="J434" s="86" t="s">
        <v>22</v>
      </c>
      <c r="K434" s="86"/>
      <c r="L434" s="86"/>
      <c r="M434" s="81"/>
      <c r="N434" s="87"/>
      <c r="O434" s="88">
        <f>SUM(O427:O433)</f>
        <v>19.578125</v>
      </c>
      <c r="P434" s="86"/>
      <c r="Q434" s="1071"/>
    </row>
    <row r="435" spans="9:17" ht="13.9" x14ac:dyDescent="0.4">
      <c r="I435" s="1071"/>
      <c r="J435" s="83"/>
      <c r="K435" s="83"/>
      <c r="L435" s="83"/>
      <c r="M435" s="89"/>
      <c r="N435" s="84"/>
      <c r="O435" s="89"/>
      <c r="P435" s="83"/>
      <c r="Q435" s="1071"/>
    </row>
    <row r="436" spans="9:17" ht="13.9" x14ac:dyDescent="0.4">
      <c r="I436" s="1071"/>
      <c r="J436" s="1168" t="str">
        <f>A2_Budget_Look_Up!H10</f>
        <v>ThyrvOn Cotton, Pivot</v>
      </c>
      <c r="K436" s="1168"/>
      <c r="L436" s="1168">
        <f>A2_Budget_Look_Up!F10</f>
        <v>8</v>
      </c>
      <c r="M436" s="1168"/>
      <c r="N436" s="1168"/>
      <c r="O436" s="1168"/>
      <c r="P436" s="1168"/>
      <c r="Q436" s="1071"/>
    </row>
    <row r="437" spans="9:17" ht="13.9" x14ac:dyDescent="0.4">
      <c r="I437" s="1071"/>
      <c r="J437" s="83"/>
      <c r="K437" s="83"/>
      <c r="L437" s="83"/>
      <c r="M437" s="83"/>
      <c r="N437" s="84"/>
      <c r="O437" s="83"/>
      <c r="P437" s="83"/>
      <c r="Q437" s="1071"/>
    </row>
    <row r="438" spans="9:17" ht="13.9" x14ac:dyDescent="0.4">
      <c r="I438" s="1071"/>
      <c r="J438" s="78" t="s">
        <v>18</v>
      </c>
      <c r="K438" s="78"/>
      <c r="L438" s="78"/>
      <c r="M438" s="79"/>
      <c r="N438" s="85"/>
      <c r="O438" s="79"/>
      <c r="P438" s="78"/>
      <c r="Q438" s="1071"/>
    </row>
    <row r="439" spans="9:17" ht="13.9" x14ac:dyDescent="0.4">
      <c r="I439" s="1071"/>
      <c r="J439" s="80" t="s">
        <v>212</v>
      </c>
      <c r="K439" s="80" t="s">
        <v>838</v>
      </c>
      <c r="L439" s="80" t="s">
        <v>2</v>
      </c>
      <c r="M439" s="80" t="s">
        <v>21</v>
      </c>
      <c r="N439" s="80" t="s">
        <v>174</v>
      </c>
      <c r="O439" s="80" t="s">
        <v>14</v>
      </c>
      <c r="P439" s="80" t="s">
        <v>890</v>
      </c>
      <c r="Q439" s="1071"/>
    </row>
    <row r="440" spans="9:17" ht="13.9" x14ac:dyDescent="0.4">
      <c r="I440" s="1073">
        <f>IF($A$1=8,1,0)</f>
        <v>0</v>
      </c>
      <c r="J440" s="159" t="str">
        <f>A4_Chem_Prices!E$2</f>
        <v>Roundup Powermax 3</v>
      </c>
      <c r="K440" s="1350" t="s">
        <v>839</v>
      </c>
      <c r="L440" s="158" t="str">
        <f>A4_Chem_Prices!F$2</f>
        <v>pt</v>
      </c>
      <c r="M440" s="159">
        <f>A4_Chem_Prices!G$2</f>
        <v>2.25</v>
      </c>
      <c r="N440" s="159">
        <v>2</v>
      </c>
      <c r="O440" s="82">
        <f t="shared" ref="O440:O453" si="92">M440*N440</f>
        <v>4.5</v>
      </c>
      <c r="P440" s="1449">
        <f>N440*16</f>
        <v>32</v>
      </c>
      <c r="Q440" s="1171">
        <f>IF(SUM(I440:I495)=820,L436,0)</f>
        <v>0</v>
      </c>
    </row>
    <row r="441" spans="9:17" ht="13.9" x14ac:dyDescent="0.4">
      <c r="I441" s="1073">
        <f t="shared" ref="I441:I453" si="93">IF($A$1=8,I440+1,0)</f>
        <v>0</v>
      </c>
      <c r="J441" s="159" t="str">
        <f>A4_Chem_Prices!E$15</f>
        <v>2,4-D</v>
      </c>
      <c r="K441" s="1350" t="s">
        <v>839</v>
      </c>
      <c r="L441" s="158" t="str">
        <f>A4_Chem_Prices!F$15</f>
        <v>pt</v>
      </c>
      <c r="M441" s="159">
        <f>A4_Chem_Prices!G$15</f>
        <v>4.375</v>
      </c>
      <c r="N441" s="157">
        <v>1.5</v>
      </c>
      <c r="O441" s="82">
        <f t="shared" si="92"/>
        <v>6.5625</v>
      </c>
      <c r="P441" s="1449">
        <f>N441</f>
        <v>1.5</v>
      </c>
      <c r="Q441" s="1071">
        <f>Q440</f>
        <v>0</v>
      </c>
    </row>
    <row r="442" spans="9:17" ht="13.9" x14ac:dyDescent="0.4">
      <c r="I442" s="1073">
        <f t="shared" si="93"/>
        <v>0</v>
      </c>
      <c r="J442" s="159" t="str">
        <f>A4_Chem_Prices!B$13</f>
        <v>Brake</v>
      </c>
      <c r="K442" s="1350" t="s">
        <v>839</v>
      </c>
      <c r="L442" s="158" t="str">
        <f>A4_Chem_Prices!C$13</f>
        <v>pt</v>
      </c>
      <c r="M442" s="159">
        <f>A4_Chem_Prices!D$13</f>
        <v>25.5</v>
      </c>
      <c r="N442" s="157">
        <v>1</v>
      </c>
      <c r="O442" s="82">
        <f t="shared" si="92"/>
        <v>25.5</v>
      </c>
      <c r="P442" s="1449">
        <f>N442*16</f>
        <v>16</v>
      </c>
      <c r="Q442" s="1071">
        <f t="shared" ref="Q442:Q453" si="94">Q441</f>
        <v>0</v>
      </c>
    </row>
    <row r="443" spans="9:17" ht="13.9" x14ac:dyDescent="0.4">
      <c r="I443" s="1073">
        <f t="shared" si="93"/>
        <v>0</v>
      </c>
      <c r="J443" s="159" t="str">
        <f>A4_Chem_Prices!E$5</f>
        <v>Cotoran</v>
      </c>
      <c r="K443" s="1350" t="s">
        <v>839</v>
      </c>
      <c r="L443" s="160" t="str">
        <f>A4_Chem_Prices!F$5</f>
        <v>pt</v>
      </c>
      <c r="M443" s="159">
        <f>A4_Chem_Prices!G$5</f>
        <v>2.5</v>
      </c>
      <c r="N443" s="157">
        <v>1.6</v>
      </c>
      <c r="O443" s="82">
        <f t="shared" si="92"/>
        <v>4</v>
      </c>
      <c r="P443" s="1449">
        <f>N443*16</f>
        <v>25.6</v>
      </c>
      <c r="Q443" s="1071">
        <f t="shared" si="94"/>
        <v>0</v>
      </c>
    </row>
    <row r="444" spans="9:17" ht="13.9" x14ac:dyDescent="0.4">
      <c r="I444" s="1073">
        <f t="shared" si="93"/>
        <v>0</v>
      </c>
      <c r="J444" s="159" t="str">
        <f>A4_Chem_Prices!E$10</f>
        <v>Liberty</v>
      </c>
      <c r="K444" s="1350" t="s">
        <v>839</v>
      </c>
      <c r="L444" s="160" t="str">
        <f>A4_Chem_Prices!F$10</f>
        <v>oz</v>
      </c>
      <c r="M444" s="159">
        <f>A4_Chem_Prices!G$10</f>
        <v>0.28875000000000001</v>
      </c>
      <c r="N444" s="157">
        <v>32</v>
      </c>
      <c r="O444" s="82">
        <f t="shared" si="92"/>
        <v>9.24</v>
      </c>
      <c r="P444" s="1449">
        <f>N444*16</f>
        <v>512</v>
      </c>
      <c r="Q444" s="1071">
        <f t="shared" si="94"/>
        <v>0</v>
      </c>
    </row>
    <row r="445" spans="9:17" ht="13.9" x14ac:dyDescent="0.4">
      <c r="I445" s="1073">
        <f t="shared" si="93"/>
        <v>0</v>
      </c>
      <c r="J445" s="159" t="str">
        <f>A4_Chem_Prices!B$12</f>
        <v>Outlook</v>
      </c>
      <c r="K445" s="1350" t="s">
        <v>839</v>
      </c>
      <c r="L445" s="160" t="str">
        <f>A4_Chem_Prices!C$12</f>
        <v>oz</v>
      </c>
      <c r="M445" s="159">
        <f>A4_Chem_Prices!D$12</f>
        <v>0.84234374999999995</v>
      </c>
      <c r="N445" s="157">
        <v>12.8</v>
      </c>
      <c r="O445" s="82">
        <f t="shared" si="92"/>
        <v>10.782</v>
      </c>
      <c r="P445" s="1449">
        <f>N445</f>
        <v>12.8</v>
      </c>
      <c r="Q445" s="1071">
        <f t="shared" si="94"/>
        <v>0</v>
      </c>
    </row>
    <row r="446" spans="9:17" ht="13.9" x14ac:dyDescent="0.4">
      <c r="I446" s="1073">
        <f t="shared" si="93"/>
        <v>0</v>
      </c>
      <c r="J446" s="159" t="str">
        <f>A4_Chem_Prices!E$10</f>
        <v>Liberty</v>
      </c>
      <c r="K446" s="1350" t="s">
        <v>839</v>
      </c>
      <c r="L446" s="160" t="str">
        <f>A4_Chem_Prices!F$10</f>
        <v>oz</v>
      </c>
      <c r="M446" s="159">
        <f>A4_Chem_Prices!G$10</f>
        <v>0.28875000000000001</v>
      </c>
      <c r="N446" s="157">
        <v>32</v>
      </c>
      <c r="O446" s="82">
        <f t="shared" si="92"/>
        <v>9.24</v>
      </c>
      <c r="P446" s="1449">
        <f>N446</f>
        <v>32</v>
      </c>
      <c r="Q446" s="1071">
        <f t="shared" si="94"/>
        <v>0</v>
      </c>
    </row>
    <row r="447" spans="9:17" ht="13.9" x14ac:dyDescent="0.4">
      <c r="I447" s="1073">
        <f t="shared" si="93"/>
        <v>0</v>
      </c>
      <c r="J447" s="159" t="str">
        <f>A4_Chem_Prices!E$7</f>
        <v>Metolachlor</v>
      </c>
      <c r="K447" s="1350" t="s">
        <v>839</v>
      </c>
      <c r="L447" s="160" t="str">
        <f>A4_Chem_Prices!F$7</f>
        <v>pt</v>
      </c>
      <c r="M447" s="159">
        <f>A4_Chem_Prices!G$7</f>
        <v>5.0387500000000003</v>
      </c>
      <c r="N447" s="157">
        <v>1</v>
      </c>
      <c r="O447" s="82">
        <f t="shared" si="92"/>
        <v>5.0387500000000003</v>
      </c>
      <c r="P447" s="1449">
        <f>N447*16</f>
        <v>16</v>
      </c>
      <c r="Q447" s="1071">
        <f t="shared" si="94"/>
        <v>0</v>
      </c>
    </row>
    <row r="448" spans="9:17" ht="13.9" x14ac:dyDescent="0.4">
      <c r="I448" s="1073">
        <f t="shared" si="93"/>
        <v>0</v>
      </c>
      <c r="J448" s="159" t="str">
        <f>A4_Chem_Prices!E$10</f>
        <v>Liberty</v>
      </c>
      <c r="K448" s="1350" t="s">
        <v>839</v>
      </c>
      <c r="L448" s="160" t="str">
        <f>A4_Chem_Prices!F$10</f>
        <v>oz</v>
      </c>
      <c r="M448" s="159">
        <f>A4_Chem_Prices!G$10</f>
        <v>0.28875000000000001</v>
      </c>
      <c r="N448" s="157">
        <v>32</v>
      </c>
      <c r="O448" s="82">
        <f t="shared" si="92"/>
        <v>9.24</v>
      </c>
      <c r="P448" s="1449">
        <f>N448</f>
        <v>32</v>
      </c>
      <c r="Q448" s="1071">
        <f t="shared" si="94"/>
        <v>0</v>
      </c>
    </row>
    <row r="449" spans="9:17" ht="13.9" x14ac:dyDescent="0.4">
      <c r="I449" s="1073">
        <f t="shared" si="93"/>
        <v>0</v>
      </c>
      <c r="J449" s="159" t="str">
        <f>A4_Chem_Prices!E$8</f>
        <v>Direx</v>
      </c>
      <c r="K449" s="1350" t="s">
        <v>839</v>
      </c>
      <c r="L449" s="160" t="str">
        <f>A4_Chem_Prices!F$8</f>
        <v>pt</v>
      </c>
      <c r="M449" s="159">
        <f>A4_Chem_Prices!G$8</f>
        <v>4.4637500000000001</v>
      </c>
      <c r="N449" s="157">
        <v>1.5</v>
      </c>
      <c r="O449" s="82">
        <f t="shared" si="92"/>
        <v>6.6956249999999997</v>
      </c>
      <c r="P449" s="1449">
        <f>N449*16</f>
        <v>24</v>
      </c>
      <c r="Q449" s="1071">
        <f t="shared" si="94"/>
        <v>0</v>
      </c>
    </row>
    <row r="450" spans="9:17" ht="13.9" x14ac:dyDescent="0.4">
      <c r="I450" s="1073">
        <f t="shared" si="93"/>
        <v>0</v>
      </c>
      <c r="J450" s="159" t="str">
        <f>A4_Chem_Prices!E$9</f>
        <v>MSMA 6</v>
      </c>
      <c r="K450" s="1350" t="s">
        <v>839</v>
      </c>
      <c r="L450" s="160" t="str">
        <f>A4_Chem_Prices!F$9</f>
        <v>qt</v>
      </c>
      <c r="M450" s="159">
        <f>A4_Chem_Prices!G$9</f>
        <v>14.375</v>
      </c>
      <c r="N450" s="157">
        <v>1.5</v>
      </c>
      <c r="O450" s="82">
        <f t="shared" si="92"/>
        <v>21.5625</v>
      </c>
      <c r="P450" s="1449">
        <f>N450*16</f>
        <v>24</v>
      </c>
      <c r="Q450" s="1071">
        <f t="shared" si="94"/>
        <v>0</v>
      </c>
    </row>
    <row r="451" spans="9:17" ht="13.9" x14ac:dyDescent="0.4">
      <c r="I451" s="1073">
        <f t="shared" si="93"/>
        <v>0</v>
      </c>
      <c r="J451" s="159" t="s">
        <v>19</v>
      </c>
      <c r="K451" s="1350" t="s">
        <v>839</v>
      </c>
      <c r="L451" s="160"/>
      <c r="M451" s="159">
        <v>0</v>
      </c>
      <c r="N451" s="157">
        <v>0</v>
      </c>
      <c r="O451" s="82">
        <f t="shared" si="92"/>
        <v>0</v>
      </c>
      <c r="P451" s="1449">
        <f>N451</f>
        <v>0</v>
      </c>
      <c r="Q451" s="1071">
        <f t="shared" si="94"/>
        <v>0</v>
      </c>
    </row>
    <row r="452" spans="9:17" ht="13.9" x14ac:dyDescent="0.4">
      <c r="I452" s="1073">
        <f t="shared" si="93"/>
        <v>0</v>
      </c>
      <c r="J452" s="159" t="s">
        <v>19</v>
      </c>
      <c r="K452" s="1350" t="s">
        <v>839</v>
      </c>
      <c r="L452" s="160"/>
      <c r="M452" s="159">
        <v>0</v>
      </c>
      <c r="N452" s="157">
        <v>0</v>
      </c>
      <c r="O452" s="82">
        <f t="shared" si="92"/>
        <v>0</v>
      </c>
      <c r="P452" s="160">
        <f>N452*32</f>
        <v>0</v>
      </c>
      <c r="Q452" s="1071">
        <f t="shared" si="94"/>
        <v>0</v>
      </c>
    </row>
    <row r="453" spans="9:17" ht="13.9" x14ac:dyDescent="0.4">
      <c r="I453" s="1073">
        <f t="shared" si="93"/>
        <v>0</v>
      </c>
      <c r="J453" s="159" t="s">
        <v>19</v>
      </c>
      <c r="K453" s="1350" t="s">
        <v>839</v>
      </c>
      <c r="L453" s="160"/>
      <c r="M453" s="159">
        <v>0</v>
      </c>
      <c r="N453" s="157">
        <v>0</v>
      </c>
      <c r="O453" s="82">
        <f t="shared" si="92"/>
        <v>0</v>
      </c>
      <c r="P453" s="158"/>
      <c r="Q453" s="1071">
        <f t="shared" si="94"/>
        <v>0</v>
      </c>
    </row>
    <row r="454" spans="9:17" ht="13.9" x14ac:dyDescent="0.4">
      <c r="I454" s="1071"/>
      <c r="J454" s="86" t="s">
        <v>22</v>
      </c>
      <c r="K454" s="86"/>
      <c r="L454" s="86"/>
      <c r="M454" s="81"/>
      <c r="N454" s="87"/>
      <c r="O454" s="88">
        <f>SUM(O440:O453)</f>
        <v>112.36137499999998</v>
      </c>
      <c r="P454" s="86"/>
      <c r="Q454" s="1071"/>
    </row>
    <row r="455" spans="9:17" ht="13.9" x14ac:dyDescent="0.4">
      <c r="I455" s="1071"/>
      <c r="J455" s="83"/>
      <c r="K455" s="83"/>
      <c r="L455" s="83"/>
      <c r="M455" s="83"/>
      <c r="N455" s="84"/>
      <c r="O455" s="83"/>
      <c r="P455" s="83"/>
      <c r="Q455" s="1071"/>
    </row>
    <row r="456" spans="9:17" ht="13.9" x14ac:dyDescent="0.4">
      <c r="I456" s="1071"/>
      <c r="J456" s="78" t="s">
        <v>20</v>
      </c>
      <c r="K456" s="78"/>
      <c r="L456" s="78"/>
      <c r="M456" s="79"/>
      <c r="N456" s="85"/>
      <c r="O456" s="79"/>
      <c r="P456" s="78"/>
      <c r="Q456" s="1071"/>
    </row>
    <row r="457" spans="9:17" ht="13.9" x14ac:dyDescent="0.4">
      <c r="I457" s="1071"/>
      <c r="J457" s="80" t="s">
        <v>212</v>
      </c>
      <c r="K457" s="80" t="s">
        <v>838</v>
      </c>
      <c r="L457" s="80" t="s">
        <v>2</v>
      </c>
      <c r="M457" s="80" t="s">
        <v>21</v>
      </c>
      <c r="N457" s="80" t="s">
        <v>174</v>
      </c>
      <c r="O457" s="80" t="s">
        <v>14</v>
      </c>
      <c r="P457" s="80" t="s">
        <v>890</v>
      </c>
      <c r="Q457" s="1071"/>
    </row>
    <row r="458" spans="9:17" ht="13.9" x14ac:dyDescent="0.4">
      <c r="I458" s="1073">
        <f>IF($A$1=8,I453+1,0)</f>
        <v>0</v>
      </c>
      <c r="J458" s="159" t="str">
        <f>A4_Chem_Prices!E$18</f>
        <v>Centric</v>
      </c>
      <c r="K458" s="1350" t="s">
        <v>839</v>
      </c>
      <c r="L458" s="160" t="str">
        <f>A4_Chem_Prices!F$18</f>
        <v>oz</v>
      </c>
      <c r="M458" s="159">
        <f>A4_Chem_Prices!G$18</f>
        <v>5.95</v>
      </c>
      <c r="N458" s="157">
        <v>2</v>
      </c>
      <c r="O458" s="82">
        <f t="shared" ref="O458:O467" si="95">M458*N458</f>
        <v>11.9</v>
      </c>
      <c r="P458" s="1449">
        <f t="shared" ref="P458:P464" si="96">N458</f>
        <v>2</v>
      </c>
      <c r="Q458" s="1071">
        <f>Q440</f>
        <v>0</v>
      </c>
    </row>
    <row r="459" spans="9:17" ht="13.9" x14ac:dyDescent="0.4">
      <c r="I459" s="1073">
        <f t="shared" ref="I459:I467" si="97">IF($A$1=8,I458+1,0)</f>
        <v>0</v>
      </c>
      <c r="J459" s="159" t="str">
        <f>A4_Chem_Prices!E$19</f>
        <v>Diamond</v>
      </c>
      <c r="K459" s="1350" t="s">
        <v>839</v>
      </c>
      <c r="L459" s="160" t="str">
        <f>A4_Chem_Prices!F$19</f>
        <v>oz</v>
      </c>
      <c r="M459" s="159">
        <f>A4_Chem_Prices!G$19</f>
        <v>1.1971354166666666</v>
      </c>
      <c r="N459" s="157">
        <v>6</v>
      </c>
      <c r="O459" s="82">
        <f t="shared" si="95"/>
        <v>7.1828124999999989</v>
      </c>
      <c r="P459" s="1449">
        <f t="shared" si="96"/>
        <v>6</v>
      </c>
      <c r="Q459" s="1071">
        <f>Q458</f>
        <v>0</v>
      </c>
    </row>
    <row r="460" spans="9:17" ht="13.9" x14ac:dyDescent="0.4">
      <c r="I460" s="1073">
        <f t="shared" si="97"/>
        <v>0</v>
      </c>
      <c r="J460" s="159" t="str">
        <f>A4_Chem_Prices!E$18</f>
        <v>Centric</v>
      </c>
      <c r="K460" s="1350" t="s">
        <v>839</v>
      </c>
      <c r="L460" s="160" t="str">
        <f>A4_Chem_Prices!F$18</f>
        <v>oz</v>
      </c>
      <c r="M460" s="159">
        <f>A4_Chem_Prices!G$18</f>
        <v>5.95</v>
      </c>
      <c r="N460" s="157">
        <v>2</v>
      </c>
      <c r="O460" s="82">
        <f t="shared" si="95"/>
        <v>11.9</v>
      </c>
      <c r="P460" s="1449">
        <f t="shared" si="96"/>
        <v>2</v>
      </c>
      <c r="Q460" s="1071">
        <f t="shared" ref="Q460:Q467" si="98">Q459</f>
        <v>0</v>
      </c>
    </row>
    <row r="461" spans="9:17" ht="13.9" x14ac:dyDescent="0.4">
      <c r="I461" s="1073">
        <f t="shared" si="97"/>
        <v>0</v>
      </c>
      <c r="J461" s="159" t="str">
        <f>A4_Chem_Prices!E$19</f>
        <v>Diamond</v>
      </c>
      <c r="K461" s="1350" t="s">
        <v>839</v>
      </c>
      <c r="L461" s="160" t="str">
        <f>A4_Chem_Prices!F$19</f>
        <v>oz</v>
      </c>
      <c r="M461" s="159">
        <f>A4_Chem_Prices!G$19</f>
        <v>1.1971354166666666</v>
      </c>
      <c r="N461" s="157">
        <v>6</v>
      </c>
      <c r="O461" s="82">
        <f t="shared" si="95"/>
        <v>7.1828124999999989</v>
      </c>
      <c r="P461" s="1449">
        <f t="shared" si="96"/>
        <v>6</v>
      </c>
      <c r="Q461" s="1071">
        <f t="shared" si="98"/>
        <v>0</v>
      </c>
    </row>
    <row r="462" spans="9:17" ht="13.9" x14ac:dyDescent="0.4">
      <c r="I462" s="1073">
        <f t="shared" si="97"/>
        <v>0</v>
      </c>
      <c r="J462" s="159" t="s">
        <v>19</v>
      </c>
      <c r="K462" s="1350" t="s">
        <v>839</v>
      </c>
      <c r="L462" s="160"/>
      <c r="M462" s="159">
        <v>0</v>
      </c>
      <c r="N462" s="157">
        <v>0</v>
      </c>
      <c r="O462" s="82">
        <f t="shared" si="95"/>
        <v>0</v>
      </c>
      <c r="P462" s="1449">
        <f t="shared" si="96"/>
        <v>0</v>
      </c>
      <c r="Q462" s="1071">
        <f t="shared" si="98"/>
        <v>0</v>
      </c>
    </row>
    <row r="463" spans="9:17" ht="13.9" x14ac:dyDescent="0.4">
      <c r="I463" s="1073">
        <f t="shared" si="97"/>
        <v>0</v>
      </c>
      <c r="J463" s="159" t="s">
        <v>19</v>
      </c>
      <c r="K463" s="1350" t="s">
        <v>839</v>
      </c>
      <c r="L463" s="160"/>
      <c r="M463" s="159">
        <v>0</v>
      </c>
      <c r="N463" s="157">
        <v>0</v>
      </c>
      <c r="O463" s="82">
        <f t="shared" si="95"/>
        <v>0</v>
      </c>
      <c r="P463" s="1449">
        <f t="shared" si="96"/>
        <v>0</v>
      </c>
      <c r="Q463" s="1071">
        <f t="shared" si="98"/>
        <v>0</v>
      </c>
    </row>
    <row r="464" spans="9:17" ht="13.9" x14ac:dyDescent="0.4">
      <c r="I464" s="1073">
        <f t="shared" si="97"/>
        <v>0</v>
      </c>
      <c r="J464" s="159" t="s">
        <v>19</v>
      </c>
      <c r="K464" s="1350" t="s">
        <v>839</v>
      </c>
      <c r="L464" s="160"/>
      <c r="M464" s="159">
        <v>0</v>
      </c>
      <c r="N464" s="157">
        <v>0</v>
      </c>
      <c r="O464" s="82">
        <f t="shared" si="95"/>
        <v>0</v>
      </c>
      <c r="P464" s="1449">
        <f t="shared" si="96"/>
        <v>0</v>
      </c>
      <c r="Q464" s="1071">
        <f t="shared" si="98"/>
        <v>0</v>
      </c>
    </row>
    <row r="465" spans="9:17" ht="13.9" x14ac:dyDescent="0.4">
      <c r="I465" s="1073">
        <f t="shared" si="97"/>
        <v>0</v>
      </c>
      <c r="J465" s="159" t="s">
        <v>19</v>
      </c>
      <c r="K465" s="1350" t="s">
        <v>839</v>
      </c>
      <c r="L465" s="160"/>
      <c r="M465" s="159">
        <v>0</v>
      </c>
      <c r="N465" s="157">
        <v>0</v>
      </c>
      <c r="O465" s="82">
        <f t="shared" si="95"/>
        <v>0</v>
      </c>
      <c r="P465" s="158"/>
      <c r="Q465" s="1071">
        <f t="shared" si="98"/>
        <v>0</v>
      </c>
    </row>
    <row r="466" spans="9:17" ht="13.9" x14ac:dyDescent="0.4">
      <c r="I466" s="1073">
        <f t="shared" si="97"/>
        <v>0</v>
      </c>
      <c r="J466" s="159" t="s">
        <v>19</v>
      </c>
      <c r="K466" s="1350" t="s">
        <v>839</v>
      </c>
      <c r="L466" s="160"/>
      <c r="M466" s="159">
        <v>0</v>
      </c>
      <c r="N466" s="157">
        <v>0</v>
      </c>
      <c r="O466" s="82">
        <f t="shared" si="95"/>
        <v>0</v>
      </c>
      <c r="P466" s="158"/>
      <c r="Q466" s="1071">
        <f t="shared" si="98"/>
        <v>0</v>
      </c>
    </row>
    <row r="467" spans="9:17" ht="13.9" x14ac:dyDescent="0.4">
      <c r="I467" s="1073">
        <f t="shared" si="97"/>
        <v>0</v>
      </c>
      <c r="J467" s="159" t="s">
        <v>19</v>
      </c>
      <c r="K467" s="1350" t="s">
        <v>839</v>
      </c>
      <c r="L467" s="160"/>
      <c r="M467" s="159">
        <v>0</v>
      </c>
      <c r="N467" s="157">
        <v>0</v>
      </c>
      <c r="O467" s="82">
        <f t="shared" si="95"/>
        <v>0</v>
      </c>
      <c r="P467" s="158"/>
      <c r="Q467" s="1071">
        <f t="shared" si="98"/>
        <v>0</v>
      </c>
    </row>
    <row r="468" spans="9:17" ht="13.9" x14ac:dyDescent="0.4">
      <c r="I468" s="1071"/>
      <c r="J468" s="86" t="s">
        <v>22</v>
      </c>
      <c r="K468" s="86"/>
      <c r="L468" s="86"/>
      <c r="M468" s="81"/>
      <c r="N468" s="87"/>
      <c r="O468" s="88">
        <f>SUM(O458:O467)</f>
        <v>38.165624999999999</v>
      </c>
      <c r="P468" s="86"/>
      <c r="Q468" s="1071"/>
    </row>
    <row r="469" spans="9:17" ht="13.9" x14ac:dyDescent="0.4">
      <c r="I469" s="1071"/>
      <c r="J469" s="83"/>
      <c r="K469" s="83"/>
      <c r="L469" s="83"/>
      <c r="M469" s="83"/>
      <c r="N469" s="84"/>
      <c r="O469" s="83"/>
      <c r="P469" s="83"/>
      <c r="Q469" s="1071"/>
    </row>
    <row r="470" spans="9:17" ht="13.9" x14ac:dyDescent="0.4">
      <c r="I470" s="1071"/>
      <c r="J470" s="78" t="str">
        <f>IF(OR(A2_Budget_Look_Up!$B$7=1,A2_Budget_Look_Up!$B$13=1),"Nematicide Detail", "Fungicide Detail")</f>
        <v>Fungicide Detail</v>
      </c>
      <c r="K470" s="78"/>
      <c r="L470" s="78"/>
      <c r="M470" s="79"/>
      <c r="N470" s="85"/>
      <c r="O470" s="79"/>
      <c r="P470" s="78"/>
      <c r="Q470" s="1071"/>
    </row>
    <row r="471" spans="9:17" ht="13.9" x14ac:dyDescent="0.4">
      <c r="I471" s="1071"/>
      <c r="J471" s="80" t="s">
        <v>212</v>
      </c>
      <c r="K471" s="80" t="s">
        <v>838</v>
      </c>
      <c r="L471" s="80" t="s">
        <v>2</v>
      </c>
      <c r="M471" s="80" t="s">
        <v>21</v>
      </c>
      <c r="N471" s="80" t="s">
        <v>174</v>
      </c>
      <c r="O471" s="80" t="s">
        <v>14</v>
      </c>
      <c r="P471" s="80" t="s">
        <v>890</v>
      </c>
      <c r="Q471" s="1071"/>
    </row>
    <row r="472" spans="9:17" ht="13.9" x14ac:dyDescent="0.4">
      <c r="I472" s="1073">
        <f>IF($A$1=8,I467+1,0)</f>
        <v>0</v>
      </c>
      <c r="J472" s="156" t="s">
        <v>19</v>
      </c>
      <c r="K472" s="1350" t="s">
        <v>839</v>
      </c>
      <c r="L472" s="158"/>
      <c r="M472" s="159">
        <v>0</v>
      </c>
      <c r="N472" s="157">
        <v>0</v>
      </c>
      <c r="O472" s="82">
        <f>M472*N472</f>
        <v>0</v>
      </c>
      <c r="P472" s="158"/>
      <c r="Q472" s="1071">
        <f>Q467</f>
        <v>0</v>
      </c>
    </row>
    <row r="473" spans="9:17" ht="13.9" x14ac:dyDescent="0.4">
      <c r="I473" s="1073">
        <f>IF($A$1=8,I472+1,0)</f>
        <v>0</v>
      </c>
      <c r="J473" s="156" t="s">
        <v>19</v>
      </c>
      <c r="K473" s="1350" t="s">
        <v>839</v>
      </c>
      <c r="L473" s="158"/>
      <c r="M473" s="159">
        <v>0</v>
      </c>
      <c r="N473" s="157">
        <v>0</v>
      </c>
      <c r="O473" s="82">
        <f>M473*N473</f>
        <v>0</v>
      </c>
      <c r="P473" s="158"/>
      <c r="Q473" s="1071">
        <f>Q472</f>
        <v>0</v>
      </c>
    </row>
    <row r="474" spans="9:17" ht="13.9" x14ac:dyDescent="0.4">
      <c r="I474" s="1071"/>
      <c r="J474" s="86" t="s">
        <v>22</v>
      </c>
      <c r="K474" s="86"/>
      <c r="L474" s="86"/>
      <c r="M474" s="81"/>
      <c r="N474" s="87"/>
      <c r="O474" s="88">
        <f>SUM(O472:O473)</f>
        <v>0</v>
      </c>
      <c r="P474" s="86"/>
      <c r="Q474" s="1071"/>
    </row>
    <row r="475" spans="9:17" ht="13.9" x14ac:dyDescent="0.4">
      <c r="I475" s="1071"/>
      <c r="J475" s="83"/>
      <c r="K475" s="83"/>
      <c r="L475" s="83"/>
      <c r="M475" s="83"/>
      <c r="N475" s="84"/>
      <c r="O475" s="83"/>
      <c r="P475" s="83"/>
      <c r="Q475" s="1071"/>
    </row>
    <row r="476" spans="9:17" ht="13.9" x14ac:dyDescent="0.4">
      <c r="I476" s="1071"/>
      <c r="J476" s="78" t="str">
        <f>IF(A2_Budget_Look_Up!$B$7=1,"Growth Regulator Detail", IF(A2_Budget_Look_Up!$B$13=1,"Fungicide Detail","Other Chemical Detail"))</f>
        <v>Other Chemical Detail</v>
      </c>
      <c r="K476" s="78"/>
      <c r="L476" s="78"/>
      <c r="M476" s="79"/>
      <c r="N476" s="85"/>
      <c r="O476" s="79"/>
      <c r="P476" s="78"/>
      <c r="Q476" s="1071"/>
    </row>
    <row r="477" spans="9:17" ht="13.9" x14ac:dyDescent="0.4">
      <c r="I477" s="1071"/>
      <c r="J477" s="80" t="s">
        <v>212</v>
      </c>
      <c r="K477" s="80" t="s">
        <v>838</v>
      </c>
      <c r="L477" s="80" t="s">
        <v>2</v>
      </c>
      <c r="M477" s="80" t="s">
        <v>21</v>
      </c>
      <c r="N477" s="80" t="s">
        <v>174</v>
      </c>
      <c r="O477" s="80" t="s">
        <v>14</v>
      </c>
      <c r="P477" s="80" t="s">
        <v>890</v>
      </c>
      <c r="Q477" s="1071"/>
    </row>
    <row r="478" spans="9:17" ht="13.9" x14ac:dyDescent="0.4">
      <c r="I478" s="1073">
        <f>IF($A$1=8,I473+1,0)</f>
        <v>0</v>
      </c>
      <c r="J478" s="156" t="str">
        <f>A4_Chem_Prices!E$26</f>
        <v>Mepiquat</v>
      </c>
      <c r="K478" s="1350" t="s">
        <v>839</v>
      </c>
      <c r="L478" s="158" t="str">
        <f>A4_Chem_Prices!F$26</f>
        <v>oz</v>
      </c>
      <c r="M478" s="159">
        <f>A4_Chem_Prices!G$26</f>
        <v>4.9796874999999997E-2</v>
      </c>
      <c r="N478" s="157">
        <v>16</v>
      </c>
      <c r="O478" s="82">
        <f t="shared" ref="O478:O484" si="99">M478*N478</f>
        <v>0.79674999999999996</v>
      </c>
      <c r="P478" s="1449">
        <f>N478</f>
        <v>16</v>
      </c>
      <c r="Q478" s="1071">
        <f>Q473</f>
        <v>0</v>
      </c>
    </row>
    <row r="479" spans="9:17" ht="13.9" x14ac:dyDescent="0.4">
      <c r="I479" s="1073">
        <f t="shared" ref="I479:I484" si="100">IF($A$1=8,I478+1,0)</f>
        <v>0</v>
      </c>
      <c r="J479" s="156" t="str">
        <f>A4_Chem_Prices!E$26</f>
        <v>Mepiquat</v>
      </c>
      <c r="K479" s="1350" t="s">
        <v>839</v>
      </c>
      <c r="L479" s="158" t="str">
        <f>A4_Chem_Prices!F$26</f>
        <v>oz</v>
      </c>
      <c r="M479" s="159">
        <f>A4_Chem_Prices!G$26</f>
        <v>4.9796874999999997E-2</v>
      </c>
      <c r="N479" s="157">
        <v>20</v>
      </c>
      <c r="O479" s="82">
        <f>M479*N479</f>
        <v>0.99593749999999992</v>
      </c>
      <c r="P479" s="1449">
        <f>N479</f>
        <v>20</v>
      </c>
      <c r="Q479" s="1071">
        <f t="shared" ref="Q479:Q484" si="101">Q478</f>
        <v>0</v>
      </c>
    </row>
    <row r="480" spans="9:17" ht="13.9" x14ac:dyDescent="0.4">
      <c r="I480" s="1073">
        <f t="shared" si="100"/>
        <v>0</v>
      </c>
      <c r="J480" s="156" t="str">
        <f>A4_Chem_Prices!E$26</f>
        <v>Mepiquat</v>
      </c>
      <c r="K480" s="1350" t="s">
        <v>839</v>
      </c>
      <c r="L480" s="158" t="str">
        <f>A4_Chem_Prices!F$26</f>
        <v>oz</v>
      </c>
      <c r="M480" s="159">
        <f>A4_Chem_Prices!G$26</f>
        <v>4.9796874999999997E-2</v>
      </c>
      <c r="N480" s="157">
        <v>20</v>
      </c>
      <c r="O480" s="82">
        <f>M480*N480</f>
        <v>0.99593749999999992</v>
      </c>
      <c r="P480" s="1449">
        <f>N480</f>
        <v>20</v>
      </c>
      <c r="Q480" s="1071">
        <f t="shared" si="101"/>
        <v>0</v>
      </c>
    </row>
    <row r="481" spans="9:17" ht="13.9" x14ac:dyDescent="0.4">
      <c r="I481" s="1073">
        <f t="shared" si="100"/>
        <v>0</v>
      </c>
      <c r="J481" s="156" t="str">
        <f>A4_Chem_Prices!E$26</f>
        <v>Mepiquat</v>
      </c>
      <c r="K481" s="1350" t="s">
        <v>839</v>
      </c>
      <c r="L481" s="158" t="str">
        <f>A4_Chem_Prices!F$26</f>
        <v>oz</v>
      </c>
      <c r="M481" s="159">
        <f>A4_Chem_Prices!G$26</f>
        <v>4.9796874999999997E-2</v>
      </c>
      <c r="N481" s="157">
        <v>20</v>
      </c>
      <c r="O481" s="82">
        <f>M481*N481</f>
        <v>0.99593749999999992</v>
      </c>
      <c r="P481" s="1449">
        <f>N481</f>
        <v>20</v>
      </c>
      <c r="Q481" s="1071">
        <f t="shared" si="101"/>
        <v>0</v>
      </c>
    </row>
    <row r="482" spans="9:17" ht="13.9" x14ac:dyDescent="0.4">
      <c r="I482" s="1073">
        <f t="shared" si="100"/>
        <v>0</v>
      </c>
      <c r="J482" s="156" t="s">
        <v>19</v>
      </c>
      <c r="K482" s="1350" t="s">
        <v>839</v>
      </c>
      <c r="L482" s="158"/>
      <c r="M482" s="159">
        <v>0</v>
      </c>
      <c r="N482" s="157">
        <v>0</v>
      </c>
      <c r="O482" s="82">
        <f t="shared" si="99"/>
        <v>0</v>
      </c>
      <c r="P482" s="158"/>
      <c r="Q482" s="1071">
        <f t="shared" si="101"/>
        <v>0</v>
      </c>
    </row>
    <row r="483" spans="9:17" ht="13.9" x14ac:dyDescent="0.4">
      <c r="I483" s="1073">
        <f t="shared" si="100"/>
        <v>0</v>
      </c>
      <c r="J483" s="156" t="s">
        <v>19</v>
      </c>
      <c r="K483" s="1350" t="s">
        <v>839</v>
      </c>
      <c r="L483" s="158"/>
      <c r="M483" s="159">
        <v>0</v>
      </c>
      <c r="N483" s="157">
        <v>0</v>
      </c>
      <c r="O483" s="82">
        <f t="shared" si="99"/>
        <v>0</v>
      </c>
      <c r="P483" s="158"/>
      <c r="Q483" s="1071">
        <f t="shared" si="101"/>
        <v>0</v>
      </c>
    </row>
    <row r="484" spans="9:17" ht="13.9" x14ac:dyDescent="0.4">
      <c r="I484" s="1073">
        <f t="shared" si="100"/>
        <v>0</v>
      </c>
      <c r="J484" s="156" t="s">
        <v>19</v>
      </c>
      <c r="K484" s="1350" t="s">
        <v>839</v>
      </c>
      <c r="L484" s="158"/>
      <c r="M484" s="159">
        <v>0</v>
      </c>
      <c r="N484" s="157">
        <v>0</v>
      </c>
      <c r="O484" s="82">
        <f t="shared" si="99"/>
        <v>0</v>
      </c>
      <c r="P484" s="158"/>
      <c r="Q484" s="1071">
        <f t="shared" si="101"/>
        <v>0</v>
      </c>
    </row>
    <row r="485" spans="9:17" ht="13.9" x14ac:dyDescent="0.4">
      <c r="I485" s="1071"/>
      <c r="J485" s="86" t="s">
        <v>22</v>
      </c>
      <c r="K485" s="86"/>
      <c r="L485" s="86"/>
      <c r="M485" s="81"/>
      <c r="N485" s="87"/>
      <c r="O485" s="88">
        <f>SUM(O478:O484)</f>
        <v>3.7845624999999998</v>
      </c>
      <c r="P485" s="86"/>
      <c r="Q485" s="1071"/>
    </row>
    <row r="486" spans="9:17" ht="13.9" x14ac:dyDescent="0.4">
      <c r="I486" s="1071"/>
      <c r="J486" s="83"/>
      <c r="K486" s="83"/>
      <c r="L486" s="83"/>
      <c r="M486" s="83"/>
      <c r="N486" s="84"/>
      <c r="O486" s="83"/>
      <c r="P486" s="83"/>
      <c r="Q486" s="1071"/>
    </row>
    <row r="487" spans="9:17" ht="13.9" x14ac:dyDescent="0.4">
      <c r="I487" s="1071"/>
      <c r="J487" s="78" t="str">
        <f>IF(A2_Budget_Look_Up!$B$7=1,"Defoliant Detail", "Other Chemical Detail")</f>
        <v>Other Chemical Detail</v>
      </c>
      <c r="K487" s="78"/>
      <c r="L487" s="78"/>
      <c r="M487" s="79"/>
      <c r="N487" s="85"/>
      <c r="O487" s="79"/>
      <c r="P487" s="78"/>
      <c r="Q487" s="1071"/>
    </row>
    <row r="488" spans="9:17" ht="13.9" x14ac:dyDescent="0.4">
      <c r="I488" s="1071"/>
      <c r="J488" s="80" t="s">
        <v>212</v>
      </c>
      <c r="K488" s="80" t="s">
        <v>838</v>
      </c>
      <c r="L488" s="80" t="s">
        <v>2</v>
      </c>
      <c r="M488" s="80" t="s">
        <v>21</v>
      </c>
      <c r="N488" s="80" t="s">
        <v>174</v>
      </c>
      <c r="O488" s="80" t="s">
        <v>14</v>
      </c>
      <c r="P488" s="80" t="s">
        <v>890</v>
      </c>
      <c r="Q488" s="1071"/>
    </row>
    <row r="489" spans="9:17" ht="13.9" x14ac:dyDescent="0.4">
      <c r="I489" s="1073">
        <f>IF($A$1=8,I484+1,0)</f>
        <v>0</v>
      </c>
      <c r="J489" s="156" t="str">
        <f>A4_Chem_Prices!E$28</f>
        <v>Dropp</v>
      </c>
      <c r="K489" s="1350" t="s">
        <v>839</v>
      </c>
      <c r="L489" s="158" t="str">
        <f>A4_Chem_Prices!F$28</f>
        <v>oz</v>
      </c>
      <c r="M489" s="159">
        <f>A4_Chem_Prices!G$28</f>
        <v>0.78125</v>
      </c>
      <c r="N489" s="157">
        <v>2</v>
      </c>
      <c r="O489" s="82">
        <f t="shared" ref="O489:O495" si="102">M489*N489</f>
        <v>1.5625</v>
      </c>
      <c r="P489" s="1449">
        <f>N489</f>
        <v>2</v>
      </c>
      <c r="Q489" s="1071">
        <f>Q484</f>
        <v>0</v>
      </c>
    </row>
    <row r="490" spans="9:17" ht="13.9" x14ac:dyDescent="0.4">
      <c r="I490" s="1073">
        <f t="shared" ref="I490:I495" si="103">IF($A$1=8,I489+1,0)</f>
        <v>0</v>
      </c>
      <c r="J490" s="156" t="str">
        <f>A4_Chem_Prices!E$29</f>
        <v>Folex</v>
      </c>
      <c r="K490" s="1350" t="s">
        <v>839</v>
      </c>
      <c r="L490" s="158" t="str">
        <f>A4_Chem_Prices!F$29</f>
        <v>oz</v>
      </c>
      <c r="M490" s="159">
        <f>A4_Chem_Prices!G$29</f>
        <v>0.5234375</v>
      </c>
      <c r="N490" s="157">
        <v>6</v>
      </c>
      <c r="O490" s="82">
        <f t="shared" si="102"/>
        <v>3.140625</v>
      </c>
      <c r="P490" s="1449">
        <f>N490</f>
        <v>6</v>
      </c>
      <c r="Q490" s="1071">
        <f t="shared" ref="Q490:Q495" si="104">Q489</f>
        <v>0</v>
      </c>
    </row>
    <row r="491" spans="9:17" ht="13.9" x14ac:dyDescent="0.4">
      <c r="I491" s="1073">
        <f t="shared" si="103"/>
        <v>0</v>
      </c>
      <c r="J491" s="156" t="str">
        <f>A4_Chem_Prices!E$30</f>
        <v>Prep</v>
      </c>
      <c r="K491" s="1350" t="s">
        <v>839</v>
      </c>
      <c r="L491" s="158" t="str">
        <f>A4_Chem_Prices!F$30</f>
        <v>oz</v>
      </c>
      <c r="M491" s="159">
        <f>A4_Chem_Prices!G$30</f>
        <v>0.28125</v>
      </c>
      <c r="N491" s="157">
        <v>6</v>
      </c>
      <c r="O491" s="82">
        <f t="shared" si="102"/>
        <v>1.6875</v>
      </c>
      <c r="P491" s="1449">
        <f>N491</f>
        <v>6</v>
      </c>
      <c r="Q491" s="1071">
        <f t="shared" si="104"/>
        <v>0</v>
      </c>
    </row>
    <row r="492" spans="9:17" ht="13.9" x14ac:dyDescent="0.4">
      <c r="I492" s="1073">
        <f t="shared" si="103"/>
        <v>0</v>
      </c>
      <c r="J492" s="156" t="str">
        <f>A4_Chem_Prices!E$29</f>
        <v>Folex</v>
      </c>
      <c r="K492" s="1350" t="s">
        <v>839</v>
      </c>
      <c r="L492" s="158" t="str">
        <f>A4_Chem_Prices!F$29</f>
        <v>oz</v>
      </c>
      <c r="M492" s="159">
        <f>A4_Chem_Prices!G$29</f>
        <v>0.5234375</v>
      </c>
      <c r="N492" s="157">
        <v>8</v>
      </c>
      <c r="O492" s="82">
        <f t="shared" si="102"/>
        <v>4.1875</v>
      </c>
      <c r="P492" s="1449">
        <f>N492</f>
        <v>8</v>
      </c>
      <c r="Q492" s="1071">
        <f t="shared" si="104"/>
        <v>0</v>
      </c>
    </row>
    <row r="493" spans="9:17" ht="13.9" x14ac:dyDescent="0.4">
      <c r="I493" s="1073">
        <f t="shared" si="103"/>
        <v>0</v>
      </c>
      <c r="J493" s="156" t="str">
        <f>A4_Chem_Prices!E$30</f>
        <v>Prep</v>
      </c>
      <c r="K493" s="1350" t="s">
        <v>839</v>
      </c>
      <c r="L493" s="158" t="str">
        <f>A4_Chem_Prices!F$30</f>
        <v>oz</v>
      </c>
      <c r="M493" s="159">
        <f>A4_Chem_Prices!G$30</f>
        <v>0.28125</v>
      </c>
      <c r="N493" s="157">
        <v>32</v>
      </c>
      <c r="O493" s="82">
        <f t="shared" si="102"/>
        <v>9</v>
      </c>
      <c r="P493" s="1449">
        <f>N493</f>
        <v>32</v>
      </c>
      <c r="Q493" s="1071">
        <f t="shared" si="104"/>
        <v>0</v>
      </c>
    </row>
    <row r="494" spans="9:17" ht="13.9" x14ac:dyDescent="0.4">
      <c r="I494" s="1073">
        <f t="shared" si="103"/>
        <v>0</v>
      </c>
      <c r="J494" s="156" t="s">
        <v>19</v>
      </c>
      <c r="K494" s="1350" t="s">
        <v>839</v>
      </c>
      <c r="L494" s="158"/>
      <c r="M494" s="159">
        <v>0</v>
      </c>
      <c r="N494" s="157">
        <v>0</v>
      </c>
      <c r="O494" s="82">
        <f t="shared" si="102"/>
        <v>0</v>
      </c>
      <c r="P494" s="158"/>
      <c r="Q494" s="1071">
        <f t="shared" si="104"/>
        <v>0</v>
      </c>
    </row>
    <row r="495" spans="9:17" ht="13.9" x14ac:dyDescent="0.4">
      <c r="I495" s="1073">
        <f t="shared" si="103"/>
        <v>0</v>
      </c>
      <c r="J495" s="156" t="s">
        <v>19</v>
      </c>
      <c r="K495" s="1350" t="s">
        <v>839</v>
      </c>
      <c r="L495" s="158"/>
      <c r="M495" s="159">
        <v>0</v>
      </c>
      <c r="N495" s="157">
        <v>0</v>
      </c>
      <c r="O495" s="82">
        <f t="shared" si="102"/>
        <v>0</v>
      </c>
      <c r="P495" s="158"/>
      <c r="Q495" s="1071">
        <f t="shared" si="104"/>
        <v>0</v>
      </c>
    </row>
    <row r="496" spans="9:17" ht="13.9" x14ac:dyDescent="0.4">
      <c r="I496" s="1071"/>
      <c r="J496" s="86" t="s">
        <v>22</v>
      </c>
      <c r="K496" s="86"/>
      <c r="L496" s="86"/>
      <c r="M496" s="81"/>
      <c r="N496" s="87"/>
      <c r="O496" s="88">
        <f>SUM(O489:O495)</f>
        <v>19.578125</v>
      </c>
      <c r="P496" s="86"/>
      <c r="Q496" s="1071"/>
    </row>
    <row r="498" spans="9:17" ht="13.9" x14ac:dyDescent="0.4">
      <c r="I498" s="1071"/>
      <c r="J498" s="1168" t="str">
        <f>A2_Budget_Look_Up!H11</f>
        <v>ThryvOn Cotton, No Irrigation</v>
      </c>
      <c r="K498" s="1168"/>
      <c r="L498" s="1168">
        <f>A2_Budget_Look_Up!F11</f>
        <v>9</v>
      </c>
      <c r="M498" s="1168"/>
      <c r="N498" s="1168"/>
      <c r="O498" s="1168"/>
      <c r="P498" s="1168"/>
      <c r="Q498" s="1071"/>
    </row>
    <row r="499" spans="9:17" ht="13.9" x14ac:dyDescent="0.4">
      <c r="I499" s="1071"/>
      <c r="J499" s="83"/>
      <c r="K499" s="83"/>
      <c r="L499" s="83"/>
      <c r="M499" s="83"/>
      <c r="N499" s="84"/>
      <c r="O499" s="83"/>
      <c r="P499" s="83"/>
      <c r="Q499" s="1071"/>
    </row>
    <row r="500" spans="9:17" ht="13.9" x14ac:dyDescent="0.4">
      <c r="I500" s="1071"/>
      <c r="J500" s="78" t="s">
        <v>18</v>
      </c>
      <c r="K500" s="78"/>
      <c r="L500" s="78"/>
      <c r="M500" s="79"/>
      <c r="N500" s="85"/>
      <c r="O500" s="79"/>
      <c r="P500" s="78"/>
      <c r="Q500" s="1071"/>
    </row>
    <row r="501" spans="9:17" ht="13.9" x14ac:dyDescent="0.4">
      <c r="I501" s="1071"/>
      <c r="J501" s="80" t="s">
        <v>212</v>
      </c>
      <c r="K501" s="80" t="s">
        <v>838</v>
      </c>
      <c r="L501" s="80" t="s">
        <v>2</v>
      </c>
      <c r="M501" s="80" t="s">
        <v>21</v>
      </c>
      <c r="N501" s="80" t="s">
        <v>174</v>
      </c>
      <c r="O501" s="80" t="s">
        <v>14</v>
      </c>
      <c r="P501" s="80" t="s">
        <v>890</v>
      </c>
      <c r="Q501" s="1071"/>
    </row>
    <row r="502" spans="9:17" ht="13.9" x14ac:dyDescent="0.4">
      <c r="I502" s="1073">
        <f>IF($A$1=9,1,0)</f>
        <v>0</v>
      </c>
      <c r="J502" s="159" t="str">
        <f>A4_Chem_Prices!E$2</f>
        <v>Roundup Powermax 3</v>
      </c>
      <c r="K502" s="1350" t="s">
        <v>839</v>
      </c>
      <c r="L502" s="158" t="str">
        <f>A4_Chem_Prices!F$2</f>
        <v>pt</v>
      </c>
      <c r="M502" s="159">
        <f>A4_Chem_Prices!G$2</f>
        <v>2.25</v>
      </c>
      <c r="N502" s="159">
        <v>2</v>
      </c>
      <c r="O502" s="82">
        <f t="shared" ref="O502:O515" si="105">M502*N502</f>
        <v>4.5</v>
      </c>
      <c r="P502" s="160">
        <f>N502*16</f>
        <v>32</v>
      </c>
      <c r="Q502" s="1171">
        <f>IF(SUM(I502:I557)=820,L498,0)</f>
        <v>0</v>
      </c>
    </row>
    <row r="503" spans="9:17" ht="13.9" x14ac:dyDescent="0.4">
      <c r="I503" s="1073">
        <f t="shared" ref="I503:I515" si="106">IF($A$1=9,I502+1,0)</f>
        <v>0</v>
      </c>
      <c r="J503" s="159" t="str">
        <f>A4_Chem_Prices!E$15</f>
        <v>2,4-D</v>
      </c>
      <c r="K503" s="1350" t="s">
        <v>839</v>
      </c>
      <c r="L503" s="158" t="str">
        <f>A4_Chem_Prices!F$15</f>
        <v>pt</v>
      </c>
      <c r="M503" s="159">
        <f>A4_Chem_Prices!G$15</f>
        <v>4.375</v>
      </c>
      <c r="N503" s="157">
        <v>1.5</v>
      </c>
      <c r="O503" s="82">
        <f t="shared" si="105"/>
        <v>6.5625</v>
      </c>
      <c r="P503" s="1449">
        <f>N503</f>
        <v>1.5</v>
      </c>
      <c r="Q503" s="1071">
        <f>Q502</f>
        <v>0</v>
      </c>
    </row>
    <row r="504" spans="9:17" ht="13.9" x14ac:dyDescent="0.4">
      <c r="I504" s="1073">
        <f t="shared" si="106"/>
        <v>0</v>
      </c>
      <c r="J504" s="159" t="str">
        <f>A4_Chem_Prices!B$13</f>
        <v>Brake</v>
      </c>
      <c r="K504" s="1350" t="s">
        <v>839</v>
      </c>
      <c r="L504" s="158" t="str">
        <f>A4_Chem_Prices!C$13</f>
        <v>pt</v>
      </c>
      <c r="M504" s="159">
        <f>A4_Chem_Prices!D$13</f>
        <v>25.5</v>
      </c>
      <c r="N504" s="157">
        <v>1</v>
      </c>
      <c r="O504" s="82">
        <f t="shared" si="105"/>
        <v>25.5</v>
      </c>
      <c r="P504" s="160">
        <f>N504*16</f>
        <v>16</v>
      </c>
      <c r="Q504" s="1071">
        <f t="shared" ref="Q504:Q515" si="107">Q503</f>
        <v>0</v>
      </c>
    </row>
    <row r="505" spans="9:17" ht="13.9" x14ac:dyDescent="0.4">
      <c r="I505" s="1073">
        <f t="shared" si="106"/>
        <v>0</v>
      </c>
      <c r="J505" s="159" t="str">
        <f>A4_Chem_Prices!E$5</f>
        <v>Cotoran</v>
      </c>
      <c r="K505" s="1350" t="s">
        <v>839</v>
      </c>
      <c r="L505" s="160" t="str">
        <f>A4_Chem_Prices!F$5</f>
        <v>pt</v>
      </c>
      <c r="M505" s="159">
        <f>A4_Chem_Prices!G$5</f>
        <v>2.5</v>
      </c>
      <c r="N505" s="157">
        <v>1.6</v>
      </c>
      <c r="O505" s="82">
        <f t="shared" si="105"/>
        <v>4</v>
      </c>
      <c r="P505" s="160">
        <f>N505*16</f>
        <v>25.6</v>
      </c>
      <c r="Q505" s="1071">
        <f t="shared" si="107"/>
        <v>0</v>
      </c>
    </row>
    <row r="506" spans="9:17" ht="13.9" x14ac:dyDescent="0.4">
      <c r="I506" s="1073">
        <f t="shared" si="106"/>
        <v>0</v>
      </c>
      <c r="J506" s="159" t="str">
        <f>A4_Chem_Prices!E$10</f>
        <v>Liberty</v>
      </c>
      <c r="K506" s="1350" t="s">
        <v>839</v>
      </c>
      <c r="L506" s="160" t="str">
        <f>A4_Chem_Prices!F$10</f>
        <v>oz</v>
      </c>
      <c r="M506" s="159">
        <f>A4_Chem_Prices!G$10</f>
        <v>0.28875000000000001</v>
      </c>
      <c r="N506" s="157">
        <v>32</v>
      </c>
      <c r="O506" s="82">
        <f t="shared" si="105"/>
        <v>9.24</v>
      </c>
      <c r="P506" s="160">
        <f>N506*16</f>
        <v>512</v>
      </c>
      <c r="Q506" s="1071">
        <f t="shared" si="107"/>
        <v>0</v>
      </c>
    </row>
    <row r="507" spans="9:17" ht="13.9" x14ac:dyDescent="0.4">
      <c r="I507" s="1073">
        <f t="shared" si="106"/>
        <v>0</v>
      </c>
      <c r="J507" s="159" t="str">
        <f>A4_Chem_Prices!B$12</f>
        <v>Outlook</v>
      </c>
      <c r="K507" s="1350" t="s">
        <v>839</v>
      </c>
      <c r="L507" s="160" t="str">
        <f>A4_Chem_Prices!C$12</f>
        <v>oz</v>
      </c>
      <c r="M507" s="159">
        <f>A4_Chem_Prices!D$12</f>
        <v>0.84234374999999995</v>
      </c>
      <c r="N507" s="157">
        <v>12.8</v>
      </c>
      <c r="O507" s="82">
        <f t="shared" si="105"/>
        <v>10.782</v>
      </c>
      <c r="P507" s="1449">
        <f>N507</f>
        <v>12.8</v>
      </c>
      <c r="Q507" s="1071">
        <f t="shared" si="107"/>
        <v>0</v>
      </c>
    </row>
    <row r="508" spans="9:17" ht="13.9" x14ac:dyDescent="0.4">
      <c r="I508" s="1073">
        <f t="shared" si="106"/>
        <v>0</v>
      </c>
      <c r="J508" s="159" t="str">
        <f>A4_Chem_Prices!E$10</f>
        <v>Liberty</v>
      </c>
      <c r="K508" s="1350" t="s">
        <v>839</v>
      </c>
      <c r="L508" s="160" t="str">
        <f>A4_Chem_Prices!F$10</f>
        <v>oz</v>
      </c>
      <c r="M508" s="159">
        <f>A4_Chem_Prices!G$10</f>
        <v>0.28875000000000001</v>
      </c>
      <c r="N508" s="157">
        <v>32</v>
      </c>
      <c r="O508" s="82">
        <f t="shared" si="105"/>
        <v>9.24</v>
      </c>
      <c r="P508" s="1449">
        <f>N508</f>
        <v>32</v>
      </c>
      <c r="Q508" s="1071">
        <f t="shared" si="107"/>
        <v>0</v>
      </c>
    </row>
    <row r="509" spans="9:17" ht="13.9" x14ac:dyDescent="0.4">
      <c r="I509" s="1073">
        <f t="shared" si="106"/>
        <v>0</v>
      </c>
      <c r="J509" s="159" t="str">
        <f>A4_Chem_Prices!E$7</f>
        <v>Metolachlor</v>
      </c>
      <c r="K509" s="1350" t="s">
        <v>839</v>
      </c>
      <c r="L509" s="160" t="str">
        <f>A4_Chem_Prices!F$7</f>
        <v>pt</v>
      </c>
      <c r="M509" s="159">
        <f>A4_Chem_Prices!G$7</f>
        <v>5.0387500000000003</v>
      </c>
      <c r="N509" s="157">
        <v>1</v>
      </c>
      <c r="O509" s="82">
        <f t="shared" si="105"/>
        <v>5.0387500000000003</v>
      </c>
      <c r="P509" s="160">
        <f>N509*16</f>
        <v>16</v>
      </c>
      <c r="Q509" s="1071">
        <f t="shared" si="107"/>
        <v>0</v>
      </c>
    </row>
    <row r="510" spans="9:17" ht="13.9" x14ac:dyDescent="0.4">
      <c r="I510" s="1073">
        <f t="shared" si="106"/>
        <v>0</v>
      </c>
      <c r="J510" s="159" t="str">
        <f>A4_Chem_Prices!E$10</f>
        <v>Liberty</v>
      </c>
      <c r="K510" s="1350" t="s">
        <v>839</v>
      </c>
      <c r="L510" s="160" t="str">
        <f>A4_Chem_Prices!F$10</f>
        <v>oz</v>
      </c>
      <c r="M510" s="159">
        <f>A4_Chem_Prices!G$10</f>
        <v>0.28875000000000001</v>
      </c>
      <c r="N510" s="157">
        <v>32</v>
      </c>
      <c r="O510" s="82">
        <f t="shared" si="105"/>
        <v>9.24</v>
      </c>
      <c r="P510" s="1449">
        <f>N510</f>
        <v>32</v>
      </c>
      <c r="Q510" s="1071">
        <f t="shared" si="107"/>
        <v>0</v>
      </c>
    </row>
    <row r="511" spans="9:17" ht="13.9" x14ac:dyDescent="0.4">
      <c r="I511" s="1073">
        <f t="shared" si="106"/>
        <v>0</v>
      </c>
      <c r="J511" s="159" t="str">
        <f>A4_Chem_Prices!E$8</f>
        <v>Direx</v>
      </c>
      <c r="K511" s="1350" t="s">
        <v>839</v>
      </c>
      <c r="L511" s="160" t="str">
        <f>A4_Chem_Prices!F$8</f>
        <v>pt</v>
      </c>
      <c r="M511" s="159">
        <f>A4_Chem_Prices!G$8</f>
        <v>4.4637500000000001</v>
      </c>
      <c r="N511" s="157">
        <v>1.5</v>
      </c>
      <c r="O511" s="82">
        <f t="shared" si="105"/>
        <v>6.6956249999999997</v>
      </c>
      <c r="P511" s="160">
        <f>N511*16</f>
        <v>24</v>
      </c>
      <c r="Q511" s="1071">
        <f t="shared" si="107"/>
        <v>0</v>
      </c>
    </row>
    <row r="512" spans="9:17" ht="13.9" x14ac:dyDescent="0.4">
      <c r="I512" s="1073">
        <f t="shared" si="106"/>
        <v>0</v>
      </c>
      <c r="J512" s="159" t="str">
        <f>A4_Chem_Prices!E$9</f>
        <v>MSMA 6</v>
      </c>
      <c r="K512" s="1350" t="s">
        <v>839</v>
      </c>
      <c r="L512" s="160" t="str">
        <f>A4_Chem_Prices!F$9</f>
        <v>qt</v>
      </c>
      <c r="M512" s="159">
        <f>A4_Chem_Prices!G$9</f>
        <v>14.375</v>
      </c>
      <c r="N512" s="157">
        <v>1.5</v>
      </c>
      <c r="O512" s="82">
        <f t="shared" si="105"/>
        <v>21.5625</v>
      </c>
      <c r="P512" s="160">
        <f>N512*16</f>
        <v>24</v>
      </c>
      <c r="Q512" s="1071">
        <f t="shared" si="107"/>
        <v>0</v>
      </c>
    </row>
    <row r="513" spans="9:17" ht="13.9" x14ac:dyDescent="0.4">
      <c r="I513" s="1073">
        <f t="shared" si="106"/>
        <v>0</v>
      </c>
      <c r="J513" s="159" t="s">
        <v>19</v>
      </c>
      <c r="K513" s="1350" t="s">
        <v>839</v>
      </c>
      <c r="L513" s="160"/>
      <c r="M513" s="159">
        <v>0</v>
      </c>
      <c r="N513" s="157">
        <v>0</v>
      </c>
      <c r="O513" s="82">
        <f t="shared" si="105"/>
        <v>0</v>
      </c>
      <c r="P513" s="1449">
        <f>N513</f>
        <v>0</v>
      </c>
      <c r="Q513" s="1071">
        <f t="shared" si="107"/>
        <v>0</v>
      </c>
    </row>
    <row r="514" spans="9:17" ht="13.9" x14ac:dyDescent="0.4">
      <c r="I514" s="1073">
        <f t="shared" si="106"/>
        <v>0</v>
      </c>
      <c r="J514" s="159" t="s">
        <v>19</v>
      </c>
      <c r="K514" s="1350" t="s">
        <v>839</v>
      </c>
      <c r="L514" s="160"/>
      <c r="M514" s="159">
        <v>0</v>
      </c>
      <c r="N514" s="157">
        <v>0</v>
      </c>
      <c r="O514" s="82">
        <f t="shared" si="105"/>
        <v>0</v>
      </c>
      <c r="P514" s="160">
        <f>N514*32</f>
        <v>0</v>
      </c>
      <c r="Q514" s="1071">
        <f t="shared" si="107"/>
        <v>0</v>
      </c>
    </row>
    <row r="515" spans="9:17" ht="13.9" x14ac:dyDescent="0.4">
      <c r="I515" s="1073">
        <f t="shared" si="106"/>
        <v>0</v>
      </c>
      <c r="J515" s="159" t="s">
        <v>19</v>
      </c>
      <c r="K515" s="1350" t="s">
        <v>839</v>
      </c>
      <c r="L515" s="160"/>
      <c r="M515" s="159">
        <v>0</v>
      </c>
      <c r="N515" s="157">
        <v>0</v>
      </c>
      <c r="O515" s="82">
        <f t="shared" si="105"/>
        <v>0</v>
      </c>
      <c r="P515" s="160"/>
      <c r="Q515" s="1071">
        <f t="shared" si="107"/>
        <v>0</v>
      </c>
    </row>
    <row r="516" spans="9:17" ht="13.9" x14ac:dyDescent="0.4">
      <c r="I516" s="1071"/>
      <c r="J516" s="86" t="s">
        <v>22</v>
      </c>
      <c r="K516" s="86"/>
      <c r="L516" s="86"/>
      <c r="M516" s="81"/>
      <c r="N516" s="87"/>
      <c r="O516" s="88">
        <f>SUM(O502:O515)</f>
        <v>112.36137499999998</v>
      </c>
      <c r="P516" s="86"/>
      <c r="Q516" s="1071"/>
    </row>
    <row r="517" spans="9:17" ht="13.9" x14ac:dyDescent="0.4">
      <c r="I517" s="1071"/>
      <c r="J517" s="83"/>
      <c r="K517" s="83"/>
      <c r="L517" s="83"/>
      <c r="M517" s="83"/>
      <c r="N517" s="84"/>
      <c r="O517" s="83"/>
      <c r="P517" s="83"/>
      <c r="Q517" s="1071"/>
    </row>
    <row r="518" spans="9:17" ht="13.9" x14ac:dyDescent="0.4">
      <c r="I518" s="1071"/>
      <c r="J518" s="78" t="s">
        <v>20</v>
      </c>
      <c r="K518" s="78"/>
      <c r="L518" s="78"/>
      <c r="M518" s="79"/>
      <c r="N518" s="85"/>
      <c r="O518" s="79"/>
      <c r="P518" s="78"/>
      <c r="Q518" s="1071"/>
    </row>
    <row r="519" spans="9:17" ht="13.9" x14ac:dyDescent="0.4">
      <c r="I519" s="1071"/>
      <c r="J519" s="80" t="s">
        <v>212</v>
      </c>
      <c r="K519" s="80" t="s">
        <v>838</v>
      </c>
      <c r="L519" s="80" t="s">
        <v>2</v>
      </c>
      <c r="M519" s="80" t="s">
        <v>21</v>
      </c>
      <c r="N519" s="80" t="s">
        <v>174</v>
      </c>
      <c r="O519" s="80" t="s">
        <v>14</v>
      </c>
      <c r="P519" s="80" t="s">
        <v>890</v>
      </c>
      <c r="Q519" s="1071"/>
    </row>
    <row r="520" spans="9:17" ht="13.9" x14ac:dyDescent="0.4">
      <c r="I520" s="1073">
        <f>IF($A$1=9,I515+1,0)</f>
        <v>0</v>
      </c>
      <c r="J520" s="159" t="str">
        <f>A4_Chem_Prices!E$18</f>
        <v>Centric</v>
      </c>
      <c r="K520" s="1350" t="s">
        <v>839</v>
      </c>
      <c r="L520" s="160" t="str">
        <f>A4_Chem_Prices!F$18</f>
        <v>oz</v>
      </c>
      <c r="M520" s="159">
        <f>A4_Chem_Prices!G$18</f>
        <v>5.95</v>
      </c>
      <c r="N520" s="157">
        <v>2</v>
      </c>
      <c r="O520" s="82">
        <f t="shared" ref="O520:O529" si="108">M520*N520</f>
        <v>11.9</v>
      </c>
      <c r="P520" s="1449">
        <f t="shared" ref="P520:P526" si="109">N520</f>
        <v>2</v>
      </c>
      <c r="Q520" s="1071">
        <f>Q502</f>
        <v>0</v>
      </c>
    </row>
    <row r="521" spans="9:17" ht="13.9" x14ac:dyDescent="0.4">
      <c r="I521" s="1073">
        <f t="shared" ref="I521:I529" si="110">IF($A$1=9,I520+1,0)</f>
        <v>0</v>
      </c>
      <c r="J521" s="159" t="str">
        <f>A4_Chem_Prices!E$19</f>
        <v>Diamond</v>
      </c>
      <c r="K521" s="1350" t="s">
        <v>839</v>
      </c>
      <c r="L521" s="160" t="str">
        <f>A4_Chem_Prices!F$19</f>
        <v>oz</v>
      </c>
      <c r="M521" s="159">
        <f>A4_Chem_Prices!G$19</f>
        <v>1.1971354166666666</v>
      </c>
      <c r="N521" s="157">
        <v>6</v>
      </c>
      <c r="O521" s="82">
        <f t="shared" si="108"/>
        <v>7.1828124999999989</v>
      </c>
      <c r="P521" s="1449">
        <f t="shared" si="109"/>
        <v>6</v>
      </c>
      <c r="Q521" s="1071">
        <f>Q520</f>
        <v>0</v>
      </c>
    </row>
    <row r="522" spans="9:17" ht="13.9" x14ac:dyDescent="0.4">
      <c r="I522" s="1073">
        <f t="shared" si="110"/>
        <v>0</v>
      </c>
      <c r="J522" s="159" t="str">
        <f>A4_Chem_Prices!E$18</f>
        <v>Centric</v>
      </c>
      <c r="K522" s="1350" t="s">
        <v>839</v>
      </c>
      <c r="L522" s="160" t="str">
        <f>A4_Chem_Prices!F$18</f>
        <v>oz</v>
      </c>
      <c r="M522" s="159">
        <f>A4_Chem_Prices!G$18</f>
        <v>5.95</v>
      </c>
      <c r="N522" s="157">
        <v>2</v>
      </c>
      <c r="O522" s="82">
        <f t="shared" si="108"/>
        <v>11.9</v>
      </c>
      <c r="P522" s="1449">
        <f t="shared" si="109"/>
        <v>2</v>
      </c>
      <c r="Q522" s="1071">
        <f t="shared" ref="Q522:Q529" si="111">Q521</f>
        <v>0</v>
      </c>
    </row>
    <row r="523" spans="9:17" ht="13.9" x14ac:dyDescent="0.4">
      <c r="I523" s="1073">
        <f t="shared" si="110"/>
        <v>0</v>
      </c>
      <c r="J523" s="159" t="str">
        <f>A4_Chem_Prices!E$19</f>
        <v>Diamond</v>
      </c>
      <c r="K523" s="1350" t="s">
        <v>839</v>
      </c>
      <c r="L523" s="160" t="str">
        <f>A4_Chem_Prices!F$19</f>
        <v>oz</v>
      </c>
      <c r="M523" s="159">
        <f>A4_Chem_Prices!G$19</f>
        <v>1.1971354166666666</v>
      </c>
      <c r="N523" s="157">
        <v>6</v>
      </c>
      <c r="O523" s="82">
        <f t="shared" si="108"/>
        <v>7.1828124999999989</v>
      </c>
      <c r="P523" s="1449">
        <f t="shared" si="109"/>
        <v>6</v>
      </c>
      <c r="Q523" s="1071">
        <f t="shared" si="111"/>
        <v>0</v>
      </c>
    </row>
    <row r="524" spans="9:17" ht="13.9" x14ac:dyDescent="0.4">
      <c r="I524" s="1073">
        <f t="shared" si="110"/>
        <v>0</v>
      </c>
      <c r="J524" s="159" t="s">
        <v>19</v>
      </c>
      <c r="K524" s="1350" t="s">
        <v>839</v>
      </c>
      <c r="L524" s="160"/>
      <c r="M524" s="159">
        <v>0</v>
      </c>
      <c r="N524" s="157">
        <v>0</v>
      </c>
      <c r="O524" s="82">
        <f t="shared" si="108"/>
        <v>0</v>
      </c>
      <c r="P524" s="1449">
        <f t="shared" si="109"/>
        <v>0</v>
      </c>
      <c r="Q524" s="1071">
        <f t="shared" si="111"/>
        <v>0</v>
      </c>
    </row>
    <row r="525" spans="9:17" ht="13.9" x14ac:dyDescent="0.4">
      <c r="I525" s="1073">
        <f t="shared" si="110"/>
        <v>0</v>
      </c>
      <c r="J525" s="159" t="s">
        <v>19</v>
      </c>
      <c r="K525" s="1350" t="s">
        <v>839</v>
      </c>
      <c r="L525" s="160"/>
      <c r="M525" s="159">
        <v>0</v>
      </c>
      <c r="N525" s="157">
        <v>0</v>
      </c>
      <c r="O525" s="82">
        <f t="shared" si="108"/>
        <v>0</v>
      </c>
      <c r="P525" s="1449">
        <f t="shared" si="109"/>
        <v>0</v>
      </c>
      <c r="Q525" s="1071">
        <f t="shared" si="111"/>
        <v>0</v>
      </c>
    </row>
    <row r="526" spans="9:17" ht="13.9" x14ac:dyDescent="0.4">
      <c r="I526" s="1073">
        <f t="shared" si="110"/>
        <v>0</v>
      </c>
      <c r="J526" s="159" t="s">
        <v>19</v>
      </c>
      <c r="K526" s="1350" t="s">
        <v>839</v>
      </c>
      <c r="L526" s="160"/>
      <c r="M526" s="159">
        <v>0</v>
      </c>
      <c r="N526" s="157">
        <v>0</v>
      </c>
      <c r="O526" s="82">
        <f t="shared" si="108"/>
        <v>0</v>
      </c>
      <c r="P526" s="1449">
        <f t="shared" si="109"/>
        <v>0</v>
      </c>
      <c r="Q526" s="1071">
        <f t="shared" si="111"/>
        <v>0</v>
      </c>
    </row>
    <row r="527" spans="9:17" ht="13.9" x14ac:dyDescent="0.4">
      <c r="I527" s="1073">
        <f t="shared" si="110"/>
        <v>0</v>
      </c>
      <c r="J527" s="159" t="s">
        <v>19</v>
      </c>
      <c r="K527" s="1350" t="s">
        <v>839</v>
      </c>
      <c r="L527" s="160"/>
      <c r="M527" s="159">
        <v>0</v>
      </c>
      <c r="N527" s="157">
        <v>0</v>
      </c>
      <c r="O527" s="82">
        <f t="shared" si="108"/>
        <v>0</v>
      </c>
      <c r="P527" s="160">
        <f>N527*16/(35.274/33.814)</f>
        <v>0</v>
      </c>
      <c r="Q527" s="1071">
        <f t="shared" si="111"/>
        <v>0</v>
      </c>
    </row>
    <row r="528" spans="9:17" ht="13.9" x14ac:dyDescent="0.4">
      <c r="I528" s="1073">
        <f t="shared" si="110"/>
        <v>0</v>
      </c>
      <c r="J528" s="159" t="s">
        <v>19</v>
      </c>
      <c r="K528" s="1350" t="s">
        <v>839</v>
      </c>
      <c r="L528" s="160"/>
      <c r="M528" s="159">
        <v>0</v>
      </c>
      <c r="N528" s="157">
        <v>0</v>
      </c>
      <c r="O528" s="82">
        <f t="shared" si="108"/>
        <v>0</v>
      </c>
      <c r="P528" s="160"/>
      <c r="Q528" s="1071">
        <f t="shared" si="111"/>
        <v>0</v>
      </c>
    </row>
    <row r="529" spans="9:17" ht="13.9" x14ac:dyDescent="0.4">
      <c r="I529" s="1073">
        <f t="shared" si="110"/>
        <v>0</v>
      </c>
      <c r="J529" s="159" t="s">
        <v>19</v>
      </c>
      <c r="K529" s="1350" t="s">
        <v>839</v>
      </c>
      <c r="L529" s="160"/>
      <c r="M529" s="159">
        <v>0</v>
      </c>
      <c r="N529" s="157">
        <v>0</v>
      </c>
      <c r="O529" s="82">
        <f t="shared" si="108"/>
        <v>0</v>
      </c>
      <c r="P529" s="160"/>
      <c r="Q529" s="1071">
        <f t="shared" si="111"/>
        <v>0</v>
      </c>
    </row>
    <row r="530" spans="9:17" ht="13.9" x14ac:dyDescent="0.4">
      <c r="I530" s="1071"/>
      <c r="J530" s="86" t="s">
        <v>22</v>
      </c>
      <c r="K530" s="86"/>
      <c r="L530" s="86"/>
      <c r="M530" s="81"/>
      <c r="N530" s="87"/>
      <c r="O530" s="88">
        <f>SUM(O520:O529)</f>
        <v>38.165624999999999</v>
      </c>
      <c r="P530" s="86"/>
      <c r="Q530" s="1071"/>
    </row>
    <row r="531" spans="9:17" ht="13.9" x14ac:dyDescent="0.4">
      <c r="I531" s="1071"/>
      <c r="J531" s="83"/>
      <c r="K531" s="83"/>
      <c r="L531" s="83"/>
      <c r="M531" s="83"/>
      <c r="N531" s="84"/>
      <c r="O531" s="83"/>
      <c r="P531" s="83"/>
      <c r="Q531" s="1071"/>
    </row>
    <row r="532" spans="9:17" ht="13.9" x14ac:dyDescent="0.4">
      <c r="I532" s="1071"/>
      <c r="J532" s="78" t="str">
        <f>IF(OR(A2_Budget_Look_Up!$B$7=1,A2_Budget_Look_Up!$B$13=1),"Nematicide Detail", "Fungicide Detail")</f>
        <v>Fungicide Detail</v>
      </c>
      <c r="K532" s="78"/>
      <c r="L532" s="78"/>
      <c r="M532" s="79"/>
      <c r="N532" s="85"/>
      <c r="O532" s="79"/>
      <c r="P532" s="78"/>
      <c r="Q532" s="1071"/>
    </row>
    <row r="533" spans="9:17" ht="13.9" x14ac:dyDescent="0.4">
      <c r="I533" s="1071"/>
      <c r="J533" s="80" t="s">
        <v>212</v>
      </c>
      <c r="K533" s="80" t="s">
        <v>838</v>
      </c>
      <c r="L533" s="80" t="s">
        <v>2</v>
      </c>
      <c r="M533" s="80" t="s">
        <v>21</v>
      </c>
      <c r="N533" s="80" t="s">
        <v>174</v>
      </c>
      <c r="O533" s="80" t="s">
        <v>14</v>
      </c>
      <c r="P533" s="80" t="s">
        <v>890</v>
      </c>
      <c r="Q533" s="1071"/>
    </row>
    <row r="534" spans="9:17" ht="13.9" x14ac:dyDescent="0.4">
      <c r="I534" s="1073">
        <f>IF($A$1=9,I529+1,0)</f>
        <v>0</v>
      </c>
      <c r="J534" s="156" t="s">
        <v>19</v>
      </c>
      <c r="K534" s="1350" t="s">
        <v>839</v>
      </c>
      <c r="L534" s="158"/>
      <c r="M534" s="159">
        <v>0</v>
      </c>
      <c r="N534" s="157">
        <v>0</v>
      </c>
      <c r="O534" s="82">
        <f>M534*N534</f>
        <v>0</v>
      </c>
      <c r="P534" s="158"/>
      <c r="Q534" s="1071">
        <f>Q529</f>
        <v>0</v>
      </c>
    </row>
    <row r="535" spans="9:17" ht="13.9" x14ac:dyDescent="0.4">
      <c r="I535" s="1073">
        <f>IF($A$1=9,I534+1,0)</f>
        <v>0</v>
      </c>
      <c r="J535" s="156" t="s">
        <v>19</v>
      </c>
      <c r="K535" s="1350" t="s">
        <v>839</v>
      </c>
      <c r="L535" s="158"/>
      <c r="M535" s="159">
        <v>0</v>
      </c>
      <c r="N535" s="157">
        <v>0</v>
      </c>
      <c r="O535" s="82">
        <f>M535*N535</f>
        <v>0</v>
      </c>
      <c r="P535" s="158"/>
      <c r="Q535" s="1071">
        <f>Q534</f>
        <v>0</v>
      </c>
    </row>
    <row r="536" spans="9:17" ht="13.9" x14ac:dyDescent="0.4">
      <c r="I536" s="1071"/>
      <c r="J536" s="86" t="s">
        <v>22</v>
      </c>
      <c r="K536" s="86"/>
      <c r="L536" s="86"/>
      <c r="M536" s="81"/>
      <c r="N536" s="87"/>
      <c r="O536" s="88">
        <f>SUM(O534:O535)</f>
        <v>0</v>
      </c>
      <c r="P536" s="86"/>
      <c r="Q536" s="1071"/>
    </row>
    <row r="537" spans="9:17" ht="13.9" x14ac:dyDescent="0.4">
      <c r="I537" s="1071"/>
      <c r="J537" s="83"/>
      <c r="K537" s="83"/>
      <c r="L537" s="83"/>
      <c r="M537" s="83"/>
      <c r="N537" s="84"/>
      <c r="O537" s="83"/>
      <c r="P537" s="83"/>
      <c r="Q537" s="1071"/>
    </row>
    <row r="538" spans="9:17" ht="13.9" x14ac:dyDescent="0.4">
      <c r="I538" s="1071"/>
      <c r="J538" s="78" t="str">
        <f>IF(A2_Budget_Look_Up!$B$7=1,"Growth Regulator Detail", IF(A2_Budget_Look_Up!$B$13=1,"Fungicide Detail","Other Chemical Detail"))</f>
        <v>Other Chemical Detail</v>
      </c>
      <c r="K538" s="78"/>
      <c r="L538" s="78"/>
      <c r="M538" s="79"/>
      <c r="N538" s="85"/>
      <c r="O538" s="79"/>
      <c r="P538" s="78"/>
      <c r="Q538" s="1071"/>
    </row>
    <row r="539" spans="9:17" ht="13.9" x14ac:dyDescent="0.4">
      <c r="I539" s="1071"/>
      <c r="J539" s="80" t="s">
        <v>212</v>
      </c>
      <c r="K539" s="80" t="s">
        <v>838</v>
      </c>
      <c r="L539" s="80" t="s">
        <v>2</v>
      </c>
      <c r="M539" s="80" t="s">
        <v>21</v>
      </c>
      <c r="N539" s="80" t="s">
        <v>174</v>
      </c>
      <c r="O539" s="80" t="s">
        <v>14</v>
      </c>
      <c r="P539" s="80" t="s">
        <v>890</v>
      </c>
      <c r="Q539" s="1071"/>
    </row>
    <row r="540" spans="9:17" ht="13.9" x14ac:dyDescent="0.4">
      <c r="I540" s="1073">
        <f>IF($A$1=9,I535+1,0)</f>
        <v>0</v>
      </c>
      <c r="J540" s="156" t="str">
        <f>A4_Chem_Prices!E$26</f>
        <v>Mepiquat</v>
      </c>
      <c r="K540" s="1350" t="s">
        <v>839</v>
      </c>
      <c r="L540" s="158" t="str">
        <f>A4_Chem_Prices!F$26</f>
        <v>oz</v>
      </c>
      <c r="M540" s="159">
        <f>A4_Chem_Prices!G$26</f>
        <v>4.9796874999999997E-2</v>
      </c>
      <c r="N540" s="157">
        <v>16</v>
      </c>
      <c r="O540" s="82">
        <f t="shared" ref="O540:O546" si="112">M540*N540</f>
        <v>0.79674999999999996</v>
      </c>
      <c r="P540" s="1449">
        <f>N540</f>
        <v>16</v>
      </c>
      <c r="Q540" s="1071">
        <f>Q535</f>
        <v>0</v>
      </c>
    </row>
    <row r="541" spans="9:17" ht="13.9" x14ac:dyDescent="0.4">
      <c r="I541" s="1073">
        <f t="shared" ref="I541:I546" si="113">IF($A$1=9,I540+1,0)</f>
        <v>0</v>
      </c>
      <c r="J541" s="156" t="str">
        <f>A4_Chem_Prices!E$26</f>
        <v>Mepiquat</v>
      </c>
      <c r="K541" s="1350" t="s">
        <v>839</v>
      </c>
      <c r="L541" s="158" t="str">
        <f>A4_Chem_Prices!F$26</f>
        <v>oz</v>
      </c>
      <c r="M541" s="159">
        <f>A4_Chem_Prices!G$26</f>
        <v>4.9796874999999997E-2</v>
      </c>
      <c r="N541" s="157">
        <v>20</v>
      </c>
      <c r="O541" s="82">
        <f t="shared" si="112"/>
        <v>0.99593749999999992</v>
      </c>
      <c r="P541" s="1449">
        <f>N541</f>
        <v>20</v>
      </c>
      <c r="Q541" s="1071">
        <f t="shared" ref="Q541:Q546" si="114">Q540</f>
        <v>0</v>
      </c>
    </row>
    <row r="542" spans="9:17" ht="13.9" x14ac:dyDescent="0.4">
      <c r="I542" s="1073">
        <f t="shared" si="113"/>
        <v>0</v>
      </c>
      <c r="J542" s="156" t="str">
        <f>A4_Chem_Prices!E$26</f>
        <v>Mepiquat</v>
      </c>
      <c r="K542" s="1350" t="s">
        <v>839</v>
      </c>
      <c r="L542" s="158" t="str">
        <f>A4_Chem_Prices!F$26</f>
        <v>oz</v>
      </c>
      <c r="M542" s="159">
        <f>A4_Chem_Prices!G$26</f>
        <v>4.9796874999999997E-2</v>
      </c>
      <c r="N542" s="157">
        <v>20</v>
      </c>
      <c r="O542" s="82">
        <f t="shared" si="112"/>
        <v>0.99593749999999992</v>
      </c>
      <c r="P542" s="1449">
        <f>N542</f>
        <v>20</v>
      </c>
      <c r="Q542" s="1071">
        <f t="shared" si="114"/>
        <v>0</v>
      </c>
    </row>
    <row r="543" spans="9:17" ht="13.9" x14ac:dyDescent="0.4">
      <c r="I543" s="1073">
        <f t="shared" si="113"/>
        <v>0</v>
      </c>
      <c r="J543" s="156" t="str">
        <f>A4_Chem_Prices!E$26</f>
        <v>Mepiquat</v>
      </c>
      <c r="K543" s="1350" t="s">
        <v>839</v>
      </c>
      <c r="L543" s="158" t="str">
        <f>A4_Chem_Prices!F$26</f>
        <v>oz</v>
      </c>
      <c r="M543" s="159">
        <f>A4_Chem_Prices!G$26</f>
        <v>4.9796874999999997E-2</v>
      </c>
      <c r="N543" s="157">
        <v>20</v>
      </c>
      <c r="O543" s="82">
        <f t="shared" si="112"/>
        <v>0.99593749999999992</v>
      </c>
      <c r="P543" s="158"/>
      <c r="Q543" s="1071">
        <f t="shared" si="114"/>
        <v>0</v>
      </c>
    </row>
    <row r="544" spans="9:17" ht="13.9" x14ac:dyDescent="0.4">
      <c r="I544" s="1073">
        <f t="shared" si="113"/>
        <v>0</v>
      </c>
      <c r="J544" s="156" t="s">
        <v>19</v>
      </c>
      <c r="K544" s="1350" t="s">
        <v>839</v>
      </c>
      <c r="L544" s="158"/>
      <c r="M544" s="159">
        <v>0</v>
      </c>
      <c r="N544" s="157">
        <v>0</v>
      </c>
      <c r="O544" s="82">
        <f t="shared" si="112"/>
        <v>0</v>
      </c>
      <c r="P544" s="158"/>
      <c r="Q544" s="1071">
        <f t="shared" si="114"/>
        <v>0</v>
      </c>
    </row>
    <row r="545" spans="9:17" ht="13.9" x14ac:dyDescent="0.4">
      <c r="I545" s="1073">
        <f t="shared" si="113"/>
        <v>0</v>
      </c>
      <c r="J545" s="156" t="s">
        <v>19</v>
      </c>
      <c r="K545" s="1350" t="s">
        <v>839</v>
      </c>
      <c r="L545" s="158"/>
      <c r="M545" s="159">
        <v>0</v>
      </c>
      <c r="N545" s="157">
        <v>0</v>
      </c>
      <c r="O545" s="82">
        <f t="shared" si="112"/>
        <v>0</v>
      </c>
      <c r="P545" s="158"/>
      <c r="Q545" s="1071">
        <f t="shared" si="114"/>
        <v>0</v>
      </c>
    </row>
    <row r="546" spans="9:17" ht="13.9" x14ac:dyDescent="0.4">
      <c r="I546" s="1073">
        <f t="shared" si="113"/>
        <v>0</v>
      </c>
      <c r="J546" s="156" t="s">
        <v>19</v>
      </c>
      <c r="K546" s="1350" t="s">
        <v>839</v>
      </c>
      <c r="L546" s="158"/>
      <c r="M546" s="159">
        <v>0</v>
      </c>
      <c r="N546" s="157">
        <v>0</v>
      </c>
      <c r="O546" s="82">
        <f t="shared" si="112"/>
        <v>0</v>
      </c>
      <c r="P546" s="158"/>
      <c r="Q546" s="1071">
        <f t="shared" si="114"/>
        <v>0</v>
      </c>
    </row>
    <row r="547" spans="9:17" ht="13.9" x14ac:dyDescent="0.4">
      <c r="I547" s="1071"/>
      <c r="J547" s="86" t="s">
        <v>22</v>
      </c>
      <c r="K547" s="86"/>
      <c r="L547" s="86"/>
      <c r="M547" s="81"/>
      <c r="N547" s="87"/>
      <c r="O547" s="88">
        <f>SUM(O540:O546)</f>
        <v>3.7845624999999998</v>
      </c>
      <c r="P547" s="86"/>
      <c r="Q547" s="1071"/>
    </row>
    <row r="548" spans="9:17" ht="13.9" x14ac:dyDescent="0.4">
      <c r="I548" s="1071"/>
      <c r="J548" s="83"/>
      <c r="K548" s="83"/>
      <c r="L548" s="83"/>
      <c r="M548" s="83"/>
      <c r="N548" s="84"/>
      <c r="O548" s="83"/>
      <c r="P548" s="83"/>
      <c r="Q548" s="1071"/>
    </row>
    <row r="549" spans="9:17" ht="13.9" x14ac:dyDescent="0.4">
      <c r="I549" s="1071"/>
      <c r="J549" s="78" t="str">
        <f>IF(A2_Budget_Look_Up!$B$7=1,"Defoliant Detail", "Other Chemical Detail")</f>
        <v>Other Chemical Detail</v>
      </c>
      <c r="K549" s="78"/>
      <c r="L549" s="78"/>
      <c r="M549" s="79"/>
      <c r="N549" s="85"/>
      <c r="O549" s="79"/>
      <c r="P549" s="78"/>
      <c r="Q549" s="1071"/>
    </row>
    <row r="550" spans="9:17" ht="13.9" x14ac:dyDescent="0.4">
      <c r="I550" s="1071"/>
      <c r="J550" s="80" t="s">
        <v>212</v>
      </c>
      <c r="K550" s="80" t="s">
        <v>838</v>
      </c>
      <c r="L550" s="80" t="s">
        <v>2</v>
      </c>
      <c r="M550" s="80" t="s">
        <v>21</v>
      </c>
      <c r="N550" s="80" t="s">
        <v>174</v>
      </c>
      <c r="O550" s="80" t="s">
        <v>14</v>
      </c>
      <c r="P550" s="80" t="s">
        <v>890</v>
      </c>
      <c r="Q550" s="1071"/>
    </row>
    <row r="551" spans="9:17" ht="13.9" x14ac:dyDescent="0.4">
      <c r="I551" s="1073">
        <f>IF($A$1=9,I546+1,0)</f>
        <v>0</v>
      </c>
      <c r="J551" s="156" t="str">
        <f>A4_Chem_Prices!E$28</f>
        <v>Dropp</v>
      </c>
      <c r="K551" s="1350" t="s">
        <v>839</v>
      </c>
      <c r="L551" s="158" t="str">
        <f>A4_Chem_Prices!F$28</f>
        <v>oz</v>
      </c>
      <c r="M551" s="159">
        <f>A4_Chem_Prices!G$28</f>
        <v>0.78125</v>
      </c>
      <c r="N551" s="157">
        <v>2</v>
      </c>
      <c r="O551" s="82">
        <f t="shared" ref="O551:O557" si="115">M551*N551</f>
        <v>1.5625</v>
      </c>
      <c r="P551" s="1449">
        <f>N551</f>
        <v>2</v>
      </c>
      <c r="Q551" s="1071">
        <f>Q546</f>
        <v>0</v>
      </c>
    </row>
    <row r="552" spans="9:17" ht="13.9" x14ac:dyDescent="0.4">
      <c r="I552" s="1073">
        <f t="shared" ref="I552:I557" si="116">IF($A$1=9,I551+1,0)</f>
        <v>0</v>
      </c>
      <c r="J552" s="156" t="str">
        <f>A4_Chem_Prices!E$29</f>
        <v>Folex</v>
      </c>
      <c r="K552" s="1350" t="s">
        <v>839</v>
      </c>
      <c r="L552" s="158" t="str">
        <f>A4_Chem_Prices!F$29</f>
        <v>oz</v>
      </c>
      <c r="M552" s="159">
        <f>A4_Chem_Prices!G$29</f>
        <v>0.5234375</v>
      </c>
      <c r="N552" s="157">
        <v>6</v>
      </c>
      <c r="O552" s="82">
        <f t="shared" si="115"/>
        <v>3.140625</v>
      </c>
      <c r="P552" s="1449">
        <f>N552</f>
        <v>6</v>
      </c>
      <c r="Q552" s="1071">
        <f t="shared" ref="Q552:Q557" si="117">Q551</f>
        <v>0</v>
      </c>
    </row>
    <row r="553" spans="9:17" ht="13.9" x14ac:dyDescent="0.4">
      <c r="I553" s="1073">
        <f t="shared" si="116"/>
        <v>0</v>
      </c>
      <c r="J553" s="156" t="str">
        <f>A4_Chem_Prices!E$30</f>
        <v>Prep</v>
      </c>
      <c r="K553" s="1350" t="s">
        <v>839</v>
      </c>
      <c r="L553" s="158" t="str">
        <f>A4_Chem_Prices!F$30</f>
        <v>oz</v>
      </c>
      <c r="M553" s="159">
        <f>A4_Chem_Prices!G$30</f>
        <v>0.28125</v>
      </c>
      <c r="N553" s="157">
        <v>6</v>
      </c>
      <c r="O553" s="82">
        <f t="shared" si="115"/>
        <v>1.6875</v>
      </c>
      <c r="P553" s="1449">
        <f>N553</f>
        <v>6</v>
      </c>
      <c r="Q553" s="1071">
        <f t="shared" si="117"/>
        <v>0</v>
      </c>
    </row>
    <row r="554" spans="9:17" ht="13.9" x14ac:dyDescent="0.4">
      <c r="I554" s="1073">
        <f t="shared" si="116"/>
        <v>0</v>
      </c>
      <c r="J554" s="156" t="str">
        <f>A4_Chem_Prices!E$29</f>
        <v>Folex</v>
      </c>
      <c r="K554" s="1350" t="s">
        <v>839</v>
      </c>
      <c r="L554" s="158" t="str">
        <f>A4_Chem_Prices!F$29</f>
        <v>oz</v>
      </c>
      <c r="M554" s="159">
        <f>A4_Chem_Prices!G$29</f>
        <v>0.5234375</v>
      </c>
      <c r="N554" s="157">
        <v>8</v>
      </c>
      <c r="O554" s="82">
        <f t="shared" si="115"/>
        <v>4.1875</v>
      </c>
      <c r="P554" s="1449">
        <f>N554</f>
        <v>8</v>
      </c>
      <c r="Q554" s="1071">
        <f t="shared" si="117"/>
        <v>0</v>
      </c>
    </row>
    <row r="555" spans="9:17" ht="13.9" x14ac:dyDescent="0.4">
      <c r="I555" s="1073">
        <f t="shared" si="116"/>
        <v>0</v>
      </c>
      <c r="J555" s="156" t="str">
        <f>A4_Chem_Prices!E$30</f>
        <v>Prep</v>
      </c>
      <c r="K555" s="1350" t="s">
        <v>839</v>
      </c>
      <c r="L555" s="158" t="str">
        <f>A4_Chem_Prices!F$30</f>
        <v>oz</v>
      </c>
      <c r="M555" s="159">
        <f>A4_Chem_Prices!G$30</f>
        <v>0.28125</v>
      </c>
      <c r="N555" s="157">
        <v>32</v>
      </c>
      <c r="O555" s="82">
        <f t="shared" si="115"/>
        <v>9</v>
      </c>
      <c r="P555" s="1449">
        <f>N555</f>
        <v>32</v>
      </c>
      <c r="Q555" s="1071">
        <f t="shared" si="117"/>
        <v>0</v>
      </c>
    </row>
    <row r="556" spans="9:17" ht="13.9" x14ac:dyDescent="0.4">
      <c r="I556" s="1073">
        <f t="shared" si="116"/>
        <v>0</v>
      </c>
      <c r="J556" s="156" t="s">
        <v>19</v>
      </c>
      <c r="K556" s="1350" t="s">
        <v>839</v>
      </c>
      <c r="L556" s="158"/>
      <c r="M556" s="159">
        <v>0</v>
      </c>
      <c r="N556" s="157">
        <v>0</v>
      </c>
      <c r="O556" s="82">
        <f t="shared" si="115"/>
        <v>0</v>
      </c>
      <c r="P556" s="158"/>
      <c r="Q556" s="1071">
        <f t="shared" si="117"/>
        <v>0</v>
      </c>
    </row>
    <row r="557" spans="9:17" ht="13.9" x14ac:dyDescent="0.4">
      <c r="I557" s="1073">
        <f t="shared" si="116"/>
        <v>0</v>
      </c>
      <c r="J557" s="156" t="s">
        <v>19</v>
      </c>
      <c r="K557" s="1350" t="s">
        <v>839</v>
      </c>
      <c r="L557" s="158"/>
      <c r="M557" s="159">
        <v>0</v>
      </c>
      <c r="N557" s="157">
        <v>0</v>
      </c>
      <c r="O557" s="82">
        <f t="shared" si="115"/>
        <v>0</v>
      </c>
      <c r="P557" s="158"/>
      <c r="Q557" s="1071">
        <f t="shared" si="117"/>
        <v>0</v>
      </c>
    </row>
    <row r="558" spans="9:17" ht="13.9" x14ac:dyDescent="0.4">
      <c r="I558" s="1071"/>
      <c r="J558" s="86" t="s">
        <v>22</v>
      </c>
      <c r="K558" s="86"/>
      <c r="L558" s="86"/>
      <c r="M558" s="81"/>
      <c r="N558" s="87"/>
      <c r="O558" s="88">
        <f>SUM(O551:O557)</f>
        <v>19.578125</v>
      </c>
      <c r="P558" s="86"/>
      <c r="Q558" s="1071"/>
    </row>
    <row r="559" spans="9:17" ht="13.9" x14ac:dyDescent="0.4">
      <c r="I559" s="1071"/>
      <c r="J559" s="83"/>
      <c r="K559" s="83"/>
      <c r="L559" s="83"/>
      <c r="M559" s="89"/>
      <c r="N559" s="84"/>
      <c r="O559" s="89"/>
      <c r="P559" s="83"/>
      <c r="Q559" s="1071"/>
    </row>
    <row r="560" spans="9:17" ht="13.9" x14ac:dyDescent="0.4">
      <c r="I560" s="1071"/>
      <c r="J560" s="1168" t="str">
        <f>A2_Budget_Look_Up!H12</f>
        <v>Conventional Cotton, Furrow</v>
      </c>
      <c r="K560" s="1168"/>
      <c r="L560" s="1168">
        <f>A2_Budget_Look_Up!F12</f>
        <v>10</v>
      </c>
      <c r="M560" s="1168"/>
      <c r="N560" s="1168"/>
      <c r="O560" s="1168"/>
      <c r="P560" s="1168"/>
      <c r="Q560" s="1071"/>
    </row>
    <row r="562" spans="9:17" ht="13.9" x14ac:dyDescent="0.4">
      <c r="I562" s="1071"/>
      <c r="J562" s="78" t="s">
        <v>18</v>
      </c>
      <c r="K562" s="78"/>
      <c r="L562" s="78"/>
      <c r="M562" s="79"/>
      <c r="N562" s="85"/>
      <c r="O562" s="79"/>
      <c r="P562" s="78"/>
      <c r="Q562" s="1071"/>
    </row>
    <row r="563" spans="9:17" ht="13.9" x14ac:dyDescent="0.4">
      <c r="I563" s="1071"/>
      <c r="J563" s="80" t="s">
        <v>212</v>
      </c>
      <c r="K563" s="80" t="s">
        <v>838</v>
      </c>
      <c r="L563" s="80" t="s">
        <v>2</v>
      </c>
      <c r="M563" s="80" t="s">
        <v>21</v>
      </c>
      <c r="N563" s="80" t="s">
        <v>174</v>
      </c>
      <c r="O563" s="80" t="s">
        <v>14</v>
      </c>
      <c r="P563" s="80" t="s">
        <v>890</v>
      </c>
      <c r="Q563" s="1071"/>
    </row>
    <row r="564" spans="9:17" ht="13.9" x14ac:dyDescent="0.4">
      <c r="I564" s="1073">
        <f>IF($A$1=10,1,0)</f>
        <v>0</v>
      </c>
      <c r="J564" s="159" t="str">
        <f>A4_Chem_Prices!E$2</f>
        <v>Roundup Powermax 3</v>
      </c>
      <c r="K564" s="1350" t="s">
        <v>839</v>
      </c>
      <c r="L564" s="158" t="str">
        <f>A4_Chem_Prices!F$2</f>
        <v>pt</v>
      </c>
      <c r="M564" s="159">
        <f>A4_Chem_Prices!G$2</f>
        <v>2.25</v>
      </c>
      <c r="N564" s="159">
        <v>2</v>
      </c>
      <c r="O564" s="82">
        <f t="shared" ref="O564:O577" si="118">M564*N564</f>
        <v>4.5</v>
      </c>
      <c r="P564" s="160">
        <f>N564*16</f>
        <v>32</v>
      </c>
      <c r="Q564" s="1171">
        <f>IF(SUM(I564:I619)=820,L560,0)</f>
        <v>0</v>
      </c>
    </row>
    <row r="565" spans="9:17" ht="13.9" x14ac:dyDescent="0.4">
      <c r="I565" s="1073">
        <f t="shared" ref="I565:I577" si="119">IF($A$1=10,I564+1,0)</f>
        <v>0</v>
      </c>
      <c r="J565" s="159" t="str">
        <f>A4_Chem_Prices!E$15</f>
        <v>2,4-D</v>
      </c>
      <c r="K565" s="1350" t="s">
        <v>839</v>
      </c>
      <c r="L565" s="158" t="str">
        <f>A4_Chem_Prices!F$15</f>
        <v>pt</v>
      </c>
      <c r="M565" s="159">
        <f>A4_Chem_Prices!G$15</f>
        <v>4.375</v>
      </c>
      <c r="N565" s="157">
        <v>1.5</v>
      </c>
      <c r="O565" s="82">
        <f t="shared" si="118"/>
        <v>6.5625</v>
      </c>
      <c r="P565" s="1449">
        <f>N565</f>
        <v>1.5</v>
      </c>
      <c r="Q565" s="1071">
        <f>Q564</f>
        <v>0</v>
      </c>
    </row>
    <row r="566" spans="9:17" ht="13.9" x14ac:dyDescent="0.4">
      <c r="I566" s="1073">
        <f t="shared" si="119"/>
        <v>0</v>
      </c>
      <c r="J566" s="159" t="str">
        <f>A4_Chem_Prices!B$13</f>
        <v>Brake</v>
      </c>
      <c r="K566" s="1350" t="s">
        <v>839</v>
      </c>
      <c r="L566" s="158" t="str">
        <f>A4_Chem_Prices!C$13</f>
        <v>pt</v>
      </c>
      <c r="M566" s="159">
        <f>A4_Chem_Prices!D$13</f>
        <v>25.5</v>
      </c>
      <c r="N566" s="157">
        <v>1</v>
      </c>
      <c r="O566" s="82">
        <f t="shared" si="118"/>
        <v>25.5</v>
      </c>
      <c r="P566" s="160">
        <f>N566*16</f>
        <v>16</v>
      </c>
      <c r="Q566" s="1071">
        <f t="shared" ref="Q566:Q577" si="120">Q565</f>
        <v>0</v>
      </c>
    </row>
    <row r="567" spans="9:17" ht="13.9" x14ac:dyDescent="0.4">
      <c r="I567" s="1073">
        <f t="shared" si="119"/>
        <v>0</v>
      </c>
      <c r="J567" s="159" t="str">
        <f>A4_Chem_Prices!E$5</f>
        <v>Cotoran</v>
      </c>
      <c r="K567" s="1350" t="s">
        <v>839</v>
      </c>
      <c r="L567" s="160" t="str">
        <f>A4_Chem_Prices!F$5</f>
        <v>pt</v>
      </c>
      <c r="M567" s="159">
        <f>A4_Chem_Prices!G$5</f>
        <v>2.5</v>
      </c>
      <c r="N567" s="157">
        <v>1.6</v>
      </c>
      <c r="O567" s="82">
        <f t="shared" si="118"/>
        <v>4</v>
      </c>
      <c r="P567" s="160">
        <f>N567*16</f>
        <v>25.6</v>
      </c>
      <c r="Q567" s="1071">
        <f t="shared" si="120"/>
        <v>0</v>
      </c>
    </row>
    <row r="568" spans="9:17" ht="13.9" x14ac:dyDescent="0.4">
      <c r="I568" s="1073">
        <f t="shared" si="119"/>
        <v>0</v>
      </c>
      <c r="J568" s="159" t="str">
        <f>A4_Chem_Prices!E$10</f>
        <v>Liberty</v>
      </c>
      <c r="K568" s="1350" t="s">
        <v>839</v>
      </c>
      <c r="L568" s="160" t="str">
        <f>A4_Chem_Prices!F$10</f>
        <v>oz</v>
      </c>
      <c r="M568" s="159">
        <f>A4_Chem_Prices!G$10</f>
        <v>0.28875000000000001</v>
      </c>
      <c r="N568" s="157">
        <v>32</v>
      </c>
      <c r="O568" s="82">
        <f t="shared" si="118"/>
        <v>9.24</v>
      </c>
      <c r="P568" s="160">
        <f>N568*16</f>
        <v>512</v>
      </c>
      <c r="Q568" s="1071">
        <f t="shared" si="120"/>
        <v>0</v>
      </c>
    </row>
    <row r="569" spans="9:17" ht="13.9" x14ac:dyDescent="0.4">
      <c r="I569" s="1073">
        <f t="shared" si="119"/>
        <v>0</v>
      </c>
      <c r="J569" s="159" t="str">
        <f>A4_Chem_Prices!B$12</f>
        <v>Outlook</v>
      </c>
      <c r="K569" s="1350" t="s">
        <v>839</v>
      </c>
      <c r="L569" s="160" t="str">
        <f>A4_Chem_Prices!C$12</f>
        <v>oz</v>
      </c>
      <c r="M569" s="159">
        <f>A4_Chem_Prices!D$12</f>
        <v>0.84234374999999995</v>
      </c>
      <c r="N569" s="157">
        <v>12.8</v>
      </c>
      <c r="O569" s="82">
        <f t="shared" si="118"/>
        <v>10.782</v>
      </c>
      <c r="P569" s="1449">
        <f>N569</f>
        <v>12.8</v>
      </c>
      <c r="Q569" s="1071">
        <f t="shared" si="120"/>
        <v>0</v>
      </c>
    </row>
    <row r="570" spans="9:17" ht="13.9" x14ac:dyDescent="0.4">
      <c r="I570" s="1073">
        <f t="shared" si="119"/>
        <v>0</v>
      </c>
      <c r="J570" s="159" t="str">
        <f>A4_Chem_Prices!E$10</f>
        <v>Liberty</v>
      </c>
      <c r="K570" s="1350" t="s">
        <v>839</v>
      </c>
      <c r="L570" s="160" t="str">
        <f>A4_Chem_Prices!F$10</f>
        <v>oz</v>
      </c>
      <c r="M570" s="159">
        <f>A4_Chem_Prices!G$10</f>
        <v>0.28875000000000001</v>
      </c>
      <c r="N570" s="157">
        <v>32</v>
      </c>
      <c r="O570" s="82">
        <f t="shared" si="118"/>
        <v>9.24</v>
      </c>
      <c r="P570" s="1449">
        <f>N570</f>
        <v>32</v>
      </c>
      <c r="Q570" s="1071">
        <f t="shared" si="120"/>
        <v>0</v>
      </c>
    </row>
    <row r="571" spans="9:17" ht="13.9" x14ac:dyDescent="0.4">
      <c r="I571" s="1073">
        <f t="shared" si="119"/>
        <v>0</v>
      </c>
      <c r="J571" s="159" t="str">
        <f>A4_Chem_Prices!E$7</f>
        <v>Metolachlor</v>
      </c>
      <c r="K571" s="1350" t="s">
        <v>839</v>
      </c>
      <c r="L571" s="160" t="str">
        <f>A4_Chem_Prices!F$7</f>
        <v>pt</v>
      </c>
      <c r="M571" s="159">
        <f>A4_Chem_Prices!G$7</f>
        <v>5.0387500000000003</v>
      </c>
      <c r="N571" s="157">
        <v>1</v>
      </c>
      <c r="O571" s="82">
        <f t="shared" si="118"/>
        <v>5.0387500000000003</v>
      </c>
      <c r="P571" s="160">
        <f>N571*16</f>
        <v>16</v>
      </c>
      <c r="Q571" s="1071">
        <f t="shared" si="120"/>
        <v>0</v>
      </c>
    </row>
    <row r="572" spans="9:17" ht="13.9" x14ac:dyDescent="0.4">
      <c r="I572" s="1073">
        <f t="shared" si="119"/>
        <v>0</v>
      </c>
      <c r="J572" s="159" t="str">
        <f>A4_Chem_Prices!E$10</f>
        <v>Liberty</v>
      </c>
      <c r="K572" s="1350" t="s">
        <v>839</v>
      </c>
      <c r="L572" s="160" t="str">
        <f>A4_Chem_Prices!F$10</f>
        <v>oz</v>
      </c>
      <c r="M572" s="159">
        <f>A4_Chem_Prices!G$10</f>
        <v>0.28875000000000001</v>
      </c>
      <c r="N572" s="157">
        <v>32</v>
      </c>
      <c r="O572" s="82">
        <f>M572*N572</f>
        <v>9.24</v>
      </c>
      <c r="P572" s="160">
        <f>N572*16</f>
        <v>512</v>
      </c>
      <c r="Q572" s="1071">
        <f t="shared" si="120"/>
        <v>0</v>
      </c>
    </row>
    <row r="573" spans="9:17" ht="13.9" x14ac:dyDescent="0.4">
      <c r="I573" s="1073">
        <f t="shared" si="119"/>
        <v>0</v>
      </c>
      <c r="J573" s="159" t="str">
        <f>A4_Chem_Prices!E$8</f>
        <v>Direx</v>
      </c>
      <c r="K573" s="1350" t="s">
        <v>839</v>
      </c>
      <c r="L573" s="160" t="str">
        <f>A4_Chem_Prices!F$8</f>
        <v>pt</v>
      </c>
      <c r="M573" s="159">
        <f>A4_Chem_Prices!G$8</f>
        <v>4.4637500000000001</v>
      </c>
      <c r="N573" s="157">
        <v>1.5</v>
      </c>
      <c r="O573" s="82">
        <f t="shared" si="118"/>
        <v>6.6956249999999997</v>
      </c>
      <c r="P573" s="1449">
        <f>N573</f>
        <v>1.5</v>
      </c>
      <c r="Q573" s="1071">
        <f t="shared" si="120"/>
        <v>0</v>
      </c>
    </row>
    <row r="574" spans="9:17" ht="13.9" x14ac:dyDescent="0.4">
      <c r="I574" s="1073">
        <f t="shared" si="119"/>
        <v>0</v>
      </c>
      <c r="J574" s="159" t="str">
        <f>A4_Chem_Prices!E$9</f>
        <v>MSMA 6</v>
      </c>
      <c r="K574" s="1350" t="s">
        <v>839</v>
      </c>
      <c r="L574" s="160" t="str">
        <f>A4_Chem_Prices!F$9</f>
        <v>qt</v>
      </c>
      <c r="M574" s="159">
        <f>A4_Chem_Prices!G$9</f>
        <v>14.375</v>
      </c>
      <c r="N574" s="157">
        <v>1.5</v>
      </c>
      <c r="O574" s="82">
        <f t="shared" si="118"/>
        <v>21.5625</v>
      </c>
      <c r="P574" s="160">
        <f>N574*16</f>
        <v>24</v>
      </c>
      <c r="Q574" s="1071">
        <f t="shared" si="120"/>
        <v>0</v>
      </c>
    </row>
    <row r="575" spans="9:17" ht="13.9" x14ac:dyDescent="0.4">
      <c r="I575" s="1073">
        <f t="shared" si="119"/>
        <v>0</v>
      </c>
      <c r="J575" s="159" t="s">
        <v>19</v>
      </c>
      <c r="K575" s="1350" t="s">
        <v>839</v>
      </c>
      <c r="L575" s="160"/>
      <c r="M575" s="159">
        <v>0</v>
      </c>
      <c r="N575" s="157">
        <v>0</v>
      </c>
      <c r="O575" s="82">
        <f t="shared" si="118"/>
        <v>0</v>
      </c>
      <c r="P575" s="160">
        <f>N575*16</f>
        <v>0</v>
      </c>
      <c r="Q575" s="1071">
        <f t="shared" si="120"/>
        <v>0</v>
      </c>
    </row>
    <row r="576" spans="9:17" ht="13.9" x14ac:dyDescent="0.4">
      <c r="I576" s="1073">
        <f t="shared" si="119"/>
        <v>0</v>
      </c>
      <c r="J576" s="159" t="s">
        <v>19</v>
      </c>
      <c r="K576" s="1350" t="s">
        <v>839</v>
      </c>
      <c r="L576" s="160"/>
      <c r="M576" s="159">
        <v>0</v>
      </c>
      <c r="N576" s="157">
        <v>0</v>
      </c>
      <c r="O576" s="82">
        <f t="shared" si="118"/>
        <v>0</v>
      </c>
      <c r="P576" s="1449">
        <f>N576</f>
        <v>0</v>
      </c>
      <c r="Q576" s="1071">
        <f t="shared" si="120"/>
        <v>0</v>
      </c>
    </row>
    <row r="577" spans="9:17" ht="13.9" x14ac:dyDescent="0.4">
      <c r="I577" s="1073">
        <f t="shared" si="119"/>
        <v>0</v>
      </c>
      <c r="J577" s="159" t="s">
        <v>19</v>
      </c>
      <c r="K577" s="1350" t="s">
        <v>839</v>
      </c>
      <c r="L577" s="160"/>
      <c r="M577" s="159">
        <v>0</v>
      </c>
      <c r="N577" s="157">
        <v>0</v>
      </c>
      <c r="O577" s="82">
        <f t="shared" si="118"/>
        <v>0</v>
      </c>
      <c r="P577" s="160">
        <f>N577*32</f>
        <v>0</v>
      </c>
      <c r="Q577" s="1071">
        <f t="shared" si="120"/>
        <v>0</v>
      </c>
    </row>
    <row r="578" spans="9:17" ht="13.9" x14ac:dyDescent="0.4">
      <c r="I578" s="1071"/>
      <c r="J578" s="86" t="s">
        <v>22</v>
      </c>
      <c r="K578" s="86"/>
      <c r="L578" s="86"/>
      <c r="M578" s="81"/>
      <c r="N578" s="87"/>
      <c r="O578" s="88">
        <f>SUM(O564:O577)</f>
        <v>112.36137499999998</v>
      </c>
      <c r="P578" s="86"/>
      <c r="Q578" s="1071"/>
    </row>
    <row r="579" spans="9:17" ht="13.9" x14ac:dyDescent="0.4">
      <c r="I579" s="1071"/>
      <c r="J579" s="83"/>
      <c r="K579" s="83"/>
      <c r="L579" s="83"/>
      <c r="M579" s="83"/>
      <c r="N579" s="84"/>
      <c r="O579" s="83"/>
      <c r="P579" s="83"/>
      <c r="Q579" s="1071"/>
    </row>
    <row r="580" spans="9:17" ht="13.9" x14ac:dyDescent="0.4">
      <c r="I580" s="1071"/>
      <c r="J580" s="78" t="s">
        <v>20</v>
      </c>
      <c r="K580" s="78"/>
      <c r="L580" s="78"/>
      <c r="M580" s="79"/>
      <c r="N580" s="85"/>
      <c r="O580" s="79"/>
      <c r="P580" s="78"/>
      <c r="Q580" s="1071"/>
    </row>
    <row r="581" spans="9:17" ht="13.9" x14ac:dyDescent="0.4">
      <c r="I581" s="1071"/>
      <c r="J581" s="80" t="s">
        <v>212</v>
      </c>
      <c r="K581" s="80" t="s">
        <v>838</v>
      </c>
      <c r="L581" s="80" t="s">
        <v>2</v>
      </c>
      <c r="M581" s="80" t="s">
        <v>21</v>
      </c>
      <c r="N581" s="80" t="s">
        <v>174</v>
      </c>
      <c r="O581" s="80" t="s">
        <v>14</v>
      </c>
      <c r="P581" s="80" t="s">
        <v>890</v>
      </c>
      <c r="Q581" s="1071"/>
    </row>
    <row r="582" spans="9:17" ht="13.9" x14ac:dyDescent="0.4">
      <c r="I582" s="1073">
        <f>IF($A$1=10,I577+1,0)</f>
        <v>0</v>
      </c>
      <c r="J582" s="159" t="str">
        <f>A4_Chem_Prices!E$18</f>
        <v>Centric</v>
      </c>
      <c r="K582" s="1350" t="s">
        <v>839</v>
      </c>
      <c r="L582" s="160" t="str">
        <f>A4_Chem_Prices!F$18</f>
        <v>oz</v>
      </c>
      <c r="M582" s="159">
        <f>A4_Chem_Prices!G$18</f>
        <v>5.95</v>
      </c>
      <c r="N582" s="157">
        <v>2</v>
      </c>
      <c r="O582" s="82">
        <f t="shared" ref="O582:O591" si="121">M582*N582</f>
        <v>11.9</v>
      </c>
      <c r="P582" s="1449">
        <f t="shared" ref="P582:P590" si="122">N582</f>
        <v>2</v>
      </c>
      <c r="Q582" s="1071">
        <f>Q564</f>
        <v>0</v>
      </c>
    </row>
    <row r="583" spans="9:17" ht="13.9" x14ac:dyDescent="0.4">
      <c r="I583" s="1073">
        <f t="shared" ref="I583:I591" si="123">IF($A$1=10,I582+1,0)</f>
        <v>0</v>
      </c>
      <c r="J583" s="159" t="str">
        <f>A4_Chem_Prices!E$19</f>
        <v>Diamond</v>
      </c>
      <c r="K583" s="1350" t="s">
        <v>839</v>
      </c>
      <c r="L583" s="160" t="str">
        <f>A4_Chem_Prices!F$19</f>
        <v>oz</v>
      </c>
      <c r="M583" s="159">
        <f>A4_Chem_Prices!G$19</f>
        <v>1.1971354166666666</v>
      </c>
      <c r="N583" s="157">
        <v>6</v>
      </c>
      <c r="O583" s="82">
        <f t="shared" si="121"/>
        <v>7.1828124999999989</v>
      </c>
      <c r="P583" s="1449">
        <f t="shared" si="122"/>
        <v>6</v>
      </c>
      <c r="Q583" s="1071">
        <f>Q582</f>
        <v>0</v>
      </c>
    </row>
    <row r="584" spans="9:17" ht="13.9" x14ac:dyDescent="0.4">
      <c r="I584" s="1073">
        <f t="shared" si="123"/>
        <v>0</v>
      </c>
      <c r="J584" s="159" t="str">
        <f>A4_Chem_Prices!E$18</f>
        <v>Centric</v>
      </c>
      <c r="K584" s="1350" t="s">
        <v>839</v>
      </c>
      <c r="L584" s="160" t="str">
        <f>A4_Chem_Prices!F$18</f>
        <v>oz</v>
      </c>
      <c r="M584" s="159">
        <f>A4_Chem_Prices!G$18</f>
        <v>5.95</v>
      </c>
      <c r="N584" s="157">
        <v>2</v>
      </c>
      <c r="O584" s="82">
        <f t="shared" si="121"/>
        <v>11.9</v>
      </c>
      <c r="P584" s="1449">
        <f t="shared" si="122"/>
        <v>2</v>
      </c>
      <c r="Q584" s="1071">
        <f t="shared" ref="Q584:Q591" si="124">Q583</f>
        <v>0</v>
      </c>
    </row>
    <row r="585" spans="9:17" ht="13.9" x14ac:dyDescent="0.4">
      <c r="I585" s="1073">
        <f t="shared" si="123"/>
        <v>0</v>
      </c>
      <c r="J585" s="159" t="str">
        <f>A4_Chem_Prices!E$19</f>
        <v>Diamond</v>
      </c>
      <c r="K585" s="1350" t="s">
        <v>839</v>
      </c>
      <c r="L585" s="160" t="str">
        <f>A4_Chem_Prices!F$19</f>
        <v>oz</v>
      </c>
      <c r="M585" s="159">
        <f>A4_Chem_Prices!G$19</f>
        <v>1.1971354166666666</v>
      </c>
      <c r="N585" s="157">
        <v>6</v>
      </c>
      <c r="O585" s="82">
        <f t="shared" si="121"/>
        <v>7.1828124999999989</v>
      </c>
      <c r="P585" s="1449">
        <f t="shared" si="122"/>
        <v>6</v>
      </c>
      <c r="Q585" s="1071">
        <f t="shared" si="124"/>
        <v>0</v>
      </c>
    </row>
    <row r="586" spans="9:17" ht="13.9" x14ac:dyDescent="0.4">
      <c r="I586" s="1073">
        <f t="shared" si="123"/>
        <v>0</v>
      </c>
      <c r="J586" s="159" t="s">
        <v>19</v>
      </c>
      <c r="K586" s="1350" t="s">
        <v>839</v>
      </c>
      <c r="L586" s="160"/>
      <c r="M586" s="159">
        <v>0</v>
      </c>
      <c r="N586" s="157">
        <v>0</v>
      </c>
      <c r="O586" s="82">
        <f t="shared" si="121"/>
        <v>0</v>
      </c>
      <c r="P586" s="1449">
        <f t="shared" si="122"/>
        <v>0</v>
      </c>
      <c r="Q586" s="1071">
        <f t="shared" si="124"/>
        <v>0</v>
      </c>
    </row>
    <row r="587" spans="9:17" ht="13.9" x14ac:dyDescent="0.4">
      <c r="I587" s="1073">
        <f t="shared" si="123"/>
        <v>0</v>
      </c>
      <c r="J587" s="159" t="s">
        <v>19</v>
      </c>
      <c r="K587" s="1350" t="s">
        <v>839</v>
      </c>
      <c r="L587" s="160"/>
      <c r="M587" s="159">
        <v>0</v>
      </c>
      <c r="N587" s="157">
        <v>0</v>
      </c>
      <c r="O587" s="82">
        <f t="shared" si="121"/>
        <v>0</v>
      </c>
      <c r="P587" s="1449">
        <f t="shared" si="122"/>
        <v>0</v>
      </c>
      <c r="Q587" s="1071">
        <f t="shared" si="124"/>
        <v>0</v>
      </c>
    </row>
    <row r="588" spans="9:17" ht="13.9" x14ac:dyDescent="0.4">
      <c r="I588" s="1073">
        <f t="shared" si="123"/>
        <v>0</v>
      </c>
      <c r="J588" s="159" t="s">
        <v>19</v>
      </c>
      <c r="K588" s="1350" t="s">
        <v>839</v>
      </c>
      <c r="L588" s="160"/>
      <c r="M588" s="159">
        <v>0</v>
      </c>
      <c r="N588" s="157">
        <v>0</v>
      </c>
      <c r="O588" s="82">
        <f t="shared" si="121"/>
        <v>0</v>
      </c>
      <c r="P588" s="1449">
        <f t="shared" si="122"/>
        <v>0</v>
      </c>
      <c r="Q588" s="1071">
        <f t="shared" si="124"/>
        <v>0</v>
      </c>
    </row>
    <row r="589" spans="9:17" ht="13.9" x14ac:dyDescent="0.4">
      <c r="I589" s="1073">
        <f t="shared" si="123"/>
        <v>0</v>
      </c>
      <c r="J589" s="159" t="s">
        <v>19</v>
      </c>
      <c r="K589" s="1350" t="s">
        <v>839</v>
      </c>
      <c r="L589" s="160"/>
      <c r="M589" s="159">
        <v>0</v>
      </c>
      <c r="N589" s="157">
        <v>0</v>
      </c>
      <c r="O589" s="82">
        <f t="shared" si="121"/>
        <v>0</v>
      </c>
      <c r="P589" s="1449">
        <f t="shared" si="122"/>
        <v>0</v>
      </c>
      <c r="Q589" s="1071">
        <f t="shared" si="124"/>
        <v>0</v>
      </c>
    </row>
    <row r="590" spans="9:17" ht="13.9" x14ac:dyDescent="0.4">
      <c r="I590" s="1073">
        <f t="shared" si="123"/>
        <v>0</v>
      </c>
      <c r="J590" s="159" t="s">
        <v>19</v>
      </c>
      <c r="K590" s="1350" t="s">
        <v>839</v>
      </c>
      <c r="L590" s="160"/>
      <c r="M590" s="159">
        <v>0</v>
      </c>
      <c r="N590" s="157">
        <v>0</v>
      </c>
      <c r="O590" s="82">
        <f t="shared" si="121"/>
        <v>0</v>
      </c>
      <c r="P590" s="1449">
        <f t="shared" si="122"/>
        <v>0</v>
      </c>
      <c r="Q590" s="1071">
        <f t="shared" si="124"/>
        <v>0</v>
      </c>
    </row>
    <row r="591" spans="9:17" ht="13.9" x14ac:dyDescent="0.4">
      <c r="I591" s="1073">
        <f t="shared" si="123"/>
        <v>0</v>
      </c>
      <c r="J591" s="159" t="s">
        <v>19</v>
      </c>
      <c r="K591" s="1350" t="s">
        <v>839</v>
      </c>
      <c r="L591" s="160"/>
      <c r="M591" s="159">
        <v>0</v>
      </c>
      <c r="N591" s="157">
        <v>0</v>
      </c>
      <c r="O591" s="82">
        <f t="shared" si="121"/>
        <v>0</v>
      </c>
      <c r="P591" s="158"/>
      <c r="Q591" s="1071">
        <f t="shared" si="124"/>
        <v>0</v>
      </c>
    </row>
    <row r="592" spans="9:17" ht="13.9" x14ac:dyDescent="0.4">
      <c r="I592" s="1071"/>
      <c r="J592" s="86" t="s">
        <v>22</v>
      </c>
      <c r="K592" s="86"/>
      <c r="L592" s="86"/>
      <c r="M592" s="81"/>
      <c r="N592" s="87"/>
      <c r="O592" s="88">
        <f>SUM(O582:O591)</f>
        <v>38.165624999999999</v>
      </c>
      <c r="P592" s="86"/>
      <c r="Q592" s="1071"/>
    </row>
    <row r="594" spans="9:17" ht="13.9" x14ac:dyDescent="0.4">
      <c r="I594" s="1071"/>
      <c r="J594" s="78" t="str">
        <f>IF(OR(A2_Budget_Look_Up!$B$7=1,A2_Budget_Look_Up!$B$13=1),"Nematicide Detail", "Fungicide Detail")</f>
        <v>Fungicide Detail</v>
      </c>
      <c r="K594" s="78"/>
      <c r="L594" s="78"/>
      <c r="M594" s="79"/>
      <c r="N594" s="85"/>
      <c r="O594" s="79"/>
      <c r="P594" s="78"/>
      <c r="Q594" s="1071"/>
    </row>
    <row r="595" spans="9:17" ht="13.9" x14ac:dyDescent="0.4">
      <c r="I595" s="1071"/>
      <c r="J595" s="80" t="s">
        <v>212</v>
      </c>
      <c r="K595" s="80" t="s">
        <v>838</v>
      </c>
      <c r="L595" s="80" t="s">
        <v>2</v>
      </c>
      <c r="M595" s="80" t="s">
        <v>21</v>
      </c>
      <c r="N595" s="80" t="s">
        <v>174</v>
      </c>
      <c r="O595" s="80" t="s">
        <v>14</v>
      </c>
      <c r="P595" s="80" t="s">
        <v>890</v>
      </c>
      <c r="Q595" s="1071"/>
    </row>
    <row r="596" spans="9:17" ht="13.9" x14ac:dyDescent="0.4">
      <c r="I596" s="1073">
        <f>IF($A$1=10,I591+1,0)</f>
        <v>0</v>
      </c>
      <c r="J596" s="156" t="s">
        <v>19</v>
      </c>
      <c r="K596" s="1350" t="s">
        <v>839</v>
      </c>
      <c r="L596" s="158"/>
      <c r="M596" s="159">
        <v>0</v>
      </c>
      <c r="N596" s="157">
        <v>0</v>
      </c>
      <c r="O596" s="82">
        <f>M596*N596</f>
        <v>0</v>
      </c>
      <c r="P596" s="158"/>
      <c r="Q596" s="1071">
        <f>Q591</f>
        <v>0</v>
      </c>
    </row>
    <row r="597" spans="9:17" ht="13.9" x14ac:dyDescent="0.4">
      <c r="I597" s="1073">
        <f>IF($A$1=10,I596+1,0)</f>
        <v>0</v>
      </c>
      <c r="J597" s="156" t="s">
        <v>19</v>
      </c>
      <c r="K597" s="1350" t="s">
        <v>839</v>
      </c>
      <c r="L597" s="158"/>
      <c r="M597" s="159">
        <v>0</v>
      </c>
      <c r="N597" s="157">
        <v>0</v>
      </c>
      <c r="O597" s="82">
        <f>M597*N597</f>
        <v>0</v>
      </c>
      <c r="P597" s="158"/>
      <c r="Q597" s="1071">
        <f>Q596</f>
        <v>0</v>
      </c>
    </row>
    <row r="598" spans="9:17" ht="13.9" x14ac:dyDescent="0.4">
      <c r="I598" s="1071"/>
      <c r="J598" s="86" t="s">
        <v>22</v>
      </c>
      <c r="K598" s="86"/>
      <c r="L598" s="86"/>
      <c r="M598" s="81"/>
      <c r="N598" s="87"/>
      <c r="O598" s="88">
        <f>SUM(O596:O597)</f>
        <v>0</v>
      </c>
      <c r="P598" s="86"/>
      <c r="Q598" s="1071"/>
    </row>
    <row r="599" spans="9:17" ht="13.9" x14ac:dyDescent="0.4">
      <c r="I599" s="1071"/>
      <c r="J599" s="83"/>
      <c r="K599" s="83"/>
      <c r="L599" s="83"/>
      <c r="M599" s="83"/>
      <c r="N599" s="84"/>
      <c r="O599" s="83"/>
      <c r="P599" s="83"/>
      <c r="Q599" s="1071"/>
    </row>
    <row r="600" spans="9:17" ht="13.9" x14ac:dyDescent="0.4">
      <c r="I600" s="1071"/>
      <c r="J600" s="78" t="str">
        <f>IF(A2_Budget_Look_Up!$B$7=1,"Growth Regulator Detail", IF(A2_Budget_Look_Up!$B$13=1,"Fungicide Detail","Other Chemical Detail"))</f>
        <v>Other Chemical Detail</v>
      </c>
      <c r="K600" s="78"/>
      <c r="L600" s="78"/>
      <c r="M600" s="79"/>
      <c r="N600" s="85"/>
      <c r="O600" s="79"/>
      <c r="P600" s="78"/>
      <c r="Q600" s="1071"/>
    </row>
    <row r="601" spans="9:17" ht="13.9" x14ac:dyDescent="0.4">
      <c r="I601" s="1071"/>
      <c r="J601" s="80" t="s">
        <v>212</v>
      </c>
      <c r="K601" s="80" t="s">
        <v>838</v>
      </c>
      <c r="L601" s="80" t="s">
        <v>2</v>
      </c>
      <c r="M601" s="80" t="s">
        <v>21</v>
      </c>
      <c r="N601" s="80" t="s">
        <v>174</v>
      </c>
      <c r="O601" s="80" t="s">
        <v>14</v>
      </c>
      <c r="P601" s="80" t="s">
        <v>890</v>
      </c>
      <c r="Q601" s="1071"/>
    </row>
    <row r="602" spans="9:17" ht="13.9" x14ac:dyDescent="0.4">
      <c r="I602" s="1073">
        <f>IF($A$1=10,I597+1,0)</f>
        <v>0</v>
      </c>
      <c r="J602" s="156" t="str">
        <f>A4_Chem_Prices!E$26</f>
        <v>Mepiquat</v>
      </c>
      <c r="K602" s="1350" t="s">
        <v>839</v>
      </c>
      <c r="L602" s="158" t="str">
        <f>A4_Chem_Prices!F$26</f>
        <v>oz</v>
      </c>
      <c r="M602" s="159">
        <f>A4_Chem_Prices!G$26</f>
        <v>4.9796874999999997E-2</v>
      </c>
      <c r="N602" s="157">
        <v>16</v>
      </c>
      <c r="O602" s="82">
        <f t="shared" ref="O602:O608" si="125">M602*N602</f>
        <v>0.79674999999999996</v>
      </c>
      <c r="P602" s="1449">
        <f>N602</f>
        <v>16</v>
      </c>
      <c r="Q602" s="1071">
        <f>Q597</f>
        <v>0</v>
      </c>
    </row>
    <row r="603" spans="9:17" ht="13.9" x14ac:dyDescent="0.4">
      <c r="I603" s="1073">
        <f t="shared" ref="I603:I608" si="126">IF($A$1=10,I602+1,0)</f>
        <v>0</v>
      </c>
      <c r="J603" s="156" t="str">
        <f>A4_Chem_Prices!E$26</f>
        <v>Mepiquat</v>
      </c>
      <c r="K603" s="1350" t="s">
        <v>839</v>
      </c>
      <c r="L603" s="158" t="str">
        <f>A4_Chem_Prices!F$26</f>
        <v>oz</v>
      </c>
      <c r="M603" s="159">
        <f>A4_Chem_Prices!G$26</f>
        <v>4.9796874999999997E-2</v>
      </c>
      <c r="N603" s="157">
        <v>20</v>
      </c>
      <c r="O603" s="82">
        <f>M603*N603</f>
        <v>0.99593749999999992</v>
      </c>
      <c r="P603" s="1449">
        <f>N603</f>
        <v>20</v>
      </c>
      <c r="Q603" s="1071">
        <f t="shared" ref="Q603:Q608" si="127">Q602</f>
        <v>0</v>
      </c>
    </row>
    <row r="604" spans="9:17" ht="13.9" x14ac:dyDescent="0.4">
      <c r="I604" s="1073">
        <f t="shared" si="126"/>
        <v>0</v>
      </c>
      <c r="J604" s="156" t="str">
        <f>A4_Chem_Prices!E$26</f>
        <v>Mepiquat</v>
      </c>
      <c r="K604" s="1350" t="s">
        <v>839</v>
      </c>
      <c r="L604" s="158" t="str">
        <f>A4_Chem_Prices!F$26</f>
        <v>oz</v>
      </c>
      <c r="M604" s="159">
        <f>A4_Chem_Prices!G$26</f>
        <v>4.9796874999999997E-2</v>
      </c>
      <c r="N604" s="157">
        <v>20</v>
      </c>
      <c r="O604" s="82">
        <f>M604*N604</f>
        <v>0.99593749999999992</v>
      </c>
      <c r="P604" s="1449">
        <f>N604</f>
        <v>20</v>
      </c>
      <c r="Q604" s="1071">
        <f t="shared" si="127"/>
        <v>0</v>
      </c>
    </row>
    <row r="605" spans="9:17" ht="13.9" x14ac:dyDescent="0.4">
      <c r="I605" s="1073">
        <f t="shared" si="126"/>
        <v>0</v>
      </c>
      <c r="J605" s="156" t="str">
        <f>A4_Chem_Prices!E$26</f>
        <v>Mepiquat</v>
      </c>
      <c r="K605" s="1350" t="s">
        <v>839</v>
      </c>
      <c r="L605" s="158" t="str">
        <f>A4_Chem_Prices!F$26</f>
        <v>oz</v>
      </c>
      <c r="M605" s="159">
        <f>A4_Chem_Prices!G$26</f>
        <v>4.9796874999999997E-2</v>
      </c>
      <c r="N605" s="157">
        <v>20</v>
      </c>
      <c r="O605" s="82">
        <f>M605*N605</f>
        <v>0.99593749999999992</v>
      </c>
      <c r="P605" s="1449">
        <f>N605</f>
        <v>20</v>
      </c>
      <c r="Q605" s="1071">
        <f t="shared" si="127"/>
        <v>0</v>
      </c>
    </row>
    <row r="606" spans="9:17" ht="13.9" x14ac:dyDescent="0.4">
      <c r="I606" s="1073">
        <f t="shared" si="126"/>
        <v>0</v>
      </c>
      <c r="J606" s="156" t="s">
        <v>19</v>
      </c>
      <c r="K606" s="1350" t="s">
        <v>839</v>
      </c>
      <c r="L606" s="158"/>
      <c r="M606" s="159">
        <v>0</v>
      </c>
      <c r="N606" s="157">
        <v>0</v>
      </c>
      <c r="O606" s="82">
        <f t="shared" si="125"/>
        <v>0</v>
      </c>
      <c r="P606" s="158"/>
      <c r="Q606" s="1071">
        <f t="shared" si="127"/>
        <v>0</v>
      </c>
    </row>
    <row r="607" spans="9:17" ht="13.9" x14ac:dyDescent="0.4">
      <c r="I607" s="1073">
        <f t="shared" si="126"/>
        <v>0</v>
      </c>
      <c r="J607" s="156" t="s">
        <v>19</v>
      </c>
      <c r="K607" s="1350" t="s">
        <v>839</v>
      </c>
      <c r="L607" s="158"/>
      <c r="M607" s="159">
        <v>0</v>
      </c>
      <c r="N607" s="157">
        <v>0</v>
      </c>
      <c r="O607" s="82">
        <f t="shared" si="125"/>
        <v>0</v>
      </c>
      <c r="P607" s="158"/>
      <c r="Q607" s="1071">
        <f t="shared" si="127"/>
        <v>0</v>
      </c>
    </row>
    <row r="608" spans="9:17" ht="13.9" x14ac:dyDescent="0.4">
      <c r="I608" s="1073">
        <f t="shared" si="126"/>
        <v>0</v>
      </c>
      <c r="J608" s="156" t="s">
        <v>19</v>
      </c>
      <c r="K608" s="1350" t="s">
        <v>839</v>
      </c>
      <c r="L608" s="158"/>
      <c r="M608" s="159">
        <v>0</v>
      </c>
      <c r="N608" s="157">
        <v>0</v>
      </c>
      <c r="O608" s="82">
        <f t="shared" si="125"/>
        <v>0</v>
      </c>
      <c r="P608" s="158"/>
      <c r="Q608" s="1071">
        <f t="shared" si="127"/>
        <v>0</v>
      </c>
    </row>
    <row r="609" spans="9:17" ht="13.9" x14ac:dyDescent="0.4">
      <c r="I609" s="1071"/>
      <c r="J609" s="86" t="s">
        <v>22</v>
      </c>
      <c r="K609" s="86"/>
      <c r="L609" s="86"/>
      <c r="M609" s="81"/>
      <c r="N609" s="87"/>
      <c r="O609" s="88">
        <f>SUM(O602:O608)</f>
        <v>3.7845624999999998</v>
      </c>
      <c r="P609" s="86"/>
      <c r="Q609" s="1071"/>
    </row>
    <row r="610" spans="9:17" ht="13.9" x14ac:dyDescent="0.4">
      <c r="I610" s="1071"/>
      <c r="J610" s="83"/>
      <c r="K610" s="83"/>
      <c r="L610" s="83"/>
      <c r="M610" s="83"/>
      <c r="N610" s="84"/>
      <c r="O610" s="83"/>
      <c r="P610" s="83"/>
      <c r="Q610" s="1071"/>
    </row>
    <row r="611" spans="9:17" ht="13.9" x14ac:dyDescent="0.4">
      <c r="I611" s="1071"/>
      <c r="J611" s="78" t="str">
        <f>IF(A2_Budget_Look_Up!$B$7=1,"Defoliant Detail", "Other Chemical Detail")</f>
        <v>Other Chemical Detail</v>
      </c>
      <c r="K611" s="78"/>
      <c r="L611" s="78"/>
      <c r="M611" s="79"/>
      <c r="N611" s="85"/>
      <c r="O611" s="79"/>
      <c r="P611" s="78"/>
      <c r="Q611" s="1071"/>
    </row>
    <row r="612" spans="9:17" ht="13.9" x14ac:dyDescent="0.4">
      <c r="I612" s="1071"/>
      <c r="J612" s="80" t="s">
        <v>212</v>
      </c>
      <c r="K612" s="80" t="s">
        <v>838</v>
      </c>
      <c r="L612" s="80" t="s">
        <v>2</v>
      </c>
      <c r="M612" s="80" t="s">
        <v>21</v>
      </c>
      <c r="N612" s="80" t="s">
        <v>174</v>
      </c>
      <c r="O612" s="80" t="s">
        <v>14</v>
      </c>
      <c r="P612" s="80" t="s">
        <v>890</v>
      </c>
      <c r="Q612" s="1071"/>
    </row>
    <row r="613" spans="9:17" ht="13.9" x14ac:dyDescent="0.4">
      <c r="I613" s="1073">
        <f>IF($A$1=10,I608+1,0)</f>
        <v>0</v>
      </c>
      <c r="J613" s="156" t="str">
        <f>A4_Chem_Prices!E$28</f>
        <v>Dropp</v>
      </c>
      <c r="K613" s="1350" t="s">
        <v>839</v>
      </c>
      <c r="L613" s="158" t="str">
        <f>A4_Chem_Prices!F$28</f>
        <v>oz</v>
      </c>
      <c r="M613" s="159">
        <f>A4_Chem_Prices!G$28</f>
        <v>0.78125</v>
      </c>
      <c r="N613" s="157">
        <v>2</v>
      </c>
      <c r="O613" s="82">
        <f t="shared" ref="O613:O619" si="128">M613*N613</f>
        <v>1.5625</v>
      </c>
      <c r="P613" s="1449">
        <f>N613</f>
        <v>2</v>
      </c>
      <c r="Q613" s="1071">
        <f>Q608</f>
        <v>0</v>
      </c>
    </row>
    <row r="614" spans="9:17" ht="13.9" x14ac:dyDescent="0.4">
      <c r="I614" s="1073">
        <f t="shared" ref="I614:I619" si="129">IF($A$1=10,I613+1,0)</f>
        <v>0</v>
      </c>
      <c r="J614" s="156" t="str">
        <f>A4_Chem_Prices!E$29</f>
        <v>Folex</v>
      </c>
      <c r="K614" s="1350" t="s">
        <v>839</v>
      </c>
      <c r="L614" s="158" t="str">
        <f>A4_Chem_Prices!F$29</f>
        <v>oz</v>
      </c>
      <c r="M614" s="159">
        <f>A4_Chem_Prices!G$29</f>
        <v>0.5234375</v>
      </c>
      <c r="N614" s="157">
        <v>6</v>
      </c>
      <c r="O614" s="82">
        <f t="shared" si="128"/>
        <v>3.140625</v>
      </c>
      <c r="P614" s="1449">
        <f>N614</f>
        <v>6</v>
      </c>
      <c r="Q614" s="1071">
        <f t="shared" ref="Q614:Q619" si="130">Q613</f>
        <v>0</v>
      </c>
    </row>
    <row r="615" spans="9:17" ht="13.9" x14ac:dyDescent="0.4">
      <c r="I615" s="1073">
        <f t="shared" si="129"/>
        <v>0</v>
      </c>
      <c r="J615" s="156" t="str">
        <f>A4_Chem_Prices!E$30</f>
        <v>Prep</v>
      </c>
      <c r="K615" s="1350" t="s">
        <v>839</v>
      </c>
      <c r="L615" s="158" t="str">
        <f>A4_Chem_Prices!F$30</f>
        <v>oz</v>
      </c>
      <c r="M615" s="159">
        <f>A4_Chem_Prices!G$30</f>
        <v>0.28125</v>
      </c>
      <c r="N615" s="157">
        <v>6</v>
      </c>
      <c r="O615" s="82">
        <f t="shared" si="128"/>
        <v>1.6875</v>
      </c>
      <c r="P615" s="1449">
        <f>N615</f>
        <v>6</v>
      </c>
      <c r="Q615" s="1071">
        <f t="shared" si="130"/>
        <v>0</v>
      </c>
    </row>
    <row r="616" spans="9:17" ht="13.9" x14ac:dyDescent="0.4">
      <c r="I616" s="1073">
        <f t="shared" si="129"/>
        <v>0</v>
      </c>
      <c r="J616" s="156" t="str">
        <f>A4_Chem_Prices!E$29</f>
        <v>Folex</v>
      </c>
      <c r="K616" s="1350" t="s">
        <v>839</v>
      </c>
      <c r="L616" s="158" t="str">
        <f>A4_Chem_Prices!F$29</f>
        <v>oz</v>
      </c>
      <c r="M616" s="159">
        <f>A4_Chem_Prices!G$29</f>
        <v>0.5234375</v>
      </c>
      <c r="N616" s="157">
        <v>8</v>
      </c>
      <c r="O616" s="82">
        <f t="shared" si="128"/>
        <v>4.1875</v>
      </c>
      <c r="P616" s="1449">
        <f>N616</f>
        <v>8</v>
      </c>
      <c r="Q616" s="1071">
        <f t="shared" si="130"/>
        <v>0</v>
      </c>
    </row>
    <row r="617" spans="9:17" ht="13.9" x14ac:dyDescent="0.4">
      <c r="I617" s="1073">
        <f t="shared" si="129"/>
        <v>0</v>
      </c>
      <c r="J617" s="156" t="str">
        <f>A4_Chem_Prices!E$30</f>
        <v>Prep</v>
      </c>
      <c r="K617" s="1350" t="s">
        <v>839</v>
      </c>
      <c r="L617" s="158" t="str">
        <f>A4_Chem_Prices!F$30</f>
        <v>oz</v>
      </c>
      <c r="M617" s="159">
        <f>A4_Chem_Prices!G$30</f>
        <v>0.28125</v>
      </c>
      <c r="N617" s="157">
        <v>32</v>
      </c>
      <c r="O617" s="82">
        <f t="shared" si="128"/>
        <v>9</v>
      </c>
      <c r="P617" s="1449">
        <f>N617</f>
        <v>32</v>
      </c>
      <c r="Q617" s="1071">
        <f t="shared" si="130"/>
        <v>0</v>
      </c>
    </row>
    <row r="618" spans="9:17" ht="13.9" x14ac:dyDescent="0.4">
      <c r="I618" s="1073">
        <f t="shared" si="129"/>
        <v>0</v>
      </c>
      <c r="J618" s="156" t="s">
        <v>19</v>
      </c>
      <c r="K618" s="1350" t="s">
        <v>839</v>
      </c>
      <c r="L618" s="158"/>
      <c r="M618" s="159">
        <v>0</v>
      </c>
      <c r="N618" s="157">
        <v>0</v>
      </c>
      <c r="O618" s="82">
        <f t="shared" si="128"/>
        <v>0</v>
      </c>
      <c r="P618" s="158"/>
      <c r="Q618" s="1071">
        <f t="shared" si="130"/>
        <v>0</v>
      </c>
    </row>
    <row r="619" spans="9:17" ht="13.9" x14ac:dyDescent="0.4">
      <c r="I619" s="1073">
        <f t="shared" si="129"/>
        <v>0</v>
      </c>
      <c r="J619" s="156" t="s">
        <v>19</v>
      </c>
      <c r="K619" s="1350" t="s">
        <v>839</v>
      </c>
      <c r="L619" s="158"/>
      <c r="M619" s="159">
        <v>0</v>
      </c>
      <c r="N619" s="157">
        <v>0</v>
      </c>
      <c r="O619" s="82">
        <f t="shared" si="128"/>
        <v>0</v>
      </c>
      <c r="P619" s="158"/>
      <c r="Q619" s="1071">
        <f t="shared" si="130"/>
        <v>0</v>
      </c>
    </row>
    <row r="620" spans="9:17" ht="13.9" x14ac:dyDescent="0.4">
      <c r="I620" s="1071"/>
      <c r="J620" s="86" t="s">
        <v>22</v>
      </c>
      <c r="K620" s="86"/>
      <c r="L620" s="86"/>
      <c r="M620" s="81"/>
      <c r="N620" s="87"/>
      <c r="O620" s="88">
        <f>SUM(O613:O619)</f>
        <v>19.578125</v>
      </c>
      <c r="P620" s="86"/>
      <c r="Q620" s="1071"/>
    </row>
    <row r="621" spans="9:17" ht="13.9" x14ac:dyDescent="0.4">
      <c r="I621" s="1071"/>
      <c r="J621" s="83"/>
      <c r="K621" s="83"/>
      <c r="L621" s="83"/>
      <c r="M621" s="89"/>
      <c r="N621" s="84"/>
      <c r="O621" s="89"/>
      <c r="P621" s="83"/>
      <c r="Q621" s="1071"/>
    </row>
    <row r="622" spans="9:17" ht="13.9" x14ac:dyDescent="0.4">
      <c r="I622" s="1071"/>
      <c r="J622" s="1168" t="str">
        <f>A2_Budget_Look_Up!H13</f>
        <v>Grain Sorghum, Furrow</v>
      </c>
      <c r="K622" s="1168"/>
      <c r="L622" s="1168">
        <f>A2_Budget_Look_Up!F13</f>
        <v>11</v>
      </c>
      <c r="M622" s="1168"/>
      <c r="N622" s="1168"/>
      <c r="O622" s="1168"/>
      <c r="P622" s="1168"/>
      <c r="Q622" s="1071"/>
    </row>
    <row r="623" spans="9:17" ht="13.9" x14ac:dyDescent="0.4">
      <c r="I623" s="1071"/>
      <c r="J623" s="83"/>
      <c r="K623" s="83"/>
      <c r="L623" s="83"/>
      <c r="M623" s="83"/>
      <c r="N623" s="84"/>
      <c r="O623" s="83"/>
      <c r="P623" s="83"/>
      <c r="Q623" s="1071"/>
    </row>
    <row r="624" spans="9:17" ht="13.9" x14ac:dyDescent="0.4">
      <c r="I624" s="1071"/>
      <c r="J624" s="78" t="s">
        <v>18</v>
      </c>
      <c r="K624" s="78"/>
      <c r="L624" s="78"/>
      <c r="M624" s="79"/>
      <c r="N624" s="85"/>
      <c r="O624" s="79"/>
      <c r="P624" s="78"/>
      <c r="Q624" s="1071"/>
    </row>
    <row r="625" spans="9:17" ht="13.9" x14ac:dyDescent="0.4">
      <c r="I625" s="1071"/>
      <c r="J625" s="80" t="s">
        <v>212</v>
      </c>
      <c r="K625" s="80" t="s">
        <v>838</v>
      </c>
      <c r="L625" s="80" t="s">
        <v>2</v>
      </c>
      <c r="M625" s="80" t="s">
        <v>21</v>
      </c>
      <c r="N625" s="80" t="s">
        <v>174</v>
      </c>
      <c r="O625" s="80" t="s">
        <v>14</v>
      </c>
      <c r="P625" s="80" t="s">
        <v>890</v>
      </c>
      <c r="Q625" s="1071"/>
    </row>
    <row r="626" spans="9:17" ht="13.9" x14ac:dyDescent="0.4">
      <c r="I626" s="1073">
        <f>IF($A$1=11,1,0)</f>
        <v>1</v>
      </c>
      <c r="J626" s="1092" t="str">
        <f>A4_Chem_Prices!K$2</f>
        <v>Roundup Powermax 3</v>
      </c>
      <c r="K626" s="1350" t="s">
        <v>839</v>
      </c>
      <c r="L626" s="1093" t="str">
        <f>A4_Chem_Prices!L$2</f>
        <v>pt</v>
      </c>
      <c r="M626" s="1092">
        <f>A4_Chem_Prices!M$2</f>
        <v>2.25</v>
      </c>
      <c r="N626" s="1094">
        <v>2</v>
      </c>
      <c r="O626" s="82">
        <f t="shared" ref="O626:O639" si="131">M626*N626</f>
        <v>4.5</v>
      </c>
      <c r="P626" s="160">
        <f>N626*16</f>
        <v>32</v>
      </c>
      <c r="Q626" s="1171">
        <f>IF(SUM(I626:I681)=820,L622,0)</f>
        <v>11</v>
      </c>
    </row>
    <row r="627" spans="9:17" ht="13.9" x14ac:dyDescent="0.4">
      <c r="I627" s="1073">
        <f t="shared" ref="I627:I639" si="132">IF($A$1=11,I626+1,0)</f>
        <v>2</v>
      </c>
      <c r="J627" s="1092" t="str">
        <f>A4_Chem_Prices!K$5</f>
        <v>2,4-D</v>
      </c>
      <c r="K627" s="1350" t="s">
        <v>839</v>
      </c>
      <c r="L627" s="1095" t="str">
        <f>A4_Chem_Prices!L$5</f>
        <v>pt</v>
      </c>
      <c r="M627" s="1092">
        <f>A4_Chem_Prices!M$5</f>
        <v>4.375</v>
      </c>
      <c r="N627" s="1094">
        <v>1.5</v>
      </c>
      <c r="O627" s="82">
        <f t="shared" si="131"/>
        <v>6.5625</v>
      </c>
      <c r="P627" s="160">
        <f>N627*16</f>
        <v>24</v>
      </c>
      <c r="Q627" s="1071">
        <f>Q626</f>
        <v>11</v>
      </c>
    </row>
    <row r="628" spans="9:17" ht="13.9" x14ac:dyDescent="0.4">
      <c r="I628" s="1073">
        <f t="shared" si="132"/>
        <v>3</v>
      </c>
      <c r="J628" s="1092" t="str">
        <f>A4_Chem_Prices!K$6</f>
        <v>Metolachlor</v>
      </c>
      <c r="K628" s="1350" t="s">
        <v>839</v>
      </c>
      <c r="L628" s="1095" t="str">
        <f>A4_Chem_Prices!L$6</f>
        <v>pt</v>
      </c>
      <c r="M628" s="1092">
        <f>A4_Chem_Prices!M$6</f>
        <v>5.0387500000000003</v>
      </c>
      <c r="N628" s="1094">
        <v>1.3</v>
      </c>
      <c r="O628" s="82">
        <f t="shared" si="131"/>
        <v>6.5503750000000007</v>
      </c>
      <c r="P628" s="160">
        <f>N628*16</f>
        <v>20.8</v>
      </c>
      <c r="Q628" s="1071">
        <f t="shared" ref="Q628:Q639" si="133">Q627</f>
        <v>11</v>
      </c>
    </row>
    <row r="629" spans="9:17" ht="13.9" x14ac:dyDescent="0.4">
      <c r="I629" s="1073">
        <f t="shared" si="132"/>
        <v>4</v>
      </c>
      <c r="J629" s="1092" t="str">
        <f>A4_Chem_Prices!K$6</f>
        <v>Metolachlor</v>
      </c>
      <c r="K629" s="1350" t="s">
        <v>839</v>
      </c>
      <c r="L629" s="1095" t="str">
        <f>A4_Chem_Prices!L$6</f>
        <v>pt</v>
      </c>
      <c r="M629" s="1092">
        <f>A4_Chem_Prices!M$6</f>
        <v>5.0387500000000003</v>
      </c>
      <c r="N629" s="1094">
        <v>1.3</v>
      </c>
      <c r="O629" s="82">
        <f>M629*N629</f>
        <v>6.5503750000000007</v>
      </c>
      <c r="P629" s="160">
        <f>N629*32</f>
        <v>41.6</v>
      </c>
      <c r="Q629" s="1071">
        <f t="shared" si="133"/>
        <v>11</v>
      </c>
    </row>
    <row r="630" spans="9:17" ht="13.9" x14ac:dyDescent="0.4">
      <c r="I630" s="1073">
        <f t="shared" si="132"/>
        <v>5</v>
      </c>
      <c r="J630" s="1092" t="str">
        <f>A4_Chem_Prices!K$4</f>
        <v>Atrazine</v>
      </c>
      <c r="K630" s="1350" t="s">
        <v>839</v>
      </c>
      <c r="L630" s="1095" t="str">
        <f>A4_Chem_Prices!L$4</f>
        <v>qt</v>
      </c>
      <c r="M630" s="1092">
        <f>A4_Chem_Prices!M$4</f>
        <v>4.1124999999999998</v>
      </c>
      <c r="N630" s="1094">
        <v>2</v>
      </c>
      <c r="O630" s="82">
        <f t="shared" si="131"/>
        <v>8.2249999999999996</v>
      </c>
      <c r="P630" s="160"/>
      <c r="Q630" s="1071">
        <f t="shared" si="133"/>
        <v>11</v>
      </c>
    </row>
    <row r="631" spans="9:17" ht="13.9" x14ac:dyDescent="0.4">
      <c r="I631" s="1073">
        <f t="shared" si="132"/>
        <v>6</v>
      </c>
      <c r="J631" s="159" t="s">
        <v>19</v>
      </c>
      <c r="K631" s="1350" t="s">
        <v>839</v>
      </c>
      <c r="L631" s="160"/>
      <c r="M631" s="159">
        <v>0</v>
      </c>
      <c r="N631" s="157">
        <v>0</v>
      </c>
      <c r="O631" s="82">
        <f t="shared" si="131"/>
        <v>0</v>
      </c>
      <c r="P631" s="160"/>
      <c r="Q631" s="1071">
        <f t="shared" si="133"/>
        <v>11</v>
      </c>
    </row>
    <row r="632" spans="9:17" ht="13.9" x14ac:dyDescent="0.4">
      <c r="I632" s="1073">
        <f t="shared" si="132"/>
        <v>7</v>
      </c>
      <c r="J632" s="159" t="s">
        <v>19</v>
      </c>
      <c r="K632" s="1350" t="s">
        <v>839</v>
      </c>
      <c r="L632" s="160"/>
      <c r="M632" s="159">
        <v>0</v>
      </c>
      <c r="N632" s="157">
        <v>0</v>
      </c>
      <c r="O632" s="82">
        <f t="shared" si="131"/>
        <v>0</v>
      </c>
      <c r="P632" s="160"/>
      <c r="Q632" s="1071">
        <f t="shared" si="133"/>
        <v>11</v>
      </c>
    </row>
    <row r="633" spans="9:17" ht="13.9" x14ac:dyDescent="0.4">
      <c r="I633" s="1073">
        <f t="shared" si="132"/>
        <v>8</v>
      </c>
      <c r="J633" s="159" t="s">
        <v>19</v>
      </c>
      <c r="K633" s="1350" t="s">
        <v>839</v>
      </c>
      <c r="L633" s="160"/>
      <c r="M633" s="159">
        <v>0</v>
      </c>
      <c r="N633" s="157">
        <v>0</v>
      </c>
      <c r="O633" s="82">
        <f t="shared" si="131"/>
        <v>0</v>
      </c>
      <c r="P633" s="160"/>
      <c r="Q633" s="1071">
        <f t="shared" si="133"/>
        <v>11</v>
      </c>
    </row>
    <row r="634" spans="9:17" ht="13.9" x14ac:dyDescent="0.4">
      <c r="I634" s="1073">
        <f t="shared" si="132"/>
        <v>9</v>
      </c>
      <c r="J634" s="159" t="s">
        <v>19</v>
      </c>
      <c r="K634" s="1350" t="s">
        <v>839</v>
      </c>
      <c r="L634" s="160"/>
      <c r="M634" s="159">
        <v>0</v>
      </c>
      <c r="N634" s="157">
        <v>0</v>
      </c>
      <c r="O634" s="82">
        <f t="shared" si="131"/>
        <v>0</v>
      </c>
      <c r="P634" s="160"/>
      <c r="Q634" s="1071">
        <f t="shared" si="133"/>
        <v>11</v>
      </c>
    </row>
    <row r="635" spans="9:17" ht="13.9" x14ac:dyDescent="0.4">
      <c r="I635" s="1073">
        <f t="shared" si="132"/>
        <v>10</v>
      </c>
      <c r="J635" s="159" t="s">
        <v>19</v>
      </c>
      <c r="K635" s="1350" t="s">
        <v>839</v>
      </c>
      <c r="L635" s="160"/>
      <c r="M635" s="159">
        <v>0</v>
      </c>
      <c r="N635" s="157">
        <v>0</v>
      </c>
      <c r="O635" s="82">
        <f t="shared" si="131"/>
        <v>0</v>
      </c>
      <c r="P635" s="160"/>
      <c r="Q635" s="1071">
        <f t="shared" si="133"/>
        <v>11</v>
      </c>
    </row>
    <row r="636" spans="9:17" ht="13.9" x14ac:dyDescent="0.4">
      <c r="I636" s="1073">
        <f t="shared" si="132"/>
        <v>11</v>
      </c>
      <c r="J636" s="159" t="s">
        <v>19</v>
      </c>
      <c r="K636" s="1350" t="s">
        <v>839</v>
      </c>
      <c r="L636" s="160"/>
      <c r="M636" s="159">
        <v>0</v>
      </c>
      <c r="N636" s="157">
        <v>0</v>
      </c>
      <c r="O636" s="82">
        <f t="shared" si="131"/>
        <v>0</v>
      </c>
      <c r="P636" s="160"/>
      <c r="Q636" s="1071">
        <f t="shared" si="133"/>
        <v>11</v>
      </c>
    </row>
    <row r="637" spans="9:17" ht="13.9" x14ac:dyDescent="0.4">
      <c r="I637" s="1073">
        <f t="shared" si="132"/>
        <v>12</v>
      </c>
      <c r="J637" s="159" t="s">
        <v>19</v>
      </c>
      <c r="K637" s="1350" t="s">
        <v>839</v>
      </c>
      <c r="L637" s="160"/>
      <c r="M637" s="159">
        <v>0</v>
      </c>
      <c r="N637" s="157">
        <v>0</v>
      </c>
      <c r="O637" s="82">
        <f t="shared" si="131"/>
        <v>0</v>
      </c>
      <c r="P637" s="160"/>
      <c r="Q637" s="1071">
        <f t="shared" si="133"/>
        <v>11</v>
      </c>
    </row>
    <row r="638" spans="9:17" ht="13.9" x14ac:dyDescent="0.4">
      <c r="I638" s="1073">
        <f t="shared" si="132"/>
        <v>13</v>
      </c>
      <c r="J638" s="159" t="s">
        <v>19</v>
      </c>
      <c r="K638" s="1350" t="s">
        <v>839</v>
      </c>
      <c r="L638" s="160"/>
      <c r="M638" s="159">
        <v>0</v>
      </c>
      <c r="N638" s="157">
        <v>0</v>
      </c>
      <c r="O638" s="82">
        <f t="shared" si="131"/>
        <v>0</v>
      </c>
      <c r="P638" s="160"/>
      <c r="Q638" s="1071">
        <f t="shared" si="133"/>
        <v>11</v>
      </c>
    </row>
    <row r="639" spans="9:17" ht="13.9" x14ac:dyDescent="0.4">
      <c r="I639" s="1073">
        <f t="shared" si="132"/>
        <v>14</v>
      </c>
      <c r="J639" s="159" t="s">
        <v>19</v>
      </c>
      <c r="K639" s="1350" t="s">
        <v>839</v>
      </c>
      <c r="L639" s="160"/>
      <c r="M639" s="159">
        <v>0</v>
      </c>
      <c r="N639" s="157">
        <v>0</v>
      </c>
      <c r="O639" s="82">
        <f t="shared" si="131"/>
        <v>0</v>
      </c>
      <c r="P639" s="160"/>
      <c r="Q639" s="1071">
        <f t="shared" si="133"/>
        <v>11</v>
      </c>
    </row>
    <row r="640" spans="9:17" ht="13.9" x14ac:dyDescent="0.4">
      <c r="I640" s="1071"/>
      <c r="J640" s="86" t="s">
        <v>22</v>
      </c>
      <c r="K640" s="86"/>
      <c r="L640" s="86"/>
      <c r="M640" s="81"/>
      <c r="N640" s="87"/>
      <c r="O640" s="88">
        <f>SUM(O626:O639)</f>
        <v>32.388250000000006</v>
      </c>
      <c r="P640" s="86"/>
      <c r="Q640" s="1071"/>
    </row>
    <row r="642" spans="9:17" ht="13.9" x14ac:dyDescent="0.4">
      <c r="I642" s="1071"/>
      <c r="J642" s="78" t="s">
        <v>20</v>
      </c>
      <c r="K642" s="78"/>
      <c r="L642" s="78"/>
      <c r="M642" s="79"/>
      <c r="N642" s="85"/>
      <c r="O642" s="79"/>
      <c r="P642" s="78"/>
      <c r="Q642" s="1071"/>
    </row>
    <row r="643" spans="9:17" ht="13.9" x14ac:dyDescent="0.4">
      <c r="I643" s="1071"/>
      <c r="J643" s="80" t="s">
        <v>212</v>
      </c>
      <c r="K643" s="80" t="s">
        <v>838</v>
      </c>
      <c r="L643" s="80" t="s">
        <v>2</v>
      </c>
      <c r="M643" s="80" t="s">
        <v>21</v>
      </c>
      <c r="N643" s="80" t="s">
        <v>174</v>
      </c>
      <c r="O643" s="80" t="s">
        <v>14</v>
      </c>
      <c r="P643" s="80" t="s">
        <v>890</v>
      </c>
      <c r="Q643" s="1071"/>
    </row>
    <row r="644" spans="9:17" ht="13.9" x14ac:dyDescent="0.4">
      <c r="I644" s="1073">
        <f>IF($A$1=11,I639+1,0)</f>
        <v>15</v>
      </c>
      <c r="J644" s="1092" t="str">
        <f>A4_Chem_Prices!K$21</f>
        <v>Prevathon</v>
      </c>
      <c r="K644" s="1350" t="s">
        <v>839</v>
      </c>
      <c r="L644" s="1095" t="str">
        <f>A4_Chem_Prices!L$21</f>
        <v>oz</v>
      </c>
      <c r="M644" s="1092">
        <f>A4_Chem_Prices!M$21</f>
        <v>1.05</v>
      </c>
      <c r="N644" s="1094">
        <v>14</v>
      </c>
      <c r="O644" s="82">
        <f t="shared" ref="O644:O653" si="134">M644*N644</f>
        <v>14.700000000000001</v>
      </c>
      <c r="P644" s="1449">
        <f>N644</f>
        <v>14</v>
      </c>
      <c r="Q644" s="1071">
        <f>Q626</f>
        <v>11</v>
      </c>
    </row>
    <row r="645" spans="9:17" ht="13.9" x14ac:dyDescent="0.4">
      <c r="I645" s="1073">
        <f t="shared" ref="I645:I653" si="135">IF($A$1=11,I644+1,0)</f>
        <v>16</v>
      </c>
      <c r="J645" s="1092" t="str">
        <f>A4_Chem_Prices!K$20</f>
        <v>Sivanto Prime</v>
      </c>
      <c r="K645" s="1350" t="s">
        <v>839</v>
      </c>
      <c r="L645" s="1095" t="str">
        <f>A4_Chem_Prices!L$20</f>
        <v>oz</v>
      </c>
      <c r="M645" s="1092">
        <f>A4_Chem_Prices!M$20</f>
        <v>3.01</v>
      </c>
      <c r="N645" s="1094">
        <v>4</v>
      </c>
      <c r="O645" s="82">
        <f>M645*N645</f>
        <v>12.04</v>
      </c>
      <c r="P645" s="1449">
        <f>N645</f>
        <v>4</v>
      </c>
      <c r="Q645" s="1071">
        <f>Q644</f>
        <v>11</v>
      </c>
    </row>
    <row r="646" spans="9:17" ht="13.9" x14ac:dyDescent="0.4">
      <c r="I646" s="1073">
        <f t="shared" si="135"/>
        <v>17</v>
      </c>
      <c r="J646" s="159" t="str">
        <f>A4_Chem_Prices!K$23</f>
        <v>Warrior</v>
      </c>
      <c r="K646" s="1350" t="s">
        <v>839</v>
      </c>
      <c r="L646" s="160" t="str">
        <f>A4_Chem_Prices!L$23</f>
        <v>oz</v>
      </c>
      <c r="M646" s="159">
        <f>A4_Chem_Prices!M$23</f>
        <v>3.02</v>
      </c>
      <c r="N646" s="157">
        <v>0.96</v>
      </c>
      <c r="O646" s="82">
        <f t="shared" si="134"/>
        <v>2.8992</v>
      </c>
      <c r="P646" s="158"/>
      <c r="Q646" s="1071">
        <f t="shared" ref="Q646:Q653" si="136">Q645</f>
        <v>11</v>
      </c>
    </row>
    <row r="647" spans="9:17" ht="13.9" x14ac:dyDescent="0.4">
      <c r="I647" s="1073">
        <f t="shared" si="135"/>
        <v>18</v>
      </c>
      <c r="J647" s="159" t="s">
        <v>19</v>
      </c>
      <c r="K647" s="1350" t="s">
        <v>839</v>
      </c>
      <c r="L647" s="160"/>
      <c r="M647" s="159">
        <v>0</v>
      </c>
      <c r="N647" s="157">
        <v>0</v>
      </c>
      <c r="O647" s="82">
        <f t="shared" si="134"/>
        <v>0</v>
      </c>
      <c r="P647" s="158"/>
      <c r="Q647" s="1071">
        <f t="shared" si="136"/>
        <v>11</v>
      </c>
    </row>
    <row r="648" spans="9:17" ht="13.9" x14ac:dyDescent="0.4">
      <c r="I648" s="1073">
        <f t="shared" si="135"/>
        <v>19</v>
      </c>
      <c r="J648" s="159" t="s">
        <v>19</v>
      </c>
      <c r="K648" s="1350" t="s">
        <v>839</v>
      </c>
      <c r="L648" s="160"/>
      <c r="M648" s="159">
        <v>0</v>
      </c>
      <c r="N648" s="157">
        <v>0</v>
      </c>
      <c r="O648" s="82">
        <f t="shared" si="134"/>
        <v>0</v>
      </c>
      <c r="P648" s="158"/>
      <c r="Q648" s="1071">
        <f t="shared" si="136"/>
        <v>11</v>
      </c>
    </row>
    <row r="649" spans="9:17" ht="13.9" x14ac:dyDescent="0.4">
      <c r="I649" s="1073">
        <f t="shared" si="135"/>
        <v>20</v>
      </c>
      <c r="J649" s="159" t="s">
        <v>19</v>
      </c>
      <c r="K649" s="1350" t="s">
        <v>839</v>
      </c>
      <c r="L649" s="160"/>
      <c r="M649" s="159">
        <v>0</v>
      </c>
      <c r="N649" s="157">
        <v>0</v>
      </c>
      <c r="O649" s="82">
        <f t="shared" si="134"/>
        <v>0</v>
      </c>
      <c r="P649" s="158"/>
      <c r="Q649" s="1071">
        <f t="shared" si="136"/>
        <v>11</v>
      </c>
    </row>
    <row r="650" spans="9:17" ht="13.9" x14ac:dyDescent="0.4">
      <c r="I650" s="1073">
        <f t="shared" si="135"/>
        <v>21</v>
      </c>
      <c r="J650" s="159" t="s">
        <v>19</v>
      </c>
      <c r="K650" s="1350" t="s">
        <v>839</v>
      </c>
      <c r="L650" s="160"/>
      <c r="M650" s="159">
        <v>0</v>
      </c>
      <c r="N650" s="157">
        <v>0</v>
      </c>
      <c r="O650" s="82">
        <f t="shared" si="134"/>
        <v>0</v>
      </c>
      <c r="P650" s="158"/>
      <c r="Q650" s="1071">
        <f t="shared" si="136"/>
        <v>11</v>
      </c>
    </row>
    <row r="651" spans="9:17" ht="13.9" x14ac:dyDescent="0.4">
      <c r="I651" s="1073">
        <f t="shared" si="135"/>
        <v>22</v>
      </c>
      <c r="J651" s="159" t="s">
        <v>19</v>
      </c>
      <c r="K651" s="1350" t="s">
        <v>839</v>
      </c>
      <c r="L651" s="160"/>
      <c r="M651" s="159">
        <v>0</v>
      </c>
      <c r="N651" s="157">
        <v>0</v>
      </c>
      <c r="O651" s="82">
        <f t="shared" si="134"/>
        <v>0</v>
      </c>
      <c r="P651" s="158"/>
      <c r="Q651" s="1071">
        <f t="shared" si="136"/>
        <v>11</v>
      </c>
    </row>
    <row r="652" spans="9:17" ht="13.9" x14ac:dyDescent="0.4">
      <c r="I652" s="1073">
        <f t="shared" si="135"/>
        <v>23</v>
      </c>
      <c r="J652" s="159" t="s">
        <v>19</v>
      </c>
      <c r="K652" s="1350" t="s">
        <v>839</v>
      </c>
      <c r="L652" s="160"/>
      <c r="M652" s="159">
        <v>0</v>
      </c>
      <c r="N652" s="157">
        <v>0</v>
      </c>
      <c r="O652" s="82">
        <f t="shared" si="134"/>
        <v>0</v>
      </c>
      <c r="P652" s="158"/>
      <c r="Q652" s="1071">
        <f t="shared" si="136"/>
        <v>11</v>
      </c>
    </row>
    <row r="653" spans="9:17" ht="13.9" x14ac:dyDescent="0.4">
      <c r="I653" s="1073">
        <f t="shared" si="135"/>
        <v>24</v>
      </c>
      <c r="J653" s="159" t="s">
        <v>19</v>
      </c>
      <c r="K653" s="1350" t="s">
        <v>839</v>
      </c>
      <c r="L653" s="160"/>
      <c r="M653" s="159">
        <v>0</v>
      </c>
      <c r="N653" s="157">
        <v>0</v>
      </c>
      <c r="O653" s="82">
        <f t="shared" si="134"/>
        <v>0</v>
      </c>
      <c r="P653" s="158"/>
      <c r="Q653" s="1071">
        <f t="shared" si="136"/>
        <v>11</v>
      </c>
    </row>
    <row r="654" spans="9:17" ht="13.9" x14ac:dyDescent="0.4">
      <c r="I654" s="1071"/>
      <c r="J654" s="86" t="s">
        <v>22</v>
      </c>
      <c r="K654" s="86"/>
      <c r="L654" s="86"/>
      <c r="M654" s="81"/>
      <c r="N654" s="87"/>
      <c r="O654" s="88">
        <f>SUM(O644:O653)</f>
        <v>29.639200000000002</v>
      </c>
      <c r="P654" s="86"/>
      <c r="Q654" s="1071"/>
    </row>
    <row r="655" spans="9:17" ht="13.9" x14ac:dyDescent="0.4">
      <c r="I655" s="1071"/>
      <c r="J655" s="83"/>
      <c r="K655" s="83"/>
      <c r="L655" s="83"/>
      <c r="M655" s="83"/>
      <c r="N655" s="84"/>
      <c r="O655" s="83"/>
      <c r="P655" s="83"/>
      <c r="Q655" s="1071"/>
    </row>
    <row r="656" spans="9:17" ht="13.9" x14ac:dyDescent="0.4">
      <c r="I656" s="1071"/>
      <c r="J656" s="78" t="str">
        <f>IF(OR(A2_Budget_Look_Up!$B$7=1,A2_Budget_Look_Up!$B$13=1),"Nematicide Detail", "Fungicide Detail")</f>
        <v>Fungicide Detail</v>
      </c>
      <c r="K656" s="78"/>
      <c r="L656" s="78"/>
      <c r="M656" s="79"/>
      <c r="N656" s="85"/>
      <c r="O656" s="79"/>
      <c r="P656" s="78"/>
      <c r="Q656" s="1071"/>
    </row>
    <row r="657" spans="9:17" ht="13.9" x14ac:dyDescent="0.4">
      <c r="I657" s="1071"/>
      <c r="J657" s="80" t="s">
        <v>212</v>
      </c>
      <c r="K657" s="80" t="s">
        <v>838</v>
      </c>
      <c r="L657" s="80" t="s">
        <v>2</v>
      </c>
      <c r="M657" s="80" t="s">
        <v>21</v>
      </c>
      <c r="N657" s="80" t="s">
        <v>174</v>
      </c>
      <c r="O657" s="80" t="s">
        <v>14</v>
      </c>
      <c r="P657" s="80" t="s">
        <v>890</v>
      </c>
      <c r="Q657" s="1071"/>
    </row>
    <row r="658" spans="9:17" ht="13.9" x14ac:dyDescent="0.4">
      <c r="I658" s="1073">
        <f>IF($A$1=11,I653+1,0)</f>
        <v>25</v>
      </c>
      <c r="J658" s="156" t="s">
        <v>19</v>
      </c>
      <c r="K658" s="1350" t="s">
        <v>839</v>
      </c>
      <c r="L658" s="158"/>
      <c r="M658" s="159">
        <v>0</v>
      </c>
      <c r="N658" s="157">
        <v>0</v>
      </c>
      <c r="O658" s="82">
        <f>M658*N658</f>
        <v>0</v>
      </c>
      <c r="P658" s="158"/>
      <c r="Q658" s="1071">
        <f>Q653</f>
        <v>11</v>
      </c>
    </row>
    <row r="659" spans="9:17" ht="13.9" x14ac:dyDescent="0.4">
      <c r="I659" s="1073">
        <f>IF($A$1=11,I658+1,0)</f>
        <v>26</v>
      </c>
      <c r="J659" s="156" t="s">
        <v>19</v>
      </c>
      <c r="K659" s="1350" t="s">
        <v>839</v>
      </c>
      <c r="L659" s="158"/>
      <c r="M659" s="159">
        <v>0</v>
      </c>
      <c r="N659" s="157">
        <v>0</v>
      </c>
      <c r="O659" s="82">
        <f>M659*N659</f>
        <v>0</v>
      </c>
      <c r="P659" s="158"/>
      <c r="Q659" s="1071">
        <f>Q658</f>
        <v>11</v>
      </c>
    </row>
    <row r="660" spans="9:17" ht="13.9" x14ac:dyDescent="0.4">
      <c r="I660" s="1071"/>
      <c r="J660" s="86" t="s">
        <v>22</v>
      </c>
      <c r="K660" s="86"/>
      <c r="L660" s="86"/>
      <c r="M660" s="81"/>
      <c r="N660" s="87"/>
      <c r="O660" s="88">
        <f>SUM(O658:O659)</f>
        <v>0</v>
      </c>
      <c r="P660" s="86"/>
      <c r="Q660" s="1071"/>
    </row>
    <row r="661" spans="9:17" ht="13.9" x14ac:dyDescent="0.4">
      <c r="I661" s="1071"/>
      <c r="J661" s="83"/>
      <c r="K661" s="83"/>
      <c r="L661" s="83"/>
      <c r="M661" s="83"/>
      <c r="N661" s="84"/>
      <c r="O661" s="83"/>
      <c r="P661" s="83"/>
      <c r="Q661" s="1071"/>
    </row>
    <row r="662" spans="9:17" ht="13.9" x14ac:dyDescent="0.4">
      <c r="I662" s="1071"/>
      <c r="J662" s="78" t="str">
        <f>IF(A2_Budget_Look_Up!$B$7=1,"Growth Regulator Detail", IF(A2_Budget_Look_Up!$B$13=1,"Fungicide Detail","Other Chemical Detail"))</f>
        <v>Other Chemical Detail</v>
      </c>
      <c r="K662" s="78"/>
      <c r="L662" s="78"/>
      <c r="M662" s="79"/>
      <c r="N662" s="85"/>
      <c r="O662" s="79"/>
      <c r="P662" s="78"/>
      <c r="Q662" s="1071"/>
    </row>
    <row r="663" spans="9:17" ht="13.9" x14ac:dyDescent="0.4">
      <c r="I663" s="1071"/>
      <c r="J663" s="80" t="s">
        <v>212</v>
      </c>
      <c r="K663" s="80" t="s">
        <v>838</v>
      </c>
      <c r="L663" s="80" t="s">
        <v>2</v>
      </c>
      <c r="M663" s="80" t="s">
        <v>21</v>
      </c>
      <c r="N663" s="80" t="s">
        <v>174</v>
      </c>
      <c r="O663" s="80" t="s">
        <v>14</v>
      </c>
      <c r="P663" s="80" t="s">
        <v>890</v>
      </c>
      <c r="Q663" s="1071"/>
    </row>
    <row r="664" spans="9:17" ht="13.9" x14ac:dyDescent="0.4">
      <c r="I664" s="1073">
        <f>IF($A$1=11,I659+1,0)</f>
        <v>27</v>
      </c>
      <c r="J664" s="156" t="s">
        <v>19</v>
      </c>
      <c r="K664" s="1350" t="s">
        <v>839</v>
      </c>
      <c r="L664" s="158"/>
      <c r="M664" s="159">
        <v>0</v>
      </c>
      <c r="N664" s="157">
        <v>0</v>
      </c>
      <c r="O664" s="82">
        <f t="shared" ref="O664:O670" si="137">M664*N664</f>
        <v>0</v>
      </c>
      <c r="P664" s="158"/>
      <c r="Q664" s="1071">
        <f>Q659</f>
        <v>11</v>
      </c>
    </row>
    <row r="665" spans="9:17" ht="13.9" x14ac:dyDescent="0.4">
      <c r="I665" s="1073">
        <f t="shared" ref="I665:I670" si="138">IF($A$1=11,I664+1,0)</f>
        <v>28</v>
      </c>
      <c r="J665" s="156" t="s">
        <v>19</v>
      </c>
      <c r="K665" s="1350" t="s">
        <v>839</v>
      </c>
      <c r="L665" s="158"/>
      <c r="M665" s="159">
        <v>0</v>
      </c>
      <c r="N665" s="157">
        <v>0</v>
      </c>
      <c r="O665" s="82">
        <f t="shared" si="137"/>
        <v>0</v>
      </c>
      <c r="P665" s="158"/>
      <c r="Q665" s="1071">
        <f t="shared" ref="Q665:Q670" si="139">Q664</f>
        <v>11</v>
      </c>
    </row>
    <row r="666" spans="9:17" ht="13.9" x14ac:dyDescent="0.4">
      <c r="I666" s="1073">
        <f t="shared" si="138"/>
        <v>29</v>
      </c>
      <c r="J666" s="156" t="s">
        <v>19</v>
      </c>
      <c r="K666" s="1350" t="s">
        <v>839</v>
      </c>
      <c r="L666" s="158"/>
      <c r="M666" s="159">
        <v>0</v>
      </c>
      <c r="N666" s="157">
        <v>0</v>
      </c>
      <c r="O666" s="82">
        <f t="shared" si="137"/>
        <v>0</v>
      </c>
      <c r="P666" s="158"/>
      <c r="Q666" s="1071">
        <f t="shared" si="139"/>
        <v>11</v>
      </c>
    </row>
    <row r="667" spans="9:17" ht="13.9" x14ac:dyDescent="0.4">
      <c r="I667" s="1073">
        <f t="shared" si="138"/>
        <v>30</v>
      </c>
      <c r="J667" s="156" t="s">
        <v>19</v>
      </c>
      <c r="K667" s="1350" t="s">
        <v>839</v>
      </c>
      <c r="L667" s="158"/>
      <c r="M667" s="159">
        <v>0</v>
      </c>
      <c r="N667" s="157">
        <v>0</v>
      </c>
      <c r="O667" s="82">
        <f t="shared" si="137"/>
        <v>0</v>
      </c>
      <c r="P667" s="158"/>
      <c r="Q667" s="1071">
        <f t="shared" si="139"/>
        <v>11</v>
      </c>
    </row>
    <row r="668" spans="9:17" ht="13.9" x14ac:dyDescent="0.4">
      <c r="I668" s="1073">
        <f t="shared" si="138"/>
        <v>31</v>
      </c>
      <c r="J668" s="156" t="s">
        <v>19</v>
      </c>
      <c r="K668" s="1350" t="s">
        <v>839</v>
      </c>
      <c r="L668" s="158"/>
      <c r="M668" s="159">
        <v>0</v>
      </c>
      <c r="N668" s="157">
        <v>0</v>
      </c>
      <c r="O668" s="82">
        <f t="shared" si="137"/>
        <v>0</v>
      </c>
      <c r="P668" s="158"/>
      <c r="Q668" s="1071">
        <f t="shared" si="139"/>
        <v>11</v>
      </c>
    </row>
    <row r="669" spans="9:17" ht="13.9" x14ac:dyDescent="0.4">
      <c r="I669" s="1073">
        <f t="shared" si="138"/>
        <v>32</v>
      </c>
      <c r="J669" s="156" t="s">
        <v>19</v>
      </c>
      <c r="K669" s="1350" t="s">
        <v>839</v>
      </c>
      <c r="L669" s="158"/>
      <c r="M669" s="159">
        <v>0</v>
      </c>
      <c r="N669" s="157">
        <v>0</v>
      </c>
      <c r="O669" s="82">
        <f t="shared" si="137"/>
        <v>0</v>
      </c>
      <c r="P669" s="158"/>
      <c r="Q669" s="1071">
        <f t="shared" si="139"/>
        <v>11</v>
      </c>
    </row>
    <row r="670" spans="9:17" ht="13.9" x14ac:dyDescent="0.4">
      <c r="I670" s="1073">
        <f t="shared" si="138"/>
        <v>33</v>
      </c>
      <c r="J670" s="156" t="s">
        <v>19</v>
      </c>
      <c r="K670" s="1350" t="s">
        <v>839</v>
      </c>
      <c r="L670" s="158"/>
      <c r="M670" s="159">
        <v>0</v>
      </c>
      <c r="N670" s="157">
        <v>0</v>
      </c>
      <c r="O670" s="82">
        <f t="shared" si="137"/>
        <v>0</v>
      </c>
      <c r="P670" s="158"/>
      <c r="Q670" s="1071">
        <f t="shared" si="139"/>
        <v>11</v>
      </c>
    </row>
    <row r="671" spans="9:17" ht="13.9" x14ac:dyDescent="0.4">
      <c r="I671" s="1071"/>
      <c r="J671" s="86" t="s">
        <v>22</v>
      </c>
      <c r="K671" s="86"/>
      <c r="L671" s="86"/>
      <c r="M671" s="81"/>
      <c r="N671" s="87"/>
      <c r="O671" s="88">
        <f>SUM(O664:O670)</f>
        <v>0</v>
      </c>
      <c r="P671" s="86"/>
      <c r="Q671" s="1071"/>
    </row>
    <row r="673" spans="9:17" ht="13.9" x14ac:dyDescent="0.4">
      <c r="I673" s="1071"/>
      <c r="J673" s="78" t="str">
        <f>IF(A2_Budget_Look_Up!$B$7=1,"Defoliant Detail", "Other Chemical Detail")</f>
        <v>Other Chemical Detail</v>
      </c>
      <c r="K673" s="78"/>
      <c r="L673" s="78"/>
      <c r="M673" s="79"/>
      <c r="N673" s="85"/>
      <c r="O673" s="79"/>
      <c r="P673" s="78"/>
      <c r="Q673" s="1071"/>
    </row>
    <row r="674" spans="9:17" ht="13.9" x14ac:dyDescent="0.4">
      <c r="I674" s="1071"/>
      <c r="J674" s="80" t="s">
        <v>212</v>
      </c>
      <c r="K674" s="80" t="s">
        <v>838</v>
      </c>
      <c r="L674" s="80" t="s">
        <v>2</v>
      </c>
      <c r="M674" s="80" t="s">
        <v>21</v>
      </c>
      <c r="N674" s="80" t="s">
        <v>174</v>
      </c>
      <c r="O674" s="80" t="s">
        <v>14</v>
      </c>
      <c r="P674" s="80" t="s">
        <v>890</v>
      </c>
      <c r="Q674" s="1071"/>
    </row>
    <row r="675" spans="9:17" ht="13.9" x14ac:dyDescent="0.4">
      <c r="I675" s="1073">
        <f>IF($A$1=11,I670+1,0)</f>
        <v>34</v>
      </c>
      <c r="J675" s="156" t="s">
        <v>19</v>
      </c>
      <c r="K675" s="1350" t="s">
        <v>839</v>
      </c>
      <c r="L675" s="158"/>
      <c r="M675" s="159">
        <v>0</v>
      </c>
      <c r="N675" s="157">
        <v>0</v>
      </c>
      <c r="O675" s="82">
        <f t="shared" ref="O675:O681" si="140">M675*N675</f>
        <v>0</v>
      </c>
      <c r="P675" s="158"/>
      <c r="Q675" s="1071">
        <f>Q670</f>
        <v>11</v>
      </c>
    </row>
    <row r="676" spans="9:17" ht="13.9" x14ac:dyDescent="0.4">
      <c r="I676" s="1073">
        <f t="shared" ref="I676:I681" si="141">IF($A$1=11,I675+1,0)</f>
        <v>35</v>
      </c>
      <c r="J676" s="156" t="s">
        <v>19</v>
      </c>
      <c r="K676" s="1350" t="s">
        <v>839</v>
      </c>
      <c r="L676" s="158"/>
      <c r="M676" s="159">
        <v>0</v>
      </c>
      <c r="N676" s="157">
        <v>0</v>
      </c>
      <c r="O676" s="82">
        <f t="shared" si="140"/>
        <v>0</v>
      </c>
      <c r="P676" s="158"/>
      <c r="Q676" s="1071">
        <f t="shared" ref="Q676:Q681" si="142">Q675</f>
        <v>11</v>
      </c>
    </row>
    <row r="677" spans="9:17" ht="13.9" x14ac:dyDescent="0.4">
      <c r="I677" s="1073">
        <f t="shared" si="141"/>
        <v>36</v>
      </c>
      <c r="J677" s="156" t="s">
        <v>19</v>
      </c>
      <c r="K677" s="1350" t="s">
        <v>839</v>
      </c>
      <c r="L677" s="158"/>
      <c r="M677" s="159">
        <v>0</v>
      </c>
      <c r="N677" s="157">
        <v>0</v>
      </c>
      <c r="O677" s="82">
        <f t="shared" si="140"/>
        <v>0</v>
      </c>
      <c r="P677" s="158"/>
      <c r="Q677" s="1071">
        <f t="shared" si="142"/>
        <v>11</v>
      </c>
    </row>
    <row r="678" spans="9:17" ht="13.9" x14ac:dyDescent="0.4">
      <c r="I678" s="1073">
        <f t="shared" si="141"/>
        <v>37</v>
      </c>
      <c r="J678" s="156" t="s">
        <v>19</v>
      </c>
      <c r="K678" s="1350" t="s">
        <v>839</v>
      </c>
      <c r="L678" s="158"/>
      <c r="M678" s="159">
        <v>0</v>
      </c>
      <c r="N678" s="157">
        <v>0</v>
      </c>
      <c r="O678" s="82">
        <f t="shared" si="140"/>
        <v>0</v>
      </c>
      <c r="P678" s="158"/>
      <c r="Q678" s="1071">
        <f t="shared" si="142"/>
        <v>11</v>
      </c>
    </row>
    <row r="679" spans="9:17" ht="13.9" x14ac:dyDescent="0.4">
      <c r="I679" s="1073">
        <f t="shared" si="141"/>
        <v>38</v>
      </c>
      <c r="J679" s="156" t="s">
        <v>19</v>
      </c>
      <c r="K679" s="1350" t="s">
        <v>839</v>
      </c>
      <c r="L679" s="158"/>
      <c r="M679" s="159">
        <v>0</v>
      </c>
      <c r="N679" s="157">
        <v>0</v>
      </c>
      <c r="O679" s="82">
        <f t="shared" si="140"/>
        <v>0</v>
      </c>
      <c r="P679" s="158"/>
      <c r="Q679" s="1071">
        <f t="shared" si="142"/>
        <v>11</v>
      </c>
    </row>
    <row r="680" spans="9:17" ht="13.9" x14ac:dyDescent="0.4">
      <c r="I680" s="1073">
        <f t="shared" si="141"/>
        <v>39</v>
      </c>
      <c r="J680" s="156" t="s">
        <v>19</v>
      </c>
      <c r="K680" s="1350" t="s">
        <v>839</v>
      </c>
      <c r="L680" s="158"/>
      <c r="M680" s="159">
        <v>0</v>
      </c>
      <c r="N680" s="157">
        <v>0</v>
      </c>
      <c r="O680" s="82">
        <f t="shared" si="140"/>
        <v>0</v>
      </c>
      <c r="P680" s="158"/>
      <c r="Q680" s="1071">
        <f t="shared" si="142"/>
        <v>11</v>
      </c>
    </row>
    <row r="681" spans="9:17" ht="13.9" x14ac:dyDescent="0.4">
      <c r="I681" s="1073">
        <f t="shared" si="141"/>
        <v>40</v>
      </c>
      <c r="J681" s="156" t="s">
        <v>19</v>
      </c>
      <c r="K681" s="1350" t="s">
        <v>839</v>
      </c>
      <c r="L681" s="158"/>
      <c r="M681" s="159">
        <v>0</v>
      </c>
      <c r="N681" s="157">
        <v>0</v>
      </c>
      <c r="O681" s="82">
        <f t="shared" si="140"/>
        <v>0</v>
      </c>
      <c r="P681" s="158"/>
      <c r="Q681" s="1071">
        <f t="shared" si="142"/>
        <v>11</v>
      </c>
    </row>
    <row r="682" spans="9:17" ht="13.9" x14ac:dyDescent="0.4">
      <c r="I682" s="1071"/>
      <c r="J682" s="86" t="s">
        <v>22</v>
      </c>
      <c r="K682" s="86"/>
      <c r="L682" s="86"/>
      <c r="M682" s="81"/>
      <c r="N682" s="87"/>
      <c r="O682" s="88">
        <f>SUM(O675:O681)</f>
        <v>0</v>
      </c>
      <c r="P682" s="86"/>
      <c r="Q682" s="1071"/>
    </row>
    <row r="683" spans="9:17" ht="13.9" x14ac:dyDescent="0.4">
      <c r="I683" s="1071"/>
      <c r="J683" s="83"/>
      <c r="K683" s="83"/>
      <c r="L683" s="83"/>
      <c r="M683" s="89"/>
      <c r="N683" s="84"/>
      <c r="O683" s="89"/>
      <c r="P683" s="83"/>
      <c r="Q683" s="1071"/>
    </row>
    <row r="684" spans="9:17" ht="13.9" x14ac:dyDescent="0.4">
      <c r="I684" s="1071"/>
      <c r="J684" s="1168" t="str">
        <f>A2_Budget_Look_Up!H14</f>
        <v>Grain Sorghum, Pivot</v>
      </c>
      <c r="K684" s="1168"/>
      <c r="L684" s="1168">
        <f>A2_Budget_Look_Up!F14</f>
        <v>12</v>
      </c>
      <c r="M684" s="1168"/>
      <c r="N684" s="1168"/>
      <c r="O684" s="1168"/>
      <c r="P684" s="1168"/>
      <c r="Q684" s="1071"/>
    </row>
    <row r="685" spans="9:17" ht="13.9" x14ac:dyDescent="0.4">
      <c r="I685" s="1071"/>
      <c r="J685" s="83"/>
      <c r="K685" s="83"/>
      <c r="L685" s="83"/>
      <c r="M685" s="83"/>
      <c r="N685" s="84"/>
      <c r="O685" s="83"/>
      <c r="P685" s="83"/>
      <c r="Q685" s="1071"/>
    </row>
    <row r="686" spans="9:17" ht="13.9" x14ac:dyDescent="0.4">
      <c r="I686" s="1071"/>
      <c r="J686" s="78" t="s">
        <v>18</v>
      </c>
      <c r="K686" s="78"/>
      <c r="L686" s="78"/>
      <c r="M686" s="79"/>
      <c r="N686" s="85"/>
      <c r="O686" s="79"/>
      <c r="P686" s="78"/>
      <c r="Q686" s="1071"/>
    </row>
    <row r="687" spans="9:17" ht="13.9" x14ac:dyDescent="0.4">
      <c r="I687" s="1071"/>
      <c r="J687" s="80" t="s">
        <v>212</v>
      </c>
      <c r="K687" s="80" t="s">
        <v>838</v>
      </c>
      <c r="L687" s="80" t="s">
        <v>2</v>
      </c>
      <c r="M687" s="80" t="s">
        <v>21</v>
      </c>
      <c r="N687" s="80" t="s">
        <v>174</v>
      </c>
      <c r="O687" s="80" t="s">
        <v>14</v>
      </c>
      <c r="P687" s="80" t="s">
        <v>890</v>
      </c>
      <c r="Q687" s="1071"/>
    </row>
    <row r="688" spans="9:17" ht="13.9" x14ac:dyDescent="0.4">
      <c r="I688" s="1073">
        <f>IF($A$1=12,1,0)</f>
        <v>0</v>
      </c>
      <c r="J688" s="1092" t="str">
        <f>A4_Chem_Prices!K$2</f>
        <v>Roundup Powermax 3</v>
      </c>
      <c r="K688" s="1350" t="s">
        <v>839</v>
      </c>
      <c r="L688" s="1093" t="str">
        <f>A4_Chem_Prices!L$2</f>
        <v>pt</v>
      </c>
      <c r="M688" s="1092">
        <f>A4_Chem_Prices!M$2</f>
        <v>2.25</v>
      </c>
      <c r="N688" s="1094">
        <v>2</v>
      </c>
      <c r="O688" s="82">
        <f t="shared" ref="O688:O701" si="143">M688*N688</f>
        <v>4.5</v>
      </c>
      <c r="P688" s="160">
        <f>N688*16</f>
        <v>32</v>
      </c>
      <c r="Q688" s="1171">
        <f>IF(SUM(I688:I743)=820,L684,0)</f>
        <v>0</v>
      </c>
    </row>
    <row r="689" spans="9:17" ht="13.9" x14ac:dyDescent="0.4">
      <c r="I689" s="1073">
        <f t="shared" ref="I689:I701" si="144">IF($A$1=12,I688+1,0)</f>
        <v>0</v>
      </c>
      <c r="J689" s="1092" t="str">
        <f>A4_Chem_Prices!K$5</f>
        <v>2,4-D</v>
      </c>
      <c r="K689" s="1350" t="s">
        <v>839</v>
      </c>
      <c r="L689" s="1095" t="str">
        <f>A4_Chem_Prices!L$5</f>
        <v>pt</v>
      </c>
      <c r="M689" s="1092">
        <f>A4_Chem_Prices!M$5</f>
        <v>4.375</v>
      </c>
      <c r="N689" s="1094">
        <v>1.5</v>
      </c>
      <c r="O689" s="82">
        <f t="shared" si="143"/>
        <v>6.5625</v>
      </c>
      <c r="P689" s="160">
        <f>N689*16</f>
        <v>24</v>
      </c>
      <c r="Q689" s="1071">
        <f>Q688</f>
        <v>0</v>
      </c>
    </row>
    <row r="690" spans="9:17" ht="13.9" x14ac:dyDescent="0.4">
      <c r="I690" s="1073">
        <f t="shared" si="144"/>
        <v>0</v>
      </c>
      <c r="J690" s="1092" t="str">
        <f>A4_Chem_Prices!K$6</f>
        <v>Metolachlor</v>
      </c>
      <c r="K690" s="1350" t="s">
        <v>839</v>
      </c>
      <c r="L690" s="1095" t="str">
        <f>A4_Chem_Prices!L$6</f>
        <v>pt</v>
      </c>
      <c r="M690" s="1092">
        <f>A4_Chem_Prices!M$6</f>
        <v>5.0387500000000003</v>
      </c>
      <c r="N690" s="1094">
        <v>1.3</v>
      </c>
      <c r="O690" s="82">
        <f t="shared" si="143"/>
        <v>6.5503750000000007</v>
      </c>
      <c r="P690" s="160">
        <f>N690*16</f>
        <v>20.8</v>
      </c>
      <c r="Q690" s="1071">
        <f t="shared" ref="Q690:Q701" si="145">Q689</f>
        <v>0</v>
      </c>
    </row>
    <row r="691" spans="9:17" ht="13.9" x14ac:dyDescent="0.4">
      <c r="I691" s="1073">
        <f t="shared" si="144"/>
        <v>0</v>
      </c>
      <c r="J691" s="1092" t="str">
        <f>A4_Chem_Prices!K$6</f>
        <v>Metolachlor</v>
      </c>
      <c r="K691" s="1350" t="s">
        <v>839</v>
      </c>
      <c r="L691" s="1095" t="str">
        <f>A4_Chem_Prices!L$6</f>
        <v>pt</v>
      </c>
      <c r="M691" s="1092">
        <f>A4_Chem_Prices!M$6</f>
        <v>5.0387500000000003</v>
      </c>
      <c r="N691" s="1094">
        <v>1.3</v>
      </c>
      <c r="O691" s="82">
        <f t="shared" si="143"/>
        <v>6.5503750000000007</v>
      </c>
      <c r="P691" s="160">
        <f>N691*32</f>
        <v>41.6</v>
      </c>
      <c r="Q691" s="1071">
        <f t="shared" si="145"/>
        <v>0</v>
      </c>
    </row>
    <row r="692" spans="9:17" ht="13.9" x14ac:dyDescent="0.4">
      <c r="I692" s="1073">
        <f t="shared" si="144"/>
        <v>0</v>
      </c>
      <c r="J692" s="1092" t="str">
        <f>A4_Chem_Prices!K$4</f>
        <v>Atrazine</v>
      </c>
      <c r="K692" s="1350" t="s">
        <v>839</v>
      </c>
      <c r="L692" s="1095" t="str">
        <f>A4_Chem_Prices!L$4</f>
        <v>qt</v>
      </c>
      <c r="M692" s="1092">
        <f>A4_Chem_Prices!M$4</f>
        <v>4.1124999999999998</v>
      </c>
      <c r="N692" s="1094">
        <v>2</v>
      </c>
      <c r="O692" s="82">
        <f t="shared" si="143"/>
        <v>8.2249999999999996</v>
      </c>
      <c r="P692" s="160"/>
      <c r="Q692" s="1071">
        <f t="shared" si="145"/>
        <v>0</v>
      </c>
    </row>
    <row r="693" spans="9:17" ht="13.9" x14ac:dyDescent="0.4">
      <c r="I693" s="1073">
        <f t="shared" si="144"/>
        <v>0</v>
      </c>
      <c r="J693" s="159" t="s">
        <v>19</v>
      </c>
      <c r="K693" s="1350" t="s">
        <v>839</v>
      </c>
      <c r="L693" s="160"/>
      <c r="M693" s="159">
        <v>0</v>
      </c>
      <c r="N693" s="157">
        <v>0</v>
      </c>
      <c r="O693" s="82">
        <f t="shared" si="143"/>
        <v>0</v>
      </c>
      <c r="P693" s="160"/>
      <c r="Q693" s="1071">
        <f t="shared" si="145"/>
        <v>0</v>
      </c>
    </row>
    <row r="694" spans="9:17" ht="13.9" x14ac:dyDescent="0.4">
      <c r="I694" s="1073">
        <f t="shared" si="144"/>
        <v>0</v>
      </c>
      <c r="J694" s="159" t="s">
        <v>19</v>
      </c>
      <c r="K694" s="1350" t="s">
        <v>839</v>
      </c>
      <c r="L694" s="160"/>
      <c r="M694" s="159">
        <v>0</v>
      </c>
      <c r="N694" s="157">
        <v>0</v>
      </c>
      <c r="O694" s="82">
        <f t="shared" si="143"/>
        <v>0</v>
      </c>
      <c r="P694" s="160"/>
      <c r="Q694" s="1071">
        <f t="shared" si="145"/>
        <v>0</v>
      </c>
    </row>
    <row r="695" spans="9:17" ht="13.9" x14ac:dyDescent="0.4">
      <c r="I695" s="1073">
        <f t="shared" si="144"/>
        <v>0</v>
      </c>
      <c r="J695" s="159" t="s">
        <v>19</v>
      </c>
      <c r="K695" s="1350" t="s">
        <v>839</v>
      </c>
      <c r="L695" s="160"/>
      <c r="M695" s="159">
        <v>0</v>
      </c>
      <c r="N695" s="157">
        <v>0</v>
      </c>
      <c r="O695" s="82">
        <f t="shared" si="143"/>
        <v>0</v>
      </c>
      <c r="P695" s="160"/>
      <c r="Q695" s="1071">
        <f t="shared" si="145"/>
        <v>0</v>
      </c>
    </row>
    <row r="696" spans="9:17" ht="13.9" x14ac:dyDescent="0.4">
      <c r="I696" s="1073">
        <f t="shared" si="144"/>
        <v>0</v>
      </c>
      <c r="J696" s="159" t="s">
        <v>19</v>
      </c>
      <c r="K696" s="1350" t="s">
        <v>839</v>
      </c>
      <c r="L696" s="160"/>
      <c r="M696" s="159">
        <v>0</v>
      </c>
      <c r="N696" s="157">
        <v>0</v>
      </c>
      <c r="O696" s="82">
        <f t="shared" si="143"/>
        <v>0</v>
      </c>
      <c r="P696" s="160"/>
      <c r="Q696" s="1071">
        <f t="shared" si="145"/>
        <v>0</v>
      </c>
    </row>
    <row r="697" spans="9:17" ht="13.9" x14ac:dyDescent="0.4">
      <c r="I697" s="1073">
        <f t="shared" si="144"/>
        <v>0</v>
      </c>
      <c r="J697" s="159" t="s">
        <v>19</v>
      </c>
      <c r="K697" s="1350" t="s">
        <v>839</v>
      </c>
      <c r="L697" s="160"/>
      <c r="M697" s="159">
        <v>0</v>
      </c>
      <c r="N697" s="157">
        <v>0</v>
      </c>
      <c r="O697" s="82">
        <f t="shared" si="143"/>
        <v>0</v>
      </c>
      <c r="P697" s="160"/>
      <c r="Q697" s="1071">
        <f t="shared" si="145"/>
        <v>0</v>
      </c>
    </row>
    <row r="698" spans="9:17" ht="13.9" x14ac:dyDescent="0.4">
      <c r="I698" s="1073">
        <f t="shared" si="144"/>
        <v>0</v>
      </c>
      <c r="J698" s="159" t="s">
        <v>19</v>
      </c>
      <c r="K698" s="1350" t="s">
        <v>839</v>
      </c>
      <c r="L698" s="160"/>
      <c r="M698" s="159">
        <v>0</v>
      </c>
      <c r="N698" s="157">
        <v>0</v>
      </c>
      <c r="O698" s="82">
        <f t="shared" si="143"/>
        <v>0</v>
      </c>
      <c r="P698" s="160"/>
      <c r="Q698" s="1071">
        <f t="shared" si="145"/>
        <v>0</v>
      </c>
    </row>
    <row r="699" spans="9:17" ht="13.9" x14ac:dyDescent="0.4">
      <c r="I699" s="1073">
        <f t="shared" si="144"/>
        <v>0</v>
      </c>
      <c r="J699" s="159" t="s">
        <v>19</v>
      </c>
      <c r="K699" s="1350" t="s">
        <v>839</v>
      </c>
      <c r="L699" s="160"/>
      <c r="M699" s="159">
        <v>0</v>
      </c>
      <c r="N699" s="157">
        <v>0</v>
      </c>
      <c r="O699" s="82">
        <f t="shared" si="143"/>
        <v>0</v>
      </c>
      <c r="P699" s="160"/>
      <c r="Q699" s="1071">
        <f t="shared" si="145"/>
        <v>0</v>
      </c>
    </row>
    <row r="700" spans="9:17" ht="13.9" x14ac:dyDescent="0.4">
      <c r="I700" s="1073">
        <f t="shared" si="144"/>
        <v>0</v>
      </c>
      <c r="J700" s="159" t="s">
        <v>19</v>
      </c>
      <c r="K700" s="1350" t="s">
        <v>839</v>
      </c>
      <c r="L700" s="160"/>
      <c r="M700" s="159">
        <v>0</v>
      </c>
      <c r="N700" s="157">
        <v>0</v>
      </c>
      <c r="O700" s="82">
        <f t="shared" si="143"/>
        <v>0</v>
      </c>
      <c r="P700" s="160"/>
      <c r="Q700" s="1071">
        <f t="shared" si="145"/>
        <v>0</v>
      </c>
    </row>
    <row r="701" spans="9:17" ht="13.9" x14ac:dyDescent="0.4">
      <c r="I701" s="1073">
        <f t="shared" si="144"/>
        <v>0</v>
      </c>
      <c r="J701" s="159" t="s">
        <v>19</v>
      </c>
      <c r="K701" s="1350" t="s">
        <v>839</v>
      </c>
      <c r="L701" s="160"/>
      <c r="M701" s="159">
        <v>0</v>
      </c>
      <c r="N701" s="157">
        <v>0</v>
      </c>
      <c r="O701" s="82">
        <f t="shared" si="143"/>
        <v>0</v>
      </c>
      <c r="P701" s="160"/>
      <c r="Q701" s="1071">
        <f t="shared" si="145"/>
        <v>0</v>
      </c>
    </row>
    <row r="702" spans="9:17" ht="13.9" x14ac:dyDescent="0.4">
      <c r="I702" s="1071"/>
      <c r="J702" s="86" t="s">
        <v>22</v>
      </c>
      <c r="K702" s="86"/>
      <c r="L702" s="86"/>
      <c r="M702" s="81"/>
      <c r="N702" s="87"/>
      <c r="O702" s="88">
        <f>SUM(O688:O701)</f>
        <v>32.388250000000006</v>
      </c>
      <c r="P702" s="86"/>
      <c r="Q702" s="1071"/>
    </row>
    <row r="703" spans="9:17" ht="13.9" x14ac:dyDescent="0.4">
      <c r="I703" s="1071"/>
      <c r="J703" s="83"/>
      <c r="K703" s="83"/>
      <c r="L703" s="83"/>
      <c r="M703" s="83"/>
      <c r="N703" s="84"/>
      <c r="O703" s="83"/>
      <c r="P703" s="83"/>
      <c r="Q703" s="1071"/>
    </row>
    <row r="704" spans="9:17" ht="13.9" x14ac:dyDescent="0.4">
      <c r="I704" s="1071"/>
      <c r="J704" s="78" t="s">
        <v>20</v>
      </c>
      <c r="K704" s="78"/>
      <c r="L704" s="78"/>
      <c r="M704" s="79"/>
      <c r="N704" s="85"/>
      <c r="O704" s="79"/>
      <c r="P704" s="78"/>
      <c r="Q704" s="1071"/>
    </row>
    <row r="705" spans="9:17" ht="13.9" x14ac:dyDescent="0.4">
      <c r="I705" s="1071"/>
      <c r="J705" s="80" t="s">
        <v>212</v>
      </c>
      <c r="K705" s="80" t="s">
        <v>838</v>
      </c>
      <c r="L705" s="80" t="s">
        <v>2</v>
      </c>
      <c r="M705" s="80" t="s">
        <v>21</v>
      </c>
      <c r="N705" s="80" t="s">
        <v>174</v>
      </c>
      <c r="O705" s="80" t="s">
        <v>14</v>
      </c>
      <c r="P705" s="80" t="s">
        <v>890</v>
      </c>
      <c r="Q705" s="1071"/>
    </row>
    <row r="706" spans="9:17" ht="13.9" x14ac:dyDescent="0.4">
      <c r="I706" s="1073">
        <f>IF($A$1=12,I701+1,0)</f>
        <v>0</v>
      </c>
      <c r="J706" s="1092" t="str">
        <f>A4_Chem_Prices!K$21</f>
        <v>Prevathon</v>
      </c>
      <c r="K706" s="1350" t="s">
        <v>839</v>
      </c>
      <c r="L706" s="1095" t="str">
        <f>A4_Chem_Prices!L$21</f>
        <v>oz</v>
      </c>
      <c r="M706" s="1092">
        <f>A4_Chem_Prices!M$21</f>
        <v>1.05</v>
      </c>
      <c r="N706" s="1094">
        <v>14</v>
      </c>
      <c r="O706" s="82">
        <f>M706*N706</f>
        <v>14.700000000000001</v>
      </c>
      <c r="P706" s="1449">
        <f>N706</f>
        <v>14</v>
      </c>
      <c r="Q706" s="1071">
        <f>Q688</f>
        <v>0</v>
      </c>
    </row>
    <row r="707" spans="9:17" ht="13.9" x14ac:dyDescent="0.4">
      <c r="I707" s="1073">
        <f t="shared" ref="I707:I715" si="146">IF($A$1=12,I706+1,0)</f>
        <v>0</v>
      </c>
      <c r="J707" s="1092" t="str">
        <f>A4_Chem_Prices!K$20</f>
        <v>Sivanto Prime</v>
      </c>
      <c r="K707" s="1350" t="s">
        <v>839</v>
      </c>
      <c r="L707" s="1095" t="str">
        <f>A4_Chem_Prices!L$20</f>
        <v>oz</v>
      </c>
      <c r="M707" s="1092">
        <f>A4_Chem_Prices!M$20</f>
        <v>3.01</v>
      </c>
      <c r="N707" s="1094">
        <v>4</v>
      </c>
      <c r="O707" s="82">
        <f>M707*N707</f>
        <v>12.04</v>
      </c>
      <c r="P707" s="1449">
        <f>N707</f>
        <v>4</v>
      </c>
      <c r="Q707" s="1071">
        <f>Q706</f>
        <v>0</v>
      </c>
    </row>
    <row r="708" spans="9:17" ht="13.9" x14ac:dyDescent="0.4">
      <c r="I708" s="1073">
        <f t="shared" si="146"/>
        <v>0</v>
      </c>
      <c r="J708" s="159" t="str">
        <f>A4_Chem_Prices!K$23</f>
        <v>Warrior</v>
      </c>
      <c r="K708" s="1350" t="s">
        <v>839</v>
      </c>
      <c r="L708" s="160" t="str">
        <f>A4_Chem_Prices!L$23</f>
        <v>oz</v>
      </c>
      <c r="M708" s="159">
        <f>A4_Chem_Prices!M$23</f>
        <v>3.02</v>
      </c>
      <c r="N708" s="157">
        <v>0.96</v>
      </c>
      <c r="O708" s="82">
        <f t="shared" ref="O708:O715" si="147">M708*N708</f>
        <v>2.8992</v>
      </c>
      <c r="P708" s="158"/>
      <c r="Q708" s="1071">
        <f t="shared" ref="Q708:Q715" si="148">Q707</f>
        <v>0</v>
      </c>
    </row>
    <row r="709" spans="9:17" ht="13.9" x14ac:dyDescent="0.4">
      <c r="I709" s="1073">
        <f t="shared" si="146"/>
        <v>0</v>
      </c>
      <c r="J709" s="159" t="s">
        <v>19</v>
      </c>
      <c r="K709" s="1350" t="s">
        <v>839</v>
      </c>
      <c r="L709" s="160"/>
      <c r="M709" s="159">
        <v>0</v>
      </c>
      <c r="N709" s="157">
        <v>0</v>
      </c>
      <c r="O709" s="82">
        <f t="shared" si="147"/>
        <v>0</v>
      </c>
      <c r="P709" s="158"/>
      <c r="Q709" s="1071">
        <f t="shared" si="148"/>
        <v>0</v>
      </c>
    </row>
    <row r="710" spans="9:17" ht="13.9" x14ac:dyDescent="0.4">
      <c r="I710" s="1073">
        <f t="shared" si="146"/>
        <v>0</v>
      </c>
      <c r="J710" s="159" t="s">
        <v>19</v>
      </c>
      <c r="K710" s="1350" t="s">
        <v>839</v>
      </c>
      <c r="L710" s="160"/>
      <c r="M710" s="159">
        <v>0</v>
      </c>
      <c r="N710" s="157">
        <v>0</v>
      </c>
      <c r="O710" s="82">
        <f t="shared" si="147"/>
        <v>0</v>
      </c>
      <c r="P710" s="158"/>
      <c r="Q710" s="1071">
        <f t="shared" si="148"/>
        <v>0</v>
      </c>
    </row>
    <row r="711" spans="9:17" ht="13.9" x14ac:dyDescent="0.4">
      <c r="I711" s="1073">
        <f t="shared" si="146"/>
        <v>0</v>
      </c>
      <c r="J711" s="159" t="s">
        <v>19</v>
      </c>
      <c r="K711" s="1350" t="s">
        <v>839</v>
      </c>
      <c r="L711" s="160"/>
      <c r="M711" s="159">
        <v>0</v>
      </c>
      <c r="N711" s="157">
        <v>0</v>
      </c>
      <c r="O711" s="82">
        <f t="shared" si="147"/>
        <v>0</v>
      </c>
      <c r="P711" s="158"/>
      <c r="Q711" s="1071">
        <f t="shared" si="148"/>
        <v>0</v>
      </c>
    </row>
    <row r="712" spans="9:17" ht="13.9" x14ac:dyDescent="0.4">
      <c r="I712" s="1073">
        <f t="shared" si="146"/>
        <v>0</v>
      </c>
      <c r="J712" s="159" t="s">
        <v>19</v>
      </c>
      <c r="K712" s="1350" t="s">
        <v>839</v>
      </c>
      <c r="L712" s="160"/>
      <c r="M712" s="159">
        <v>0</v>
      </c>
      <c r="N712" s="157">
        <v>0</v>
      </c>
      <c r="O712" s="82">
        <f t="shared" si="147"/>
        <v>0</v>
      </c>
      <c r="P712" s="158"/>
      <c r="Q712" s="1071">
        <f t="shared" si="148"/>
        <v>0</v>
      </c>
    </row>
    <row r="713" spans="9:17" ht="13.9" x14ac:dyDescent="0.4">
      <c r="I713" s="1073">
        <f t="shared" si="146"/>
        <v>0</v>
      </c>
      <c r="J713" s="159" t="s">
        <v>19</v>
      </c>
      <c r="K713" s="1350" t="s">
        <v>839</v>
      </c>
      <c r="L713" s="160"/>
      <c r="M713" s="159">
        <v>0</v>
      </c>
      <c r="N713" s="157">
        <v>0</v>
      </c>
      <c r="O713" s="82">
        <f t="shared" si="147"/>
        <v>0</v>
      </c>
      <c r="P713" s="158"/>
      <c r="Q713" s="1071">
        <f t="shared" si="148"/>
        <v>0</v>
      </c>
    </row>
    <row r="714" spans="9:17" ht="13.9" x14ac:dyDescent="0.4">
      <c r="I714" s="1073">
        <f t="shared" si="146"/>
        <v>0</v>
      </c>
      <c r="J714" s="159" t="s">
        <v>19</v>
      </c>
      <c r="K714" s="1350" t="s">
        <v>839</v>
      </c>
      <c r="L714" s="160"/>
      <c r="M714" s="159">
        <v>0</v>
      </c>
      <c r="N714" s="157">
        <v>0</v>
      </c>
      <c r="O714" s="82">
        <f t="shared" si="147"/>
        <v>0</v>
      </c>
      <c r="P714" s="158"/>
      <c r="Q714" s="1071">
        <f t="shared" si="148"/>
        <v>0</v>
      </c>
    </row>
    <row r="715" spans="9:17" ht="13.9" x14ac:dyDescent="0.4">
      <c r="I715" s="1073">
        <f t="shared" si="146"/>
        <v>0</v>
      </c>
      <c r="J715" s="159" t="s">
        <v>19</v>
      </c>
      <c r="K715" s="1350" t="s">
        <v>839</v>
      </c>
      <c r="L715" s="160"/>
      <c r="M715" s="159">
        <v>0</v>
      </c>
      <c r="N715" s="157">
        <v>0</v>
      </c>
      <c r="O715" s="82">
        <f t="shared" si="147"/>
        <v>0</v>
      </c>
      <c r="P715" s="158"/>
      <c r="Q715" s="1071">
        <f t="shared" si="148"/>
        <v>0</v>
      </c>
    </row>
    <row r="716" spans="9:17" ht="13.9" x14ac:dyDescent="0.4">
      <c r="I716" s="1071"/>
      <c r="J716" s="86" t="s">
        <v>22</v>
      </c>
      <c r="K716" s="86"/>
      <c r="L716" s="86"/>
      <c r="M716" s="81"/>
      <c r="N716" s="87"/>
      <c r="O716" s="88">
        <f>SUM(O706:O715)</f>
        <v>29.639200000000002</v>
      </c>
      <c r="P716" s="86"/>
      <c r="Q716" s="1071"/>
    </row>
    <row r="717" spans="9:17" ht="13.9" x14ac:dyDescent="0.4">
      <c r="I717" s="1071"/>
      <c r="J717" s="83"/>
      <c r="K717" s="83"/>
      <c r="L717" s="83"/>
      <c r="M717" s="83"/>
      <c r="N717" s="84"/>
      <c r="O717" s="83"/>
      <c r="P717" s="83"/>
      <c r="Q717" s="1071"/>
    </row>
    <row r="718" spans="9:17" ht="13.9" x14ac:dyDescent="0.4">
      <c r="I718" s="1071"/>
      <c r="J718" s="78" t="str">
        <f>IF(OR(A2_Budget_Look_Up!$B$7=1,A2_Budget_Look_Up!$B$13=1),"Nematicide Detail", "Fungicide Detail")</f>
        <v>Fungicide Detail</v>
      </c>
      <c r="K718" s="78"/>
      <c r="L718" s="78"/>
      <c r="M718" s="79"/>
      <c r="N718" s="85"/>
      <c r="O718" s="79"/>
      <c r="P718" s="78"/>
      <c r="Q718" s="1071"/>
    </row>
    <row r="719" spans="9:17" ht="13.9" x14ac:dyDescent="0.4">
      <c r="I719" s="1071"/>
      <c r="J719" s="80" t="s">
        <v>212</v>
      </c>
      <c r="K719" s="80" t="s">
        <v>838</v>
      </c>
      <c r="L719" s="80" t="s">
        <v>2</v>
      </c>
      <c r="M719" s="80" t="s">
        <v>21</v>
      </c>
      <c r="N719" s="80" t="s">
        <v>174</v>
      </c>
      <c r="O719" s="80" t="s">
        <v>14</v>
      </c>
      <c r="P719" s="80" t="s">
        <v>890</v>
      </c>
      <c r="Q719" s="1071"/>
    </row>
    <row r="720" spans="9:17" ht="13.9" x14ac:dyDescent="0.4">
      <c r="I720" s="1073">
        <f>IF($A$1=12,I715+1,0)</f>
        <v>0</v>
      </c>
      <c r="J720" s="156" t="s">
        <v>19</v>
      </c>
      <c r="K720" s="1350" t="s">
        <v>839</v>
      </c>
      <c r="L720" s="158"/>
      <c r="M720" s="159">
        <v>0</v>
      </c>
      <c r="N720" s="157">
        <v>0</v>
      </c>
      <c r="O720" s="82">
        <f>M720*N720</f>
        <v>0</v>
      </c>
      <c r="P720" s="158"/>
      <c r="Q720" s="1071">
        <f>Q715</f>
        <v>0</v>
      </c>
    </row>
    <row r="721" spans="9:17" ht="13.9" x14ac:dyDescent="0.4">
      <c r="I721" s="1073">
        <f>IF($A$1=12,I720+1,0)</f>
        <v>0</v>
      </c>
      <c r="J721" s="156" t="s">
        <v>19</v>
      </c>
      <c r="K721" s="1350" t="s">
        <v>839</v>
      </c>
      <c r="L721" s="158"/>
      <c r="M721" s="159">
        <v>0</v>
      </c>
      <c r="N721" s="157">
        <v>0</v>
      </c>
      <c r="O721" s="82">
        <f>M721*N721</f>
        <v>0</v>
      </c>
      <c r="P721" s="158"/>
      <c r="Q721" s="1071">
        <f>Q720</f>
        <v>0</v>
      </c>
    </row>
    <row r="722" spans="9:17" ht="13.9" x14ac:dyDescent="0.4">
      <c r="I722" s="1071"/>
      <c r="J722" s="86" t="s">
        <v>22</v>
      </c>
      <c r="K722" s="86"/>
      <c r="L722" s="86"/>
      <c r="M722" s="81"/>
      <c r="N722" s="87"/>
      <c r="O722" s="88">
        <f>SUM(O720:O721)</f>
        <v>0</v>
      </c>
      <c r="P722" s="86"/>
      <c r="Q722" s="1071"/>
    </row>
    <row r="723" spans="9:17" ht="13.9" x14ac:dyDescent="0.4">
      <c r="I723" s="1071"/>
      <c r="J723" s="83"/>
      <c r="K723" s="83"/>
      <c r="L723" s="83"/>
      <c r="M723" s="83"/>
      <c r="N723" s="84"/>
      <c r="O723" s="83"/>
      <c r="P723" s="83"/>
      <c r="Q723" s="1071"/>
    </row>
    <row r="724" spans="9:17" ht="13.9" x14ac:dyDescent="0.4">
      <c r="I724" s="1071"/>
      <c r="J724" s="78" t="str">
        <f>IF(A2_Budget_Look_Up!$B$7=1,"Growth Regulator Detail", IF(A2_Budget_Look_Up!$B$13=1,"Fungicide Detail","Other Chemical Detail"))</f>
        <v>Other Chemical Detail</v>
      </c>
      <c r="K724" s="78"/>
      <c r="L724" s="78"/>
      <c r="M724" s="79"/>
      <c r="N724" s="85"/>
      <c r="O724" s="79"/>
      <c r="P724" s="78"/>
      <c r="Q724" s="1071"/>
    </row>
    <row r="725" spans="9:17" ht="13.9" x14ac:dyDescent="0.4">
      <c r="I725" s="1071"/>
      <c r="J725" s="80" t="s">
        <v>212</v>
      </c>
      <c r="K725" s="80" t="s">
        <v>838</v>
      </c>
      <c r="L725" s="80" t="s">
        <v>2</v>
      </c>
      <c r="M725" s="80" t="s">
        <v>21</v>
      </c>
      <c r="N725" s="80" t="s">
        <v>174</v>
      </c>
      <c r="O725" s="80" t="s">
        <v>14</v>
      </c>
      <c r="P725" s="80" t="s">
        <v>890</v>
      </c>
      <c r="Q725" s="1071"/>
    </row>
    <row r="726" spans="9:17" ht="13.9" x14ac:dyDescent="0.4">
      <c r="I726" s="1073">
        <f>IF($A$1=12,I721+1,0)</f>
        <v>0</v>
      </c>
      <c r="J726" s="156" t="s">
        <v>19</v>
      </c>
      <c r="K726" s="1350" t="s">
        <v>839</v>
      </c>
      <c r="L726" s="158"/>
      <c r="M726" s="159">
        <v>0</v>
      </c>
      <c r="N726" s="157">
        <v>0</v>
      </c>
      <c r="O726" s="82">
        <f t="shared" ref="O726:O732" si="149">M726*N726</f>
        <v>0</v>
      </c>
      <c r="P726" s="158"/>
      <c r="Q726" s="1071">
        <f>Q721</f>
        <v>0</v>
      </c>
    </row>
    <row r="727" spans="9:17" ht="13.9" x14ac:dyDescent="0.4">
      <c r="I727" s="1073">
        <f t="shared" ref="I727:I732" si="150">IF($A$1=12,I726+1,0)</f>
        <v>0</v>
      </c>
      <c r="J727" s="156" t="s">
        <v>19</v>
      </c>
      <c r="K727" s="1350" t="s">
        <v>839</v>
      </c>
      <c r="L727" s="158"/>
      <c r="M727" s="159">
        <v>0</v>
      </c>
      <c r="N727" s="157">
        <v>0</v>
      </c>
      <c r="O727" s="82">
        <f t="shared" si="149"/>
        <v>0</v>
      </c>
      <c r="P727" s="158"/>
      <c r="Q727" s="1071">
        <f t="shared" ref="Q727:Q732" si="151">Q726</f>
        <v>0</v>
      </c>
    </row>
    <row r="728" spans="9:17" ht="13.9" x14ac:dyDescent="0.4">
      <c r="I728" s="1073">
        <f t="shared" si="150"/>
        <v>0</v>
      </c>
      <c r="J728" s="156" t="s">
        <v>19</v>
      </c>
      <c r="K728" s="1350" t="s">
        <v>839</v>
      </c>
      <c r="L728" s="158"/>
      <c r="M728" s="159">
        <v>0</v>
      </c>
      <c r="N728" s="157">
        <v>0</v>
      </c>
      <c r="O728" s="82">
        <f t="shared" si="149"/>
        <v>0</v>
      </c>
      <c r="P728" s="158"/>
      <c r="Q728" s="1071">
        <f t="shared" si="151"/>
        <v>0</v>
      </c>
    </row>
    <row r="729" spans="9:17" ht="13.9" x14ac:dyDescent="0.4">
      <c r="I729" s="1073">
        <f t="shared" si="150"/>
        <v>0</v>
      </c>
      <c r="J729" s="156" t="s">
        <v>19</v>
      </c>
      <c r="K729" s="1350" t="s">
        <v>839</v>
      </c>
      <c r="L729" s="158"/>
      <c r="M729" s="159">
        <v>0</v>
      </c>
      <c r="N729" s="157">
        <v>0</v>
      </c>
      <c r="O729" s="82">
        <f t="shared" si="149"/>
        <v>0</v>
      </c>
      <c r="P729" s="158"/>
      <c r="Q729" s="1071">
        <f t="shared" si="151"/>
        <v>0</v>
      </c>
    </row>
    <row r="730" spans="9:17" ht="13.9" x14ac:dyDescent="0.4">
      <c r="I730" s="1073">
        <f t="shared" si="150"/>
        <v>0</v>
      </c>
      <c r="J730" s="156" t="s">
        <v>19</v>
      </c>
      <c r="K730" s="1350" t="s">
        <v>839</v>
      </c>
      <c r="L730" s="158"/>
      <c r="M730" s="159">
        <v>0</v>
      </c>
      <c r="N730" s="157">
        <v>0</v>
      </c>
      <c r="O730" s="82">
        <f t="shared" si="149"/>
        <v>0</v>
      </c>
      <c r="P730" s="158"/>
      <c r="Q730" s="1071">
        <f t="shared" si="151"/>
        <v>0</v>
      </c>
    </row>
    <row r="731" spans="9:17" ht="13.9" x14ac:dyDescent="0.4">
      <c r="I731" s="1073">
        <f t="shared" si="150"/>
        <v>0</v>
      </c>
      <c r="J731" s="156" t="s">
        <v>19</v>
      </c>
      <c r="K731" s="1350" t="s">
        <v>839</v>
      </c>
      <c r="L731" s="158"/>
      <c r="M731" s="159">
        <v>0</v>
      </c>
      <c r="N731" s="157">
        <v>0</v>
      </c>
      <c r="O731" s="82">
        <f t="shared" si="149"/>
        <v>0</v>
      </c>
      <c r="P731" s="158"/>
      <c r="Q731" s="1071">
        <f t="shared" si="151"/>
        <v>0</v>
      </c>
    </row>
    <row r="732" spans="9:17" ht="13.9" x14ac:dyDescent="0.4">
      <c r="I732" s="1073">
        <f t="shared" si="150"/>
        <v>0</v>
      </c>
      <c r="J732" s="156" t="s">
        <v>19</v>
      </c>
      <c r="K732" s="1350" t="s">
        <v>839</v>
      </c>
      <c r="L732" s="158"/>
      <c r="M732" s="159">
        <v>0</v>
      </c>
      <c r="N732" s="157">
        <v>0</v>
      </c>
      <c r="O732" s="82">
        <f t="shared" si="149"/>
        <v>0</v>
      </c>
      <c r="P732" s="158"/>
      <c r="Q732" s="1071">
        <f t="shared" si="151"/>
        <v>0</v>
      </c>
    </row>
    <row r="733" spans="9:17" ht="13.9" x14ac:dyDescent="0.4">
      <c r="I733" s="1071"/>
      <c r="J733" s="86" t="s">
        <v>22</v>
      </c>
      <c r="K733" s="86"/>
      <c r="L733" s="86"/>
      <c r="M733" s="81"/>
      <c r="N733" s="87"/>
      <c r="O733" s="88">
        <f>SUM(O726:O732)</f>
        <v>0</v>
      </c>
      <c r="P733" s="86"/>
      <c r="Q733" s="1071"/>
    </row>
    <row r="734" spans="9:17" ht="13.9" x14ac:dyDescent="0.4">
      <c r="I734" s="1071"/>
      <c r="J734" s="83"/>
      <c r="K734" s="83"/>
      <c r="L734" s="83"/>
      <c r="M734" s="83"/>
      <c r="N734" s="84"/>
      <c r="O734" s="83"/>
      <c r="P734" s="83"/>
      <c r="Q734" s="1071"/>
    </row>
    <row r="735" spans="9:17" ht="13.9" x14ac:dyDescent="0.4">
      <c r="I735" s="1071"/>
      <c r="J735" s="78" t="str">
        <f>IF(A2_Budget_Look_Up!$B$7=1,"Defoliant Detail", "Other Chemical Detail")</f>
        <v>Other Chemical Detail</v>
      </c>
      <c r="K735" s="78"/>
      <c r="L735" s="78"/>
      <c r="M735" s="79"/>
      <c r="N735" s="85"/>
      <c r="O735" s="79"/>
      <c r="P735" s="78"/>
      <c r="Q735" s="1071"/>
    </row>
    <row r="736" spans="9:17" ht="13.9" x14ac:dyDescent="0.4">
      <c r="I736" s="1071"/>
      <c r="J736" s="80" t="s">
        <v>212</v>
      </c>
      <c r="K736" s="80" t="s">
        <v>838</v>
      </c>
      <c r="L736" s="80" t="s">
        <v>2</v>
      </c>
      <c r="M736" s="80" t="s">
        <v>21</v>
      </c>
      <c r="N736" s="80" t="s">
        <v>174</v>
      </c>
      <c r="O736" s="80" t="s">
        <v>14</v>
      </c>
      <c r="P736" s="80" t="s">
        <v>890</v>
      </c>
      <c r="Q736" s="1071"/>
    </row>
    <row r="737" spans="9:17" ht="13.9" x14ac:dyDescent="0.4">
      <c r="I737" s="1073">
        <f>IF($A$1=12,I732+1,0)</f>
        <v>0</v>
      </c>
      <c r="J737" s="156" t="s">
        <v>19</v>
      </c>
      <c r="K737" s="1350" t="s">
        <v>839</v>
      </c>
      <c r="L737" s="158"/>
      <c r="M737" s="159">
        <v>0</v>
      </c>
      <c r="N737" s="157">
        <v>0</v>
      </c>
      <c r="O737" s="82">
        <f t="shared" ref="O737:O743" si="152">M737*N737</f>
        <v>0</v>
      </c>
      <c r="P737" s="158"/>
      <c r="Q737" s="1071">
        <f>Q732</f>
        <v>0</v>
      </c>
    </row>
    <row r="738" spans="9:17" ht="13.9" x14ac:dyDescent="0.4">
      <c r="I738" s="1073">
        <f t="shared" ref="I738:I743" si="153">IF($A$1=12,I737+1,0)</f>
        <v>0</v>
      </c>
      <c r="J738" s="156" t="s">
        <v>19</v>
      </c>
      <c r="K738" s="1350" t="s">
        <v>839</v>
      </c>
      <c r="L738" s="158"/>
      <c r="M738" s="159">
        <v>0</v>
      </c>
      <c r="N738" s="157">
        <v>0</v>
      </c>
      <c r="O738" s="82">
        <f t="shared" si="152"/>
        <v>0</v>
      </c>
      <c r="P738" s="158"/>
      <c r="Q738" s="1071">
        <f t="shared" ref="Q738:Q743" si="154">Q737</f>
        <v>0</v>
      </c>
    </row>
    <row r="739" spans="9:17" ht="13.9" x14ac:dyDescent="0.4">
      <c r="I739" s="1073">
        <f t="shared" si="153"/>
        <v>0</v>
      </c>
      <c r="J739" s="156" t="s">
        <v>19</v>
      </c>
      <c r="K739" s="1350" t="s">
        <v>839</v>
      </c>
      <c r="L739" s="158"/>
      <c r="M739" s="159">
        <v>0</v>
      </c>
      <c r="N739" s="157">
        <v>0</v>
      </c>
      <c r="O739" s="82">
        <f t="shared" si="152"/>
        <v>0</v>
      </c>
      <c r="P739" s="158"/>
      <c r="Q739" s="1071">
        <f t="shared" si="154"/>
        <v>0</v>
      </c>
    </row>
    <row r="740" spans="9:17" ht="13.9" x14ac:dyDescent="0.4">
      <c r="I740" s="1073">
        <f t="shared" si="153"/>
        <v>0</v>
      </c>
      <c r="J740" s="156" t="s">
        <v>19</v>
      </c>
      <c r="K740" s="1350" t="s">
        <v>839</v>
      </c>
      <c r="L740" s="158"/>
      <c r="M740" s="159">
        <v>0</v>
      </c>
      <c r="N740" s="157">
        <v>0</v>
      </c>
      <c r="O740" s="82">
        <f t="shared" si="152"/>
        <v>0</v>
      </c>
      <c r="P740" s="158"/>
      <c r="Q740" s="1071">
        <f t="shared" si="154"/>
        <v>0</v>
      </c>
    </row>
    <row r="741" spans="9:17" ht="13.9" x14ac:dyDescent="0.4">
      <c r="I741" s="1073">
        <f t="shared" si="153"/>
        <v>0</v>
      </c>
      <c r="J741" s="156" t="s">
        <v>19</v>
      </c>
      <c r="K741" s="1350" t="s">
        <v>839</v>
      </c>
      <c r="L741" s="158"/>
      <c r="M741" s="159">
        <v>0</v>
      </c>
      <c r="N741" s="157">
        <v>0</v>
      </c>
      <c r="O741" s="82">
        <f t="shared" si="152"/>
        <v>0</v>
      </c>
      <c r="P741" s="158"/>
      <c r="Q741" s="1071">
        <f t="shared" si="154"/>
        <v>0</v>
      </c>
    </row>
    <row r="742" spans="9:17" ht="13.9" x14ac:dyDescent="0.4">
      <c r="I742" s="1073">
        <f t="shared" si="153"/>
        <v>0</v>
      </c>
      <c r="J742" s="156" t="s">
        <v>19</v>
      </c>
      <c r="K742" s="1350" t="s">
        <v>839</v>
      </c>
      <c r="L742" s="158"/>
      <c r="M742" s="159">
        <v>0</v>
      </c>
      <c r="N742" s="157">
        <v>0</v>
      </c>
      <c r="O742" s="82">
        <f t="shared" si="152"/>
        <v>0</v>
      </c>
      <c r="P742" s="158"/>
      <c r="Q742" s="1071">
        <f t="shared" si="154"/>
        <v>0</v>
      </c>
    </row>
    <row r="743" spans="9:17" ht="13.9" x14ac:dyDescent="0.4">
      <c r="I743" s="1073">
        <f t="shared" si="153"/>
        <v>0</v>
      </c>
      <c r="J743" s="156" t="s">
        <v>19</v>
      </c>
      <c r="K743" s="1350" t="s">
        <v>839</v>
      </c>
      <c r="L743" s="158"/>
      <c r="M743" s="159">
        <v>0</v>
      </c>
      <c r="N743" s="157">
        <v>0</v>
      </c>
      <c r="O743" s="82">
        <f t="shared" si="152"/>
        <v>0</v>
      </c>
      <c r="P743" s="158"/>
      <c r="Q743" s="1071">
        <f t="shared" si="154"/>
        <v>0</v>
      </c>
    </row>
    <row r="744" spans="9:17" ht="13.9" x14ac:dyDescent="0.4">
      <c r="I744" s="1071"/>
      <c r="J744" s="86" t="s">
        <v>22</v>
      </c>
      <c r="K744" s="86"/>
      <c r="L744" s="86"/>
      <c r="M744" s="81"/>
      <c r="N744" s="87"/>
      <c r="O744" s="88">
        <f>SUM(O737:O743)</f>
        <v>0</v>
      </c>
      <c r="P744" s="86"/>
      <c r="Q744" s="1071"/>
    </row>
    <row r="745" spans="9:17" ht="13.9" x14ac:dyDescent="0.4">
      <c r="I745" s="1071"/>
      <c r="J745" s="83"/>
      <c r="K745" s="83"/>
      <c r="L745" s="83"/>
      <c r="M745" s="89"/>
      <c r="N745" s="84"/>
      <c r="O745" s="89"/>
      <c r="P745" s="83"/>
      <c r="Q745" s="1071"/>
    </row>
    <row r="746" spans="9:17" ht="13.9" x14ac:dyDescent="0.4">
      <c r="I746" s="1071"/>
      <c r="J746" s="1168" t="str">
        <f>A2_Budget_Look_Up!H15</f>
        <v>Grain Sorghum, No Irrigation</v>
      </c>
      <c r="K746" s="1168"/>
      <c r="L746" s="1168">
        <f>A2_Budget_Look_Up!F15</f>
        <v>13</v>
      </c>
      <c r="M746" s="1168"/>
      <c r="N746" s="1168"/>
      <c r="O746" s="1168"/>
      <c r="P746" s="1168"/>
      <c r="Q746" s="1071"/>
    </row>
    <row r="747" spans="9:17" ht="13.9" x14ac:dyDescent="0.4">
      <c r="I747" s="1071"/>
      <c r="J747" s="83"/>
      <c r="K747" s="83"/>
      <c r="L747" s="83"/>
      <c r="M747" s="83"/>
      <c r="N747" s="84"/>
      <c r="O747" s="83"/>
      <c r="P747" s="83"/>
      <c r="Q747" s="1071"/>
    </row>
    <row r="748" spans="9:17" ht="13.9" x14ac:dyDescent="0.4">
      <c r="I748" s="1071"/>
      <c r="J748" s="78" t="s">
        <v>18</v>
      </c>
      <c r="K748" s="78"/>
      <c r="L748" s="78"/>
      <c r="M748" s="79"/>
      <c r="N748" s="85"/>
      <c r="O748" s="79"/>
      <c r="P748" s="78"/>
      <c r="Q748" s="1071"/>
    </row>
    <row r="749" spans="9:17" ht="13.9" x14ac:dyDescent="0.4">
      <c r="I749" s="1071"/>
      <c r="J749" s="80" t="s">
        <v>212</v>
      </c>
      <c r="K749" s="80" t="s">
        <v>838</v>
      </c>
      <c r="L749" s="80" t="s">
        <v>2</v>
      </c>
      <c r="M749" s="80" t="s">
        <v>21</v>
      </c>
      <c r="N749" s="80" t="s">
        <v>174</v>
      </c>
      <c r="O749" s="80" t="s">
        <v>14</v>
      </c>
      <c r="P749" s="80" t="s">
        <v>890</v>
      </c>
      <c r="Q749" s="1071"/>
    </row>
    <row r="750" spans="9:17" ht="13.9" x14ac:dyDescent="0.4">
      <c r="I750" s="1073">
        <f>IF($A$1=13,1,0)</f>
        <v>0</v>
      </c>
      <c r="J750" s="1092" t="str">
        <f>A4_Chem_Prices!K$2</f>
        <v>Roundup Powermax 3</v>
      </c>
      <c r="K750" s="1350" t="s">
        <v>839</v>
      </c>
      <c r="L750" s="1093" t="str">
        <f>A4_Chem_Prices!L$2</f>
        <v>pt</v>
      </c>
      <c r="M750" s="1092">
        <f>A4_Chem_Prices!M$2</f>
        <v>2.25</v>
      </c>
      <c r="N750" s="1094">
        <v>2</v>
      </c>
      <c r="O750" s="82">
        <f t="shared" ref="O750:O763" si="155">M750*N750</f>
        <v>4.5</v>
      </c>
      <c r="P750" s="160">
        <f>N750*16</f>
        <v>32</v>
      </c>
      <c r="Q750" s="1171">
        <f>IF(SUM(I750:I805)=820,L746,0)</f>
        <v>0</v>
      </c>
    </row>
    <row r="751" spans="9:17" ht="13.9" x14ac:dyDescent="0.4">
      <c r="I751" s="1073">
        <f t="shared" ref="I751:I763" si="156">IF($A$1=13,I750+1,0)</f>
        <v>0</v>
      </c>
      <c r="J751" s="1092" t="str">
        <f>A4_Chem_Prices!K$5</f>
        <v>2,4-D</v>
      </c>
      <c r="K751" s="1350" t="s">
        <v>839</v>
      </c>
      <c r="L751" s="1095" t="str">
        <f>A4_Chem_Prices!L$5</f>
        <v>pt</v>
      </c>
      <c r="M751" s="1092">
        <f>A4_Chem_Prices!M$5</f>
        <v>4.375</v>
      </c>
      <c r="N751" s="1094">
        <v>1.5</v>
      </c>
      <c r="O751" s="82">
        <f t="shared" si="155"/>
        <v>6.5625</v>
      </c>
      <c r="P751" s="160">
        <f>N751*16</f>
        <v>24</v>
      </c>
      <c r="Q751" s="1071">
        <f>Q750</f>
        <v>0</v>
      </c>
    </row>
    <row r="752" spans="9:17" ht="13.9" x14ac:dyDescent="0.4">
      <c r="I752" s="1073">
        <f t="shared" si="156"/>
        <v>0</v>
      </c>
      <c r="J752" s="1092" t="str">
        <f>A4_Chem_Prices!K$6</f>
        <v>Metolachlor</v>
      </c>
      <c r="K752" s="1350" t="s">
        <v>839</v>
      </c>
      <c r="L752" s="1095" t="str">
        <f>A4_Chem_Prices!L$6</f>
        <v>pt</v>
      </c>
      <c r="M752" s="1092">
        <f>A4_Chem_Prices!M$6</f>
        <v>5.0387500000000003</v>
      </c>
      <c r="N752" s="1094">
        <v>1.3</v>
      </c>
      <c r="O752" s="82">
        <f t="shared" si="155"/>
        <v>6.5503750000000007</v>
      </c>
      <c r="P752" s="160">
        <f>N752*16</f>
        <v>20.8</v>
      </c>
      <c r="Q752" s="1071">
        <f t="shared" ref="Q752:Q763" si="157">Q751</f>
        <v>0</v>
      </c>
    </row>
    <row r="753" spans="9:17" ht="13.9" x14ac:dyDescent="0.4">
      <c r="I753" s="1073">
        <f t="shared" si="156"/>
        <v>0</v>
      </c>
      <c r="J753" s="1092" t="str">
        <f>A4_Chem_Prices!K$6</f>
        <v>Metolachlor</v>
      </c>
      <c r="K753" s="1350" t="s">
        <v>839</v>
      </c>
      <c r="L753" s="1095" t="str">
        <f>A4_Chem_Prices!L$6</f>
        <v>pt</v>
      </c>
      <c r="M753" s="1092">
        <f>A4_Chem_Prices!M$6</f>
        <v>5.0387500000000003</v>
      </c>
      <c r="N753" s="1094">
        <v>1.3</v>
      </c>
      <c r="O753" s="82">
        <f t="shared" si="155"/>
        <v>6.5503750000000007</v>
      </c>
      <c r="P753" s="160">
        <f>N753*32</f>
        <v>41.6</v>
      </c>
      <c r="Q753" s="1071">
        <f t="shared" si="157"/>
        <v>0</v>
      </c>
    </row>
    <row r="754" spans="9:17" ht="13.9" x14ac:dyDescent="0.4">
      <c r="I754" s="1073">
        <f t="shared" si="156"/>
        <v>0</v>
      </c>
      <c r="J754" s="1092" t="str">
        <f>A4_Chem_Prices!K$4</f>
        <v>Atrazine</v>
      </c>
      <c r="K754" s="1350" t="s">
        <v>839</v>
      </c>
      <c r="L754" s="1095" t="str">
        <f>A4_Chem_Prices!L$4</f>
        <v>qt</v>
      </c>
      <c r="M754" s="1092">
        <f>A4_Chem_Prices!M$4</f>
        <v>4.1124999999999998</v>
      </c>
      <c r="N754" s="1094">
        <v>2</v>
      </c>
      <c r="O754" s="82">
        <f t="shared" si="155"/>
        <v>8.2249999999999996</v>
      </c>
      <c r="P754" s="160"/>
      <c r="Q754" s="1071">
        <f t="shared" si="157"/>
        <v>0</v>
      </c>
    </row>
    <row r="755" spans="9:17" ht="13.9" x14ac:dyDescent="0.4">
      <c r="I755" s="1073">
        <f t="shared" si="156"/>
        <v>0</v>
      </c>
      <c r="J755" s="159" t="s">
        <v>19</v>
      </c>
      <c r="K755" s="1350" t="s">
        <v>839</v>
      </c>
      <c r="L755" s="160"/>
      <c r="M755" s="159">
        <v>0</v>
      </c>
      <c r="N755" s="157">
        <v>0</v>
      </c>
      <c r="O755" s="82">
        <f t="shared" si="155"/>
        <v>0</v>
      </c>
      <c r="P755" s="160"/>
      <c r="Q755" s="1071">
        <f t="shared" si="157"/>
        <v>0</v>
      </c>
    </row>
    <row r="756" spans="9:17" ht="13.9" x14ac:dyDescent="0.4">
      <c r="I756" s="1073">
        <f t="shared" si="156"/>
        <v>0</v>
      </c>
      <c r="J756" s="159" t="s">
        <v>19</v>
      </c>
      <c r="K756" s="1350" t="s">
        <v>839</v>
      </c>
      <c r="L756" s="160"/>
      <c r="M756" s="159">
        <v>0</v>
      </c>
      <c r="N756" s="157">
        <v>0</v>
      </c>
      <c r="O756" s="82">
        <f t="shared" si="155"/>
        <v>0</v>
      </c>
      <c r="P756" s="160"/>
      <c r="Q756" s="1071">
        <f t="shared" si="157"/>
        <v>0</v>
      </c>
    </row>
    <row r="757" spans="9:17" ht="13.9" x14ac:dyDescent="0.4">
      <c r="I757" s="1073">
        <f t="shared" si="156"/>
        <v>0</v>
      </c>
      <c r="J757" s="159" t="s">
        <v>19</v>
      </c>
      <c r="K757" s="1350" t="s">
        <v>839</v>
      </c>
      <c r="L757" s="160"/>
      <c r="M757" s="159">
        <v>0</v>
      </c>
      <c r="N757" s="157">
        <v>0</v>
      </c>
      <c r="O757" s="82">
        <f t="shared" si="155"/>
        <v>0</v>
      </c>
      <c r="P757" s="160"/>
      <c r="Q757" s="1071">
        <f t="shared" si="157"/>
        <v>0</v>
      </c>
    </row>
    <row r="758" spans="9:17" ht="13.9" x14ac:dyDescent="0.4">
      <c r="I758" s="1073">
        <f t="shared" si="156"/>
        <v>0</v>
      </c>
      <c r="J758" s="159" t="s">
        <v>19</v>
      </c>
      <c r="K758" s="1350" t="s">
        <v>839</v>
      </c>
      <c r="L758" s="160"/>
      <c r="M758" s="159">
        <v>0</v>
      </c>
      <c r="N758" s="157">
        <v>0</v>
      </c>
      <c r="O758" s="82">
        <f t="shared" si="155"/>
        <v>0</v>
      </c>
      <c r="P758" s="160"/>
      <c r="Q758" s="1071">
        <f t="shared" si="157"/>
        <v>0</v>
      </c>
    </row>
    <row r="759" spans="9:17" ht="13.9" x14ac:dyDescent="0.4">
      <c r="I759" s="1073">
        <f t="shared" si="156"/>
        <v>0</v>
      </c>
      <c r="J759" s="159" t="s">
        <v>19</v>
      </c>
      <c r="K759" s="1350" t="s">
        <v>839</v>
      </c>
      <c r="L759" s="160"/>
      <c r="M759" s="159">
        <v>0</v>
      </c>
      <c r="N759" s="157">
        <v>0</v>
      </c>
      <c r="O759" s="82">
        <f t="shared" si="155"/>
        <v>0</v>
      </c>
      <c r="P759" s="160"/>
      <c r="Q759" s="1071">
        <f t="shared" si="157"/>
        <v>0</v>
      </c>
    </row>
    <row r="760" spans="9:17" ht="13.9" x14ac:dyDescent="0.4">
      <c r="I760" s="1073">
        <f t="shared" si="156"/>
        <v>0</v>
      </c>
      <c r="J760" s="159" t="s">
        <v>19</v>
      </c>
      <c r="K760" s="1350" t="s">
        <v>839</v>
      </c>
      <c r="L760" s="160"/>
      <c r="M760" s="159">
        <v>0</v>
      </c>
      <c r="N760" s="157">
        <v>0</v>
      </c>
      <c r="O760" s="82">
        <f t="shared" si="155"/>
        <v>0</v>
      </c>
      <c r="P760" s="160"/>
      <c r="Q760" s="1071">
        <f t="shared" si="157"/>
        <v>0</v>
      </c>
    </row>
    <row r="761" spans="9:17" ht="13.9" x14ac:dyDescent="0.4">
      <c r="I761" s="1073">
        <f t="shared" si="156"/>
        <v>0</v>
      </c>
      <c r="J761" s="159" t="s">
        <v>19</v>
      </c>
      <c r="K761" s="1350" t="s">
        <v>839</v>
      </c>
      <c r="L761" s="160"/>
      <c r="M761" s="159">
        <v>0</v>
      </c>
      <c r="N761" s="157">
        <v>0</v>
      </c>
      <c r="O761" s="82">
        <f t="shared" si="155"/>
        <v>0</v>
      </c>
      <c r="P761" s="160"/>
      <c r="Q761" s="1071">
        <f t="shared" si="157"/>
        <v>0</v>
      </c>
    </row>
    <row r="762" spans="9:17" ht="13.9" x14ac:dyDescent="0.4">
      <c r="I762" s="1073">
        <f t="shared" si="156"/>
        <v>0</v>
      </c>
      <c r="J762" s="159" t="s">
        <v>19</v>
      </c>
      <c r="K762" s="1350" t="s">
        <v>839</v>
      </c>
      <c r="L762" s="160"/>
      <c r="M762" s="159">
        <v>0</v>
      </c>
      <c r="N762" s="157">
        <v>0</v>
      </c>
      <c r="O762" s="82">
        <f t="shared" si="155"/>
        <v>0</v>
      </c>
      <c r="P762" s="160"/>
      <c r="Q762" s="1071">
        <f t="shared" si="157"/>
        <v>0</v>
      </c>
    </row>
    <row r="763" spans="9:17" ht="13.9" x14ac:dyDescent="0.4">
      <c r="I763" s="1073">
        <f t="shared" si="156"/>
        <v>0</v>
      </c>
      <c r="J763" s="159" t="s">
        <v>19</v>
      </c>
      <c r="K763" s="1350" t="s">
        <v>839</v>
      </c>
      <c r="L763" s="160"/>
      <c r="M763" s="159">
        <v>0</v>
      </c>
      <c r="N763" s="157">
        <v>0</v>
      </c>
      <c r="O763" s="82">
        <f t="shared" si="155"/>
        <v>0</v>
      </c>
      <c r="P763" s="160"/>
      <c r="Q763" s="1071">
        <f t="shared" si="157"/>
        <v>0</v>
      </c>
    </row>
    <row r="764" spans="9:17" ht="13.9" x14ac:dyDescent="0.4">
      <c r="I764" s="1071"/>
      <c r="J764" s="86" t="s">
        <v>22</v>
      </c>
      <c r="K764" s="86"/>
      <c r="L764" s="86"/>
      <c r="M764" s="81"/>
      <c r="N764" s="87"/>
      <c r="O764" s="88">
        <f>SUM(O750:O763)</f>
        <v>32.388250000000006</v>
      </c>
      <c r="P764" s="86"/>
      <c r="Q764" s="1071"/>
    </row>
    <row r="765" spans="9:17" ht="13.9" x14ac:dyDescent="0.4">
      <c r="I765" s="1071"/>
      <c r="J765" s="83"/>
      <c r="K765" s="83"/>
      <c r="L765" s="83"/>
      <c r="M765" s="83"/>
      <c r="N765" s="84"/>
      <c r="O765" s="83"/>
      <c r="P765" s="83"/>
      <c r="Q765" s="1071"/>
    </row>
    <row r="766" spans="9:17" ht="13.9" x14ac:dyDescent="0.4">
      <c r="I766" s="1071"/>
      <c r="J766" s="78" t="s">
        <v>20</v>
      </c>
      <c r="K766" s="78"/>
      <c r="L766" s="78"/>
      <c r="M766" s="79"/>
      <c r="N766" s="85"/>
      <c r="O766" s="79"/>
      <c r="P766" s="78"/>
      <c r="Q766" s="1071"/>
    </row>
    <row r="767" spans="9:17" ht="13.9" x14ac:dyDescent="0.4">
      <c r="I767" s="1071"/>
      <c r="J767" s="80" t="s">
        <v>212</v>
      </c>
      <c r="K767" s="80" t="s">
        <v>838</v>
      </c>
      <c r="L767" s="80" t="s">
        <v>2</v>
      </c>
      <c r="M767" s="80" t="s">
        <v>21</v>
      </c>
      <c r="N767" s="80" t="s">
        <v>174</v>
      </c>
      <c r="O767" s="80" t="s">
        <v>14</v>
      </c>
      <c r="P767" s="80" t="s">
        <v>890</v>
      </c>
      <c r="Q767" s="1071"/>
    </row>
    <row r="768" spans="9:17" ht="13.9" x14ac:dyDescent="0.4">
      <c r="I768" s="1073">
        <f>IF($A$1=13,I763+1,0)</f>
        <v>0</v>
      </c>
      <c r="J768" s="1092" t="str">
        <f>A4_Chem_Prices!K$21</f>
        <v>Prevathon</v>
      </c>
      <c r="K768" s="1350" t="s">
        <v>839</v>
      </c>
      <c r="L768" s="1095" t="str">
        <f>A4_Chem_Prices!L$21</f>
        <v>oz</v>
      </c>
      <c r="M768" s="1092">
        <f>A4_Chem_Prices!M$21</f>
        <v>1.05</v>
      </c>
      <c r="N768" s="1094">
        <v>14</v>
      </c>
      <c r="O768" s="82">
        <f>M768*N768</f>
        <v>14.700000000000001</v>
      </c>
      <c r="P768" s="1449">
        <f>N768</f>
        <v>14</v>
      </c>
      <c r="Q768" s="1071">
        <f>Q750</f>
        <v>0</v>
      </c>
    </row>
    <row r="769" spans="9:17" ht="13.9" x14ac:dyDescent="0.4">
      <c r="I769" s="1073">
        <f t="shared" ref="I769:I777" si="158">IF($A$1=13,I768+1,0)</f>
        <v>0</v>
      </c>
      <c r="J769" s="1092" t="str">
        <f>A4_Chem_Prices!K$20</f>
        <v>Sivanto Prime</v>
      </c>
      <c r="K769" s="1350" t="s">
        <v>839</v>
      </c>
      <c r="L769" s="1095" t="str">
        <f>A4_Chem_Prices!L$20</f>
        <v>oz</v>
      </c>
      <c r="M769" s="1092">
        <f>A4_Chem_Prices!M$20</f>
        <v>3.01</v>
      </c>
      <c r="N769" s="1094">
        <v>4</v>
      </c>
      <c r="O769" s="82">
        <f>M769*N769</f>
        <v>12.04</v>
      </c>
      <c r="P769" s="1449">
        <f>N769</f>
        <v>4</v>
      </c>
      <c r="Q769" s="1071">
        <f>Q768</f>
        <v>0</v>
      </c>
    </row>
    <row r="770" spans="9:17" ht="13.9" x14ac:dyDescent="0.4">
      <c r="I770" s="1073">
        <f t="shared" si="158"/>
        <v>0</v>
      </c>
      <c r="J770" s="159" t="str">
        <f>A4_Chem_Prices!K$23</f>
        <v>Warrior</v>
      </c>
      <c r="K770" s="1350" t="s">
        <v>839</v>
      </c>
      <c r="L770" s="160" t="str">
        <f>A4_Chem_Prices!L$23</f>
        <v>oz</v>
      </c>
      <c r="M770" s="159">
        <f>A4_Chem_Prices!M$23</f>
        <v>3.02</v>
      </c>
      <c r="N770" s="157">
        <v>0.96</v>
      </c>
      <c r="O770" s="82">
        <f t="shared" ref="O770:O777" si="159">M770*N770</f>
        <v>2.8992</v>
      </c>
      <c r="P770" s="158"/>
      <c r="Q770" s="1071">
        <f t="shared" ref="Q770:Q777" si="160">Q769</f>
        <v>0</v>
      </c>
    </row>
    <row r="771" spans="9:17" ht="13.9" x14ac:dyDescent="0.4">
      <c r="I771" s="1073">
        <f t="shared" si="158"/>
        <v>0</v>
      </c>
      <c r="J771" s="159" t="s">
        <v>19</v>
      </c>
      <c r="K771" s="1350" t="s">
        <v>839</v>
      </c>
      <c r="L771" s="160"/>
      <c r="M771" s="159">
        <v>0</v>
      </c>
      <c r="N771" s="157">
        <v>0</v>
      </c>
      <c r="O771" s="82">
        <f t="shared" si="159"/>
        <v>0</v>
      </c>
      <c r="P771" s="158"/>
      <c r="Q771" s="1071">
        <f t="shared" si="160"/>
        <v>0</v>
      </c>
    </row>
    <row r="772" spans="9:17" ht="13.9" x14ac:dyDescent="0.4">
      <c r="I772" s="1073">
        <f t="shared" si="158"/>
        <v>0</v>
      </c>
      <c r="J772" s="159" t="s">
        <v>19</v>
      </c>
      <c r="K772" s="1350" t="s">
        <v>839</v>
      </c>
      <c r="L772" s="160"/>
      <c r="M772" s="159">
        <v>0</v>
      </c>
      <c r="N772" s="157">
        <v>0</v>
      </c>
      <c r="O772" s="82">
        <f t="shared" si="159"/>
        <v>0</v>
      </c>
      <c r="P772" s="158"/>
      <c r="Q772" s="1071">
        <f t="shared" si="160"/>
        <v>0</v>
      </c>
    </row>
    <row r="773" spans="9:17" ht="13.9" x14ac:dyDescent="0.4">
      <c r="I773" s="1073">
        <f t="shared" si="158"/>
        <v>0</v>
      </c>
      <c r="J773" s="159" t="s">
        <v>19</v>
      </c>
      <c r="K773" s="1350" t="s">
        <v>839</v>
      </c>
      <c r="L773" s="160"/>
      <c r="M773" s="159">
        <v>0</v>
      </c>
      <c r="N773" s="157">
        <v>0</v>
      </c>
      <c r="O773" s="82">
        <f t="shared" si="159"/>
        <v>0</v>
      </c>
      <c r="P773" s="158"/>
      <c r="Q773" s="1071">
        <f t="shared" si="160"/>
        <v>0</v>
      </c>
    </row>
    <row r="774" spans="9:17" ht="13.9" x14ac:dyDescent="0.4">
      <c r="I774" s="1073">
        <f t="shared" si="158"/>
        <v>0</v>
      </c>
      <c r="J774" s="159" t="s">
        <v>19</v>
      </c>
      <c r="K774" s="1350" t="s">
        <v>839</v>
      </c>
      <c r="L774" s="160"/>
      <c r="M774" s="159">
        <v>0</v>
      </c>
      <c r="N774" s="157">
        <v>0</v>
      </c>
      <c r="O774" s="82">
        <f t="shared" si="159"/>
        <v>0</v>
      </c>
      <c r="P774" s="158"/>
      <c r="Q774" s="1071">
        <f t="shared" si="160"/>
        <v>0</v>
      </c>
    </row>
    <row r="775" spans="9:17" ht="13.9" x14ac:dyDescent="0.4">
      <c r="I775" s="1073">
        <f t="shared" si="158"/>
        <v>0</v>
      </c>
      <c r="J775" s="159" t="s">
        <v>19</v>
      </c>
      <c r="K775" s="1350" t="s">
        <v>839</v>
      </c>
      <c r="L775" s="160"/>
      <c r="M775" s="159">
        <v>0</v>
      </c>
      <c r="N775" s="157">
        <v>0</v>
      </c>
      <c r="O775" s="82">
        <f t="shared" si="159"/>
        <v>0</v>
      </c>
      <c r="P775" s="158"/>
      <c r="Q775" s="1071">
        <f t="shared" si="160"/>
        <v>0</v>
      </c>
    </row>
    <row r="776" spans="9:17" ht="13.9" x14ac:dyDescent="0.4">
      <c r="I776" s="1073">
        <f t="shared" si="158"/>
        <v>0</v>
      </c>
      <c r="J776" s="159" t="s">
        <v>19</v>
      </c>
      <c r="K776" s="1350" t="s">
        <v>839</v>
      </c>
      <c r="L776" s="160"/>
      <c r="M776" s="159">
        <v>0</v>
      </c>
      <c r="N776" s="157">
        <v>0</v>
      </c>
      <c r="O776" s="82">
        <f t="shared" si="159"/>
        <v>0</v>
      </c>
      <c r="P776" s="158"/>
      <c r="Q776" s="1071">
        <f t="shared" si="160"/>
        <v>0</v>
      </c>
    </row>
    <row r="777" spans="9:17" ht="13.9" x14ac:dyDescent="0.4">
      <c r="I777" s="1073">
        <f t="shared" si="158"/>
        <v>0</v>
      </c>
      <c r="J777" s="159" t="s">
        <v>19</v>
      </c>
      <c r="K777" s="1350" t="s">
        <v>839</v>
      </c>
      <c r="L777" s="160"/>
      <c r="M777" s="159">
        <v>0</v>
      </c>
      <c r="N777" s="157">
        <v>0</v>
      </c>
      <c r="O777" s="82">
        <f t="shared" si="159"/>
        <v>0</v>
      </c>
      <c r="P777" s="158"/>
      <c r="Q777" s="1071">
        <f t="shared" si="160"/>
        <v>0</v>
      </c>
    </row>
    <row r="778" spans="9:17" ht="13.9" x14ac:dyDescent="0.4">
      <c r="I778" s="1071"/>
      <c r="J778" s="86" t="s">
        <v>22</v>
      </c>
      <c r="K778" s="86"/>
      <c r="L778" s="86"/>
      <c r="M778" s="81"/>
      <c r="N778" s="87"/>
      <c r="O778" s="88">
        <f>SUM(O768:O777)</f>
        <v>29.639200000000002</v>
      </c>
      <c r="P778" s="86"/>
      <c r="Q778" s="1071"/>
    </row>
    <row r="779" spans="9:17" ht="13.9" x14ac:dyDescent="0.4">
      <c r="I779" s="1071"/>
      <c r="J779" s="83"/>
      <c r="K779" s="83"/>
      <c r="L779" s="83"/>
      <c r="M779" s="83"/>
      <c r="N779" s="84"/>
      <c r="O779" s="83"/>
      <c r="P779" s="83"/>
      <c r="Q779" s="1071"/>
    </row>
    <row r="780" spans="9:17" ht="13.9" x14ac:dyDescent="0.4">
      <c r="I780" s="1071"/>
      <c r="J780" s="78" t="str">
        <f>IF(OR(A2_Budget_Look_Up!$B$7=1,A2_Budget_Look_Up!$B$13=1),"Nematicide Detail", "Fungicide Detail")</f>
        <v>Fungicide Detail</v>
      </c>
      <c r="K780" s="78"/>
      <c r="L780" s="78"/>
      <c r="M780" s="79"/>
      <c r="N780" s="85"/>
      <c r="O780" s="79"/>
      <c r="P780" s="78"/>
      <c r="Q780" s="1071"/>
    </row>
    <row r="781" spans="9:17" ht="13.9" x14ac:dyDescent="0.4">
      <c r="I781" s="1071"/>
      <c r="J781" s="80" t="s">
        <v>212</v>
      </c>
      <c r="K781" s="80" t="s">
        <v>838</v>
      </c>
      <c r="L781" s="80" t="s">
        <v>2</v>
      </c>
      <c r="M781" s="80" t="s">
        <v>21</v>
      </c>
      <c r="N781" s="80" t="s">
        <v>174</v>
      </c>
      <c r="O781" s="80" t="s">
        <v>14</v>
      </c>
      <c r="P781" s="80" t="s">
        <v>890</v>
      </c>
      <c r="Q781" s="1071"/>
    </row>
    <row r="782" spans="9:17" ht="13.9" x14ac:dyDescent="0.4">
      <c r="I782" s="1073">
        <f>IF($A$1=13,I777+1,0)</f>
        <v>0</v>
      </c>
      <c r="J782" s="156" t="s">
        <v>19</v>
      </c>
      <c r="K782" s="1350" t="s">
        <v>839</v>
      </c>
      <c r="L782" s="158"/>
      <c r="M782" s="159">
        <v>0</v>
      </c>
      <c r="N782" s="157">
        <v>0</v>
      </c>
      <c r="O782" s="82">
        <f>M782*N782</f>
        <v>0</v>
      </c>
      <c r="P782" s="158"/>
      <c r="Q782" s="1071">
        <f>Q777</f>
        <v>0</v>
      </c>
    </row>
    <row r="783" spans="9:17" ht="13.9" x14ac:dyDescent="0.4">
      <c r="I783" s="1073">
        <f>IF($A$1=13,I782+1,0)</f>
        <v>0</v>
      </c>
      <c r="J783" s="156" t="s">
        <v>19</v>
      </c>
      <c r="K783" s="1350" t="s">
        <v>839</v>
      </c>
      <c r="L783" s="158"/>
      <c r="M783" s="159">
        <v>0</v>
      </c>
      <c r="N783" s="157">
        <v>0</v>
      </c>
      <c r="O783" s="82">
        <f>M783*N783</f>
        <v>0</v>
      </c>
      <c r="P783" s="158"/>
      <c r="Q783" s="1071">
        <f>Q782</f>
        <v>0</v>
      </c>
    </row>
    <row r="784" spans="9:17" ht="13.9" x14ac:dyDescent="0.4">
      <c r="I784" s="1071"/>
      <c r="J784" s="86" t="s">
        <v>22</v>
      </c>
      <c r="K784" s="86"/>
      <c r="L784" s="86"/>
      <c r="M784" s="81"/>
      <c r="N784" s="87"/>
      <c r="O784" s="88">
        <f>SUM(O782:O783)</f>
        <v>0</v>
      </c>
      <c r="P784" s="86"/>
      <c r="Q784" s="1071"/>
    </row>
    <row r="786" spans="9:17" ht="13.9" x14ac:dyDescent="0.4">
      <c r="I786" s="1071"/>
      <c r="J786" s="78" t="str">
        <f>IF(A2_Budget_Look_Up!$B$7=1,"Growth Regulator Detail", IF(A2_Budget_Look_Up!$B$13=1,"Fungicide Detail","Other Chemical Detail"))</f>
        <v>Other Chemical Detail</v>
      </c>
      <c r="K786" s="78"/>
      <c r="L786" s="78"/>
      <c r="M786" s="79"/>
      <c r="N786" s="85"/>
      <c r="O786" s="79"/>
      <c r="P786" s="78"/>
      <c r="Q786" s="1071"/>
    </row>
    <row r="787" spans="9:17" ht="13.9" x14ac:dyDescent="0.4">
      <c r="I787" s="1071"/>
      <c r="J787" s="80" t="s">
        <v>212</v>
      </c>
      <c r="K787" s="80" t="s">
        <v>838</v>
      </c>
      <c r="L787" s="80" t="s">
        <v>2</v>
      </c>
      <c r="M787" s="80" t="s">
        <v>21</v>
      </c>
      <c r="N787" s="80" t="s">
        <v>174</v>
      </c>
      <c r="O787" s="80" t="s">
        <v>14</v>
      </c>
      <c r="P787" s="80" t="s">
        <v>890</v>
      </c>
      <c r="Q787" s="1071"/>
    </row>
    <row r="788" spans="9:17" ht="13.9" x14ac:dyDescent="0.4">
      <c r="I788" s="1073">
        <f>IF($A$1=13,I783+1,0)</f>
        <v>0</v>
      </c>
      <c r="J788" s="156" t="s">
        <v>19</v>
      </c>
      <c r="K788" s="1350" t="s">
        <v>839</v>
      </c>
      <c r="L788" s="158"/>
      <c r="M788" s="159">
        <v>0</v>
      </c>
      <c r="N788" s="157">
        <v>0</v>
      </c>
      <c r="O788" s="82">
        <f t="shared" ref="O788:O794" si="161">M788*N788</f>
        <v>0</v>
      </c>
      <c r="P788" s="158"/>
      <c r="Q788" s="1071">
        <f>Q783</f>
        <v>0</v>
      </c>
    </row>
    <row r="789" spans="9:17" ht="13.9" x14ac:dyDescent="0.4">
      <c r="I789" s="1073">
        <f t="shared" ref="I789:I794" si="162">IF($A$1=13,I788+1,0)</f>
        <v>0</v>
      </c>
      <c r="J789" s="156" t="s">
        <v>19</v>
      </c>
      <c r="K789" s="1350" t="s">
        <v>839</v>
      </c>
      <c r="L789" s="158"/>
      <c r="M789" s="159">
        <v>0</v>
      </c>
      <c r="N789" s="157">
        <v>0</v>
      </c>
      <c r="O789" s="82">
        <f t="shared" si="161"/>
        <v>0</v>
      </c>
      <c r="P789" s="158"/>
      <c r="Q789" s="1071">
        <f t="shared" ref="Q789:Q794" si="163">Q788</f>
        <v>0</v>
      </c>
    </row>
    <row r="790" spans="9:17" ht="13.9" x14ac:dyDescent="0.4">
      <c r="I790" s="1073">
        <f t="shared" si="162"/>
        <v>0</v>
      </c>
      <c r="J790" s="156" t="s">
        <v>19</v>
      </c>
      <c r="K790" s="1350" t="s">
        <v>839</v>
      </c>
      <c r="L790" s="158"/>
      <c r="M790" s="159">
        <v>0</v>
      </c>
      <c r="N790" s="157">
        <v>0</v>
      </c>
      <c r="O790" s="82">
        <f t="shared" si="161"/>
        <v>0</v>
      </c>
      <c r="P790" s="158"/>
      <c r="Q790" s="1071">
        <f t="shared" si="163"/>
        <v>0</v>
      </c>
    </row>
    <row r="791" spans="9:17" ht="13.9" x14ac:dyDescent="0.4">
      <c r="I791" s="1073">
        <f t="shared" si="162"/>
        <v>0</v>
      </c>
      <c r="J791" s="156" t="s">
        <v>19</v>
      </c>
      <c r="K791" s="1350" t="s">
        <v>839</v>
      </c>
      <c r="L791" s="158"/>
      <c r="M791" s="159">
        <v>0</v>
      </c>
      <c r="N791" s="157">
        <v>0</v>
      </c>
      <c r="O791" s="82">
        <f t="shared" si="161"/>
        <v>0</v>
      </c>
      <c r="P791" s="158"/>
      <c r="Q791" s="1071">
        <f t="shared" si="163"/>
        <v>0</v>
      </c>
    </row>
    <row r="792" spans="9:17" ht="13.9" x14ac:dyDescent="0.4">
      <c r="I792" s="1073">
        <f t="shared" si="162"/>
        <v>0</v>
      </c>
      <c r="J792" s="156" t="s">
        <v>19</v>
      </c>
      <c r="K792" s="1350" t="s">
        <v>839</v>
      </c>
      <c r="L792" s="158"/>
      <c r="M792" s="159">
        <v>0</v>
      </c>
      <c r="N792" s="157">
        <v>0</v>
      </c>
      <c r="O792" s="82">
        <f t="shared" si="161"/>
        <v>0</v>
      </c>
      <c r="P792" s="158"/>
      <c r="Q792" s="1071">
        <f t="shared" si="163"/>
        <v>0</v>
      </c>
    </row>
    <row r="793" spans="9:17" ht="13.9" x14ac:dyDescent="0.4">
      <c r="I793" s="1073">
        <f t="shared" si="162"/>
        <v>0</v>
      </c>
      <c r="J793" s="156" t="s">
        <v>19</v>
      </c>
      <c r="K793" s="1350" t="s">
        <v>839</v>
      </c>
      <c r="L793" s="158"/>
      <c r="M793" s="159">
        <v>0</v>
      </c>
      <c r="N793" s="157">
        <v>0</v>
      </c>
      <c r="O793" s="82">
        <f t="shared" si="161"/>
        <v>0</v>
      </c>
      <c r="P793" s="158"/>
      <c r="Q793" s="1071">
        <f t="shared" si="163"/>
        <v>0</v>
      </c>
    </row>
    <row r="794" spans="9:17" ht="13.9" x14ac:dyDescent="0.4">
      <c r="I794" s="1073">
        <f t="shared" si="162"/>
        <v>0</v>
      </c>
      <c r="J794" s="156" t="s">
        <v>19</v>
      </c>
      <c r="K794" s="1350" t="s">
        <v>839</v>
      </c>
      <c r="L794" s="158"/>
      <c r="M794" s="159">
        <v>0</v>
      </c>
      <c r="N794" s="157">
        <v>0</v>
      </c>
      <c r="O794" s="82">
        <f t="shared" si="161"/>
        <v>0</v>
      </c>
      <c r="P794" s="158"/>
      <c r="Q794" s="1071">
        <f t="shared" si="163"/>
        <v>0</v>
      </c>
    </row>
    <row r="795" spans="9:17" ht="13.9" x14ac:dyDescent="0.4">
      <c r="I795" s="1071"/>
      <c r="J795" s="86" t="s">
        <v>22</v>
      </c>
      <c r="K795" s="86"/>
      <c r="L795" s="86"/>
      <c r="M795" s="81"/>
      <c r="N795" s="87"/>
      <c r="O795" s="88">
        <f>SUM(O788:O794)</f>
        <v>0</v>
      </c>
      <c r="P795" s="86"/>
      <c r="Q795" s="1071"/>
    </row>
    <row r="796" spans="9:17" ht="13.9" x14ac:dyDescent="0.4">
      <c r="I796" s="1071"/>
      <c r="J796" s="83"/>
      <c r="K796" s="83"/>
      <c r="L796" s="83"/>
      <c r="M796" s="83"/>
      <c r="N796" s="84"/>
      <c r="O796" s="83"/>
      <c r="P796" s="83"/>
      <c r="Q796" s="1071"/>
    </row>
    <row r="797" spans="9:17" ht="13.9" x14ac:dyDescent="0.4">
      <c r="I797" s="1071"/>
      <c r="J797" s="78" t="str">
        <f>IF(A2_Budget_Look_Up!$B$7=1,"Defoliant Detail", "Other Chemical Detail")</f>
        <v>Other Chemical Detail</v>
      </c>
      <c r="K797" s="78"/>
      <c r="L797" s="78"/>
      <c r="M797" s="79"/>
      <c r="N797" s="85"/>
      <c r="O797" s="79"/>
      <c r="P797" s="78"/>
      <c r="Q797" s="1071"/>
    </row>
    <row r="798" spans="9:17" ht="13.9" x14ac:dyDescent="0.4">
      <c r="I798" s="1071"/>
      <c r="J798" s="80" t="s">
        <v>212</v>
      </c>
      <c r="K798" s="80" t="s">
        <v>838</v>
      </c>
      <c r="L798" s="80" t="s">
        <v>2</v>
      </c>
      <c r="M798" s="80" t="s">
        <v>21</v>
      </c>
      <c r="N798" s="80" t="s">
        <v>174</v>
      </c>
      <c r="O798" s="80" t="s">
        <v>14</v>
      </c>
      <c r="P798" s="80" t="s">
        <v>890</v>
      </c>
      <c r="Q798" s="1071"/>
    </row>
    <row r="799" spans="9:17" ht="13.9" x14ac:dyDescent="0.4">
      <c r="I799" s="1073">
        <f>IF($A$1=13,I794+1,0)</f>
        <v>0</v>
      </c>
      <c r="J799" s="156" t="s">
        <v>19</v>
      </c>
      <c r="K799" s="1350" t="s">
        <v>839</v>
      </c>
      <c r="L799" s="158"/>
      <c r="M799" s="159">
        <v>0</v>
      </c>
      <c r="N799" s="157">
        <v>0</v>
      </c>
      <c r="O799" s="82">
        <f t="shared" ref="O799:O805" si="164">M799*N799</f>
        <v>0</v>
      </c>
      <c r="P799" s="158"/>
      <c r="Q799" s="1071">
        <f>Q794</f>
        <v>0</v>
      </c>
    </row>
    <row r="800" spans="9:17" ht="13.9" x14ac:dyDescent="0.4">
      <c r="I800" s="1073">
        <f t="shared" ref="I800:I805" si="165">IF($A$1=13,I799+1,0)</f>
        <v>0</v>
      </c>
      <c r="J800" s="156" t="s">
        <v>19</v>
      </c>
      <c r="K800" s="1350" t="s">
        <v>839</v>
      </c>
      <c r="L800" s="158"/>
      <c r="M800" s="159">
        <v>0</v>
      </c>
      <c r="N800" s="157">
        <v>0</v>
      </c>
      <c r="O800" s="82">
        <f t="shared" si="164"/>
        <v>0</v>
      </c>
      <c r="P800" s="158"/>
      <c r="Q800" s="1071">
        <f t="shared" ref="Q800:Q805" si="166">Q799</f>
        <v>0</v>
      </c>
    </row>
    <row r="801" spans="9:17" ht="13.9" x14ac:dyDescent="0.4">
      <c r="I801" s="1073">
        <f t="shared" si="165"/>
        <v>0</v>
      </c>
      <c r="J801" s="156" t="s">
        <v>19</v>
      </c>
      <c r="K801" s="1350" t="s">
        <v>839</v>
      </c>
      <c r="L801" s="158"/>
      <c r="M801" s="159">
        <v>0</v>
      </c>
      <c r="N801" s="157">
        <v>0</v>
      </c>
      <c r="O801" s="82">
        <f t="shared" si="164"/>
        <v>0</v>
      </c>
      <c r="P801" s="158"/>
      <c r="Q801" s="1071">
        <f t="shared" si="166"/>
        <v>0</v>
      </c>
    </row>
    <row r="802" spans="9:17" ht="13.9" x14ac:dyDescent="0.4">
      <c r="I802" s="1073">
        <f t="shared" si="165"/>
        <v>0</v>
      </c>
      <c r="J802" s="156" t="s">
        <v>19</v>
      </c>
      <c r="K802" s="1350" t="s">
        <v>839</v>
      </c>
      <c r="L802" s="158"/>
      <c r="M802" s="159">
        <v>0</v>
      </c>
      <c r="N802" s="157">
        <v>0</v>
      </c>
      <c r="O802" s="82">
        <f t="shared" si="164"/>
        <v>0</v>
      </c>
      <c r="P802" s="158"/>
      <c r="Q802" s="1071">
        <f t="shared" si="166"/>
        <v>0</v>
      </c>
    </row>
    <row r="803" spans="9:17" ht="13.9" x14ac:dyDescent="0.4">
      <c r="I803" s="1073">
        <f t="shared" si="165"/>
        <v>0</v>
      </c>
      <c r="J803" s="156" t="s">
        <v>19</v>
      </c>
      <c r="K803" s="1350" t="s">
        <v>839</v>
      </c>
      <c r="L803" s="158"/>
      <c r="M803" s="159">
        <v>0</v>
      </c>
      <c r="N803" s="157">
        <v>0</v>
      </c>
      <c r="O803" s="82">
        <f t="shared" si="164"/>
        <v>0</v>
      </c>
      <c r="P803" s="158"/>
      <c r="Q803" s="1071">
        <f t="shared" si="166"/>
        <v>0</v>
      </c>
    </row>
    <row r="804" spans="9:17" ht="13.9" x14ac:dyDescent="0.4">
      <c r="I804" s="1073">
        <f t="shared" si="165"/>
        <v>0</v>
      </c>
      <c r="J804" s="156" t="s">
        <v>19</v>
      </c>
      <c r="K804" s="1350" t="s">
        <v>839</v>
      </c>
      <c r="L804" s="158"/>
      <c r="M804" s="159">
        <v>0</v>
      </c>
      <c r="N804" s="157">
        <v>0</v>
      </c>
      <c r="O804" s="82">
        <f t="shared" si="164"/>
        <v>0</v>
      </c>
      <c r="P804" s="158"/>
      <c r="Q804" s="1071">
        <f t="shared" si="166"/>
        <v>0</v>
      </c>
    </row>
    <row r="805" spans="9:17" ht="13.9" x14ac:dyDescent="0.4">
      <c r="I805" s="1073">
        <f t="shared" si="165"/>
        <v>0</v>
      </c>
      <c r="J805" s="156" t="s">
        <v>19</v>
      </c>
      <c r="K805" s="1350" t="s">
        <v>839</v>
      </c>
      <c r="L805" s="158"/>
      <c r="M805" s="159">
        <v>0</v>
      </c>
      <c r="N805" s="157">
        <v>0</v>
      </c>
      <c r="O805" s="82">
        <f t="shared" si="164"/>
        <v>0</v>
      </c>
      <c r="P805" s="158"/>
      <c r="Q805" s="1071">
        <f t="shared" si="166"/>
        <v>0</v>
      </c>
    </row>
    <row r="806" spans="9:17" ht="13.9" x14ac:dyDescent="0.4">
      <c r="I806" s="1071"/>
      <c r="J806" s="86" t="s">
        <v>22</v>
      </c>
      <c r="K806" s="86"/>
      <c r="L806" s="86"/>
      <c r="M806" s="81"/>
      <c r="N806" s="87"/>
      <c r="O806" s="88">
        <f>SUM(O799:O805)</f>
        <v>0</v>
      </c>
      <c r="P806" s="86"/>
      <c r="Q806" s="1071"/>
    </row>
    <row r="807" spans="9:17" ht="13.9" x14ac:dyDescent="0.4">
      <c r="I807" s="1071"/>
      <c r="J807" s="83"/>
      <c r="K807" s="83"/>
      <c r="L807" s="83"/>
      <c r="M807" s="89"/>
      <c r="N807" s="84"/>
      <c r="O807" s="89"/>
      <c r="P807" s="83"/>
      <c r="Q807" s="1071"/>
    </row>
    <row r="808" spans="9:17" ht="13.9" x14ac:dyDescent="0.4">
      <c r="I808" s="1071"/>
      <c r="J808" s="1168" t="str">
        <f>A2_Budget_Look_Up!H16</f>
        <v>Rice, Conventional Seed</v>
      </c>
      <c r="K808" s="1168"/>
      <c r="L808" s="1168">
        <f>A2_Budget_Look_Up!F16</f>
        <v>14</v>
      </c>
      <c r="M808" s="1168"/>
      <c r="N808" s="1168"/>
      <c r="O808" s="1168"/>
      <c r="P808" s="1168"/>
      <c r="Q808" s="1071"/>
    </row>
    <row r="809" spans="9:17" ht="13.9" x14ac:dyDescent="0.4">
      <c r="I809" s="1071"/>
      <c r="J809" s="83"/>
      <c r="K809" s="83"/>
      <c r="L809" s="83"/>
      <c r="M809" s="83"/>
      <c r="N809" s="84"/>
      <c r="O809" s="83"/>
      <c r="P809" s="83"/>
      <c r="Q809" s="1071"/>
    </row>
    <row r="810" spans="9:17" ht="13.9" x14ac:dyDescent="0.4">
      <c r="I810" s="1071"/>
      <c r="J810" s="78" t="s">
        <v>18</v>
      </c>
      <c r="K810" s="78"/>
      <c r="L810" s="78"/>
      <c r="M810" s="79"/>
      <c r="N810" s="85"/>
      <c r="O810" s="79"/>
      <c r="P810" s="78"/>
      <c r="Q810" s="1071"/>
    </row>
    <row r="811" spans="9:17" ht="13.9" x14ac:dyDescent="0.4">
      <c r="I811" s="1071"/>
      <c r="J811" s="80" t="s">
        <v>212</v>
      </c>
      <c r="K811" s="80" t="s">
        <v>838</v>
      </c>
      <c r="L811" s="80" t="s">
        <v>2</v>
      </c>
      <c r="M811" s="80" t="s">
        <v>21</v>
      </c>
      <c r="N811" s="80" t="s">
        <v>174</v>
      </c>
      <c r="O811" s="80" t="s">
        <v>14</v>
      </c>
      <c r="P811" s="80" t="s">
        <v>890</v>
      </c>
      <c r="Q811" s="1071"/>
    </row>
    <row r="812" spans="9:17" ht="13.9" x14ac:dyDescent="0.4">
      <c r="I812" s="1073">
        <f>IF($A$1=14,1,0)</f>
        <v>0</v>
      </c>
      <c r="J812" s="159" t="str">
        <f>A4_Chem_Prices!H$9</f>
        <v>Roundup Powermax 3</v>
      </c>
      <c r="K812" s="1350" t="s">
        <v>839</v>
      </c>
      <c r="L812" s="158" t="str">
        <f>A4_Chem_Prices!I$9</f>
        <v>oz</v>
      </c>
      <c r="M812" s="159">
        <f>A4_Chem_Prices!J$9</f>
        <v>0.140625</v>
      </c>
      <c r="N812" s="157">
        <v>32</v>
      </c>
      <c r="O812" s="82">
        <f t="shared" ref="O812:O825" si="167">M812*N812</f>
        <v>4.5</v>
      </c>
      <c r="P812" s="1449">
        <f>N812</f>
        <v>32</v>
      </c>
      <c r="Q812" s="1171">
        <f>IF(SUM(I812:I867)=820,L808,0)</f>
        <v>0</v>
      </c>
    </row>
    <row r="813" spans="9:17" ht="13.9" x14ac:dyDescent="0.4">
      <c r="I813" s="1073">
        <f t="shared" ref="I813:I825" si="168">IF($A$1=14,I812+1,0)</f>
        <v>0</v>
      </c>
      <c r="J813" s="159" t="str">
        <f>A4_Chem_Prices!H$2</f>
        <v>Command</v>
      </c>
      <c r="K813" s="1350" t="s">
        <v>839</v>
      </c>
      <c r="L813" s="160" t="str">
        <f>A4_Chem_Prices!I$2</f>
        <v>oz</v>
      </c>
      <c r="M813" s="159">
        <f>A4_Chem_Prices!J$2</f>
        <v>0.67414062499999994</v>
      </c>
      <c r="N813" s="157">
        <v>12.8</v>
      </c>
      <c r="O813" s="82">
        <f t="shared" si="167"/>
        <v>8.6289999999999996</v>
      </c>
      <c r="P813" s="160">
        <f>N813*128</f>
        <v>1638.4</v>
      </c>
      <c r="Q813" s="1071">
        <f>Q812</f>
        <v>0</v>
      </c>
    </row>
    <row r="814" spans="9:17" ht="13.9" x14ac:dyDescent="0.4">
      <c r="I814" s="1073">
        <f t="shared" si="168"/>
        <v>0</v>
      </c>
      <c r="J814" s="159" t="str">
        <f>A4_Chem_Prices!H$9</f>
        <v>Roundup Powermax 3</v>
      </c>
      <c r="K814" s="1350" t="s">
        <v>839</v>
      </c>
      <c r="L814" s="158" t="str">
        <f>A4_Chem_Prices!I$9</f>
        <v>oz</v>
      </c>
      <c r="M814" s="159">
        <f>A4_Chem_Prices!J$9</f>
        <v>0.140625</v>
      </c>
      <c r="N814" s="157">
        <v>32</v>
      </c>
      <c r="O814" s="82">
        <f t="shared" si="167"/>
        <v>4.5</v>
      </c>
      <c r="P814" s="160">
        <f>N814*16</f>
        <v>512</v>
      </c>
      <c r="Q814" s="1071">
        <f t="shared" ref="Q814:Q825" si="169">Q813</f>
        <v>0</v>
      </c>
    </row>
    <row r="815" spans="9:17" ht="13.9" x14ac:dyDescent="0.4">
      <c r="I815" s="1073">
        <f t="shared" si="168"/>
        <v>0</v>
      </c>
      <c r="J815" s="159" t="str">
        <f>A4_Chem_Prices!K$11</f>
        <v>Sharpen</v>
      </c>
      <c r="K815" s="1350" t="s">
        <v>839</v>
      </c>
      <c r="L815" s="160" t="str">
        <f>A4_Chem_Prices!L$11</f>
        <v>oz</v>
      </c>
      <c r="M815" s="159">
        <f>A4_Chem_Prices!M$11</f>
        <v>6.7</v>
      </c>
      <c r="N815" s="157">
        <v>3</v>
      </c>
      <c r="O815" s="82">
        <f t="shared" si="167"/>
        <v>20.100000000000001</v>
      </c>
      <c r="P815" s="1449">
        <f>N815</f>
        <v>3</v>
      </c>
      <c r="Q815" s="1071">
        <f t="shared" si="169"/>
        <v>0</v>
      </c>
    </row>
    <row r="816" spans="9:17" ht="13.9" x14ac:dyDescent="0.4">
      <c r="I816" s="1073">
        <f t="shared" si="168"/>
        <v>0</v>
      </c>
      <c r="J816" s="159" t="str">
        <f>A4_Chem_Prices!H$7</f>
        <v>Facet L</v>
      </c>
      <c r="K816" s="1350" t="s">
        <v>839</v>
      </c>
      <c r="L816" s="160" t="str">
        <f>A4_Chem_Prices!I$7</f>
        <v>oz</v>
      </c>
      <c r="M816" s="18">
        <f>A4_Chem_Prices!J$7</f>
        <v>0.6640625</v>
      </c>
      <c r="N816" s="157">
        <v>25</v>
      </c>
      <c r="O816" s="82">
        <f t="shared" si="167"/>
        <v>16.6015625</v>
      </c>
      <c r="P816" s="158"/>
      <c r="Q816" s="1071">
        <f t="shared" si="169"/>
        <v>0</v>
      </c>
    </row>
    <row r="817" spans="9:17" ht="13.9" x14ac:dyDescent="0.4">
      <c r="I817" s="1073">
        <f t="shared" si="168"/>
        <v>0</v>
      </c>
      <c r="J817" s="159" t="str">
        <f>A4_Chem_Prices!H$15</f>
        <v>Ricestar HT</v>
      </c>
      <c r="K817" s="1350" t="s">
        <v>839</v>
      </c>
      <c r="L817" s="160" t="str">
        <f>A4_Chem_Prices!I$15</f>
        <v>oz</v>
      </c>
      <c r="M817" s="159">
        <f>A4_Chem_Prices!J$15</f>
        <v>1.47484375</v>
      </c>
      <c r="N817" s="157">
        <v>24</v>
      </c>
      <c r="O817" s="82">
        <f t="shared" si="167"/>
        <v>35.396250000000002</v>
      </c>
      <c r="P817" s="158"/>
      <c r="Q817" s="1071">
        <f t="shared" si="169"/>
        <v>0</v>
      </c>
    </row>
    <row r="818" spans="9:17" ht="13.9" x14ac:dyDescent="0.4">
      <c r="I818" s="1073">
        <f t="shared" si="168"/>
        <v>0</v>
      </c>
      <c r="J818" s="159" t="str">
        <f>A4_Chem_Prices!K$10</f>
        <v>Gambit</v>
      </c>
      <c r="K818" s="1350" t="s">
        <v>839</v>
      </c>
      <c r="L818" s="160" t="str">
        <f>A4_Chem_Prices!L$10</f>
        <v>oz</v>
      </c>
      <c r="M818" s="159">
        <f>A4_Chem_Prices!M$10</f>
        <v>14.5</v>
      </c>
      <c r="N818" s="157">
        <v>1.5</v>
      </c>
      <c r="O818" s="82">
        <f t="shared" si="167"/>
        <v>21.75</v>
      </c>
      <c r="P818" s="160"/>
      <c r="Q818" s="1071">
        <f t="shared" si="169"/>
        <v>0</v>
      </c>
    </row>
    <row r="819" spans="9:17" ht="13.9" x14ac:dyDescent="0.4">
      <c r="I819" s="1073">
        <f t="shared" si="168"/>
        <v>0</v>
      </c>
      <c r="J819" s="159" t="str">
        <f>A4_Chem_Prices!K$16</f>
        <v>Basagran</v>
      </c>
      <c r="K819" s="1350" t="s">
        <v>839</v>
      </c>
      <c r="L819" s="160" t="str">
        <f>A4_Chem_Prices!L$16</f>
        <v>oz</v>
      </c>
      <c r="M819" s="159">
        <f>A4_Chem_Prices!M$16</f>
        <v>0.67046874999999995</v>
      </c>
      <c r="N819" s="157">
        <v>24</v>
      </c>
      <c r="O819" s="82">
        <f t="shared" si="167"/>
        <v>16.091249999999999</v>
      </c>
      <c r="P819" s="160"/>
      <c r="Q819" s="1071">
        <f t="shared" si="169"/>
        <v>0</v>
      </c>
    </row>
    <row r="820" spans="9:17" ht="13.9" x14ac:dyDescent="0.4">
      <c r="I820" s="1073">
        <f t="shared" si="168"/>
        <v>0</v>
      </c>
      <c r="J820" s="159" t="s">
        <v>19</v>
      </c>
      <c r="K820" s="1350" t="s">
        <v>839</v>
      </c>
      <c r="L820" s="160"/>
      <c r="M820" s="159">
        <v>0</v>
      </c>
      <c r="N820" s="157">
        <v>0</v>
      </c>
      <c r="O820" s="82">
        <f t="shared" si="167"/>
        <v>0</v>
      </c>
      <c r="P820" s="160"/>
      <c r="Q820" s="1071">
        <f t="shared" si="169"/>
        <v>0</v>
      </c>
    </row>
    <row r="821" spans="9:17" ht="13.9" x14ac:dyDescent="0.4">
      <c r="I821" s="1073">
        <f t="shared" si="168"/>
        <v>0</v>
      </c>
      <c r="J821" s="159" t="s">
        <v>19</v>
      </c>
      <c r="K821" s="1350" t="s">
        <v>839</v>
      </c>
      <c r="L821" s="160"/>
      <c r="M821" s="159">
        <v>0</v>
      </c>
      <c r="N821" s="157">
        <v>0</v>
      </c>
      <c r="O821" s="82">
        <f t="shared" si="167"/>
        <v>0</v>
      </c>
      <c r="P821" s="160"/>
      <c r="Q821" s="1071">
        <f t="shared" si="169"/>
        <v>0</v>
      </c>
    </row>
    <row r="822" spans="9:17" ht="13.9" x14ac:dyDescent="0.4">
      <c r="I822" s="1073">
        <f t="shared" si="168"/>
        <v>0</v>
      </c>
      <c r="J822" s="159" t="s">
        <v>19</v>
      </c>
      <c r="K822" s="1350" t="s">
        <v>839</v>
      </c>
      <c r="L822" s="160"/>
      <c r="M822" s="159">
        <v>0</v>
      </c>
      <c r="N822" s="157">
        <v>0</v>
      </c>
      <c r="O822" s="82">
        <f t="shared" si="167"/>
        <v>0</v>
      </c>
      <c r="P822" s="160"/>
      <c r="Q822" s="1071">
        <f t="shared" si="169"/>
        <v>0</v>
      </c>
    </row>
    <row r="823" spans="9:17" ht="13.9" x14ac:dyDescent="0.4">
      <c r="I823" s="1073">
        <f t="shared" si="168"/>
        <v>0</v>
      </c>
      <c r="J823" s="159" t="s">
        <v>19</v>
      </c>
      <c r="K823" s="1350" t="s">
        <v>839</v>
      </c>
      <c r="L823" s="160"/>
      <c r="M823" s="159">
        <v>0</v>
      </c>
      <c r="N823" s="157">
        <v>0</v>
      </c>
      <c r="O823" s="82">
        <f t="shared" si="167"/>
        <v>0</v>
      </c>
      <c r="P823" s="160"/>
      <c r="Q823" s="1071">
        <f t="shared" si="169"/>
        <v>0</v>
      </c>
    </row>
    <row r="824" spans="9:17" ht="13.9" x14ac:dyDescent="0.4">
      <c r="I824" s="1073">
        <f t="shared" si="168"/>
        <v>0</v>
      </c>
      <c r="J824" s="159" t="s">
        <v>19</v>
      </c>
      <c r="K824" s="1350" t="s">
        <v>839</v>
      </c>
      <c r="L824" s="160"/>
      <c r="M824" s="159">
        <v>0</v>
      </c>
      <c r="N824" s="157">
        <v>0</v>
      </c>
      <c r="O824" s="82">
        <f t="shared" si="167"/>
        <v>0</v>
      </c>
      <c r="P824" s="160"/>
      <c r="Q824" s="1071">
        <f t="shared" si="169"/>
        <v>0</v>
      </c>
    </row>
    <row r="825" spans="9:17" ht="13.9" x14ac:dyDescent="0.4">
      <c r="I825" s="1073">
        <f t="shared" si="168"/>
        <v>0</v>
      </c>
      <c r="J825" s="159" t="s">
        <v>19</v>
      </c>
      <c r="K825" s="1350" t="s">
        <v>839</v>
      </c>
      <c r="L825" s="160"/>
      <c r="M825" s="159">
        <v>0</v>
      </c>
      <c r="N825" s="157">
        <v>0</v>
      </c>
      <c r="O825" s="82">
        <f t="shared" si="167"/>
        <v>0</v>
      </c>
      <c r="P825" s="160"/>
      <c r="Q825" s="1071">
        <f t="shared" si="169"/>
        <v>0</v>
      </c>
    </row>
    <row r="826" spans="9:17" ht="13.9" x14ac:dyDescent="0.4">
      <c r="I826" s="1071"/>
      <c r="J826" s="86" t="s">
        <v>22</v>
      </c>
      <c r="K826" s="86"/>
      <c r="L826" s="86"/>
      <c r="M826" s="81"/>
      <c r="N826" s="87"/>
      <c r="O826" s="88">
        <f>SUM(O812:O825)</f>
        <v>127.5680625</v>
      </c>
      <c r="P826" s="86"/>
      <c r="Q826" s="1071"/>
    </row>
    <row r="827" spans="9:17" ht="13.9" x14ac:dyDescent="0.4">
      <c r="I827" s="1071"/>
      <c r="J827" s="83"/>
      <c r="K827" s="83"/>
      <c r="L827" s="83"/>
      <c r="M827" s="83"/>
      <c r="N827" s="84"/>
      <c r="O827" s="83"/>
      <c r="P827" s="83"/>
      <c r="Q827" s="1071"/>
    </row>
    <row r="828" spans="9:17" ht="13.9" x14ac:dyDescent="0.4">
      <c r="I828" s="1071"/>
      <c r="J828" s="78" t="s">
        <v>20</v>
      </c>
      <c r="K828" s="78"/>
      <c r="L828" s="78"/>
      <c r="M828" s="79"/>
      <c r="N828" s="85"/>
      <c r="O828" s="79"/>
      <c r="P828" s="78"/>
      <c r="Q828" s="1071"/>
    </row>
    <row r="829" spans="9:17" ht="13.9" x14ac:dyDescent="0.4">
      <c r="I829" s="1071"/>
      <c r="J829" s="80" t="s">
        <v>212</v>
      </c>
      <c r="K829" s="80" t="s">
        <v>838</v>
      </c>
      <c r="L829" s="80" t="s">
        <v>2</v>
      </c>
      <c r="M829" s="80" t="s">
        <v>21</v>
      </c>
      <c r="N829" s="80" t="s">
        <v>174</v>
      </c>
      <c r="O829" s="80" t="s">
        <v>14</v>
      </c>
      <c r="P829" s="80" t="s">
        <v>890</v>
      </c>
      <c r="Q829" s="1071"/>
    </row>
    <row r="830" spans="9:17" ht="13.9" x14ac:dyDescent="0.4">
      <c r="I830" s="1073">
        <f>IF($A$1=14,I825+1,0)</f>
        <v>0</v>
      </c>
      <c r="J830" s="1092" t="str">
        <f>A4_Chem_Prices!H$19</f>
        <v>Tenchu</v>
      </c>
      <c r="K830" s="1350" t="s">
        <v>839</v>
      </c>
      <c r="L830" s="1095" t="str">
        <f>A4_Chem_Prices!I$19</f>
        <v>oz</v>
      </c>
      <c r="M830" s="1092">
        <f>A4_Chem_Prices!J$19</f>
        <v>1.1299999999999999</v>
      </c>
      <c r="N830" s="1094">
        <v>8</v>
      </c>
      <c r="O830" s="82">
        <f t="shared" ref="O830:O839" si="170">M830*N830</f>
        <v>9.0399999999999991</v>
      </c>
      <c r="P830" s="1449">
        <f>N830</f>
        <v>8</v>
      </c>
      <c r="Q830" s="1071">
        <f>Q812</f>
        <v>0</v>
      </c>
    </row>
    <row r="831" spans="9:17" ht="13.9" x14ac:dyDescent="0.4">
      <c r="I831" s="1073">
        <f t="shared" ref="I831:I839" si="171">IF($A$1=14,I830+1,0)</f>
        <v>0</v>
      </c>
      <c r="J831" s="159" t="s">
        <v>19</v>
      </c>
      <c r="K831" s="1350" t="s">
        <v>839</v>
      </c>
      <c r="L831" s="160"/>
      <c r="M831" s="159">
        <v>0</v>
      </c>
      <c r="N831" s="157">
        <v>0</v>
      </c>
      <c r="O831" s="82">
        <f t="shared" si="170"/>
        <v>0</v>
      </c>
      <c r="P831" s="158"/>
      <c r="Q831" s="1071">
        <f>Q830</f>
        <v>0</v>
      </c>
    </row>
    <row r="832" spans="9:17" ht="13.9" x14ac:dyDescent="0.4">
      <c r="I832" s="1073">
        <f t="shared" si="171"/>
        <v>0</v>
      </c>
      <c r="J832" s="159" t="s">
        <v>19</v>
      </c>
      <c r="K832" s="1350" t="s">
        <v>839</v>
      </c>
      <c r="L832" s="160"/>
      <c r="M832" s="159">
        <v>0</v>
      </c>
      <c r="N832" s="157">
        <v>0</v>
      </c>
      <c r="O832" s="82">
        <f t="shared" si="170"/>
        <v>0</v>
      </c>
      <c r="P832" s="158"/>
      <c r="Q832" s="1071">
        <f t="shared" ref="Q832:Q839" si="172">Q831</f>
        <v>0</v>
      </c>
    </row>
    <row r="833" spans="9:17" ht="13.9" x14ac:dyDescent="0.4">
      <c r="I833" s="1073">
        <f t="shared" si="171"/>
        <v>0</v>
      </c>
      <c r="J833" s="159" t="s">
        <v>19</v>
      </c>
      <c r="K833" s="1350" t="s">
        <v>839</v>
      </c>
      <c r="L833" s="160"/>
      <c r="M833" s="159">
        <v>0</v>
      </c>
      <c r="N833" s="157">
        <v>0</v>
      </c>
      <c r="O833" s="82">
        <f t="shared" si="170"/>
        <v>0</v>
      </c>
      <c r="P833" s="158"/>
      <c r="Q833" s="1071">
        <f t="shared" si="172"/>
        <v>0</v>
      </c>
    </row>
    <row r="834" spans="9:17" ht="13.9" x14ac:dyDescent="0.4">
      <c r="I834" s="1073">
        <f t="shared" si="171"/>
        <v>0</v>
      </c>
      <c r="J834" s="159" t="s">
        <v>19</v>
      </c>
      <c r="K834" s="1350" t="s">
        <v>839</v>
      </c>
      <c r="L834" s="160"/>
      <c r="M834" s="159">
        <v>0</v>
      </c>
      <c r="N834" s="157">
        <v>0</v>
      </c>
      <c r="O834" s="82">
        <f t="shared" si="170"/>
        <v>0</v>
      </c>
      <c r="P834" s="158"/>
      <c r="Q834" s="1071">
        <f t="shared" si="172"/>
        <v>0</v>
      </c>
    </row>
    <row r="835" spans="9:17" ht="13.9" x14ac:dyDescent="0.4">
      <c r="I835" s="1073">
        <f t="shared" si="171"/>
        <v>0</v>
      </c>
      <c r="J835" s="159" t="s">
        <v>19</v>
      </c>
      <c r="K835" s="1350" t="s">
        <v>839</v>
      </c>
      <c r="L835" s="160"/>
      <c r="M835" s="159">
        <v>0</v>
      </c>
      <c r="N835" s="157">
        <v>0</v>
      </c>
      <c r="O835" s="82">
        <f t="shared" si="170"/>
        <v>0</v>
      </c>
      <c r="P835" s="158"/>
      <c r="Q835" s="1071">
        <f t="shared" si="172"/>
        <v>0</v>
      </c>
    </row>
    <row r="836" spans="9:17" ht="13.9" x14ac:dyDescent="0.4">
      <c r="I836" s="1073">
        <f t="shared" si="171"/>
        <v>0</v>
      </c>
      <c r="J836" s="159" t="s">
        <v>19</v>
      </c>
      <c r="K836" s="1350" t="s">
        <v>839</v>
      </c>
      <c r="L836" s="160"/>
      <c r="M836" s="159">
        <v>0</v>
      </c>
      <c r="N836" s="157">
        <v>0</v>
      </c>
      <c r="O836" s="82">
        <f t="shared" si="170"/>
        <v>0</v>
      </c>
      <c r="P836" s="158"/>
      <c r="Q836" s="1071">
        <f t="shared" si="172"/>
        <v>0</v>
      </c>
    </row>
    <row r="837" spans="9:17" ht="13.9" x14ac:dyDescent="0.4">
      <c r="I837" s="1073">
        <f t="shared" si="171"/>
        <v>0</v>
      </c>
      <c r="J837" s="159" t="s">
        <v>19</v>
      </c>
      <c r="K837" s="1350" t="s">
        <v>839</v>
      </c>
      <c r="L837" s="160"/>
      <c r="M837" s="159">
        <v>0</v>
      </c>
      <c r="N837" s="157">
        <v>0</v>
      </c>
      <c r="O837" s="82">
        <f t="shared" si="170"/>
        <v>0</v>
      </c>
      <c r="P837" s="158"/>
      <c r="Q837" s="1071">
        <f t="shared" si="172"/>
        <v>0</v>
      </c>
    </row>
    <row r="838" spans="9:17" ht="13.9" x14ac:dyDescent="0.4">
      <c r="I838" s="1073">
        <f t="shared" si="171"/>
        <v>0</v>
      </c>
      <c r="J838" s="159" t="s">
        <v>19</v>
      </c>
      <c r="K838" s="1350" t="s">
        <v>839</v>
      </c>
      <c r="L838" s="160"/>
      <c r="M838" s="159">
        <v>0</v>
      </c>
      <c r="N838" s="157">
        <v>0</v>
      </c>
      <c r="O838" s="82">
        <f t="shared" si="170"/>
        <v>0</v>
      </c>
      <c r="P838" s="158"/>
      <c r="Q838" s="1071">
        <f t="shared" si="172"/>
        <v>0</v>
      </c>
    </row>
    <row r="839" spans="9:17" ht="13.9" x14ac:dyDescent="0.4">
      <c r="I839" s="1073">
        <f t="shared" si="171"/>
        <v>0</v>
      </c>
      <c r="J839" s="159" t="s">
        <v>19</v>
      </c>
      <c r="K839" s="1350" t="s">
        <v>839</v>
      </c>
      <c r="L839" s="160"/>
      <c r="M839" s="159">
        <v>0</v>
      </c>
      <c r="N839" s="157">
        <v>0</v>
      </c>
      <c r="O839" s="82">
        <f t="shared" si="170"/>
        <v>0</v>
      </c>
      <c r="P839" s="158"/>
      <c r="Q839" s="1071">
        <f t="shared" si="172"/>
        <v>0</v>
      </c>
    </row>
    <row r="840" spans="9:17" ht="13.9" x14ac:dyDescent="0.4">
      <c r="I840" s="1071"/>
      <c r="J840" s="86" t="s">
        <v>22</v>
      </c>
      <c r="K840" s="86"/>
      <c r="L840" s="86"/>
      <c r="M840" s="81"/>
      <c r="N840" s="87"/>
      <c r="O840" s="88">
        <f>SUM(O830:O839)</f>
        <v>9.0399999999999991</v>
      </c>
      <c r="P840" s="86"/>
      <c r="Q840" s="1071"/>
    </row>
    <row r="841" spans="9:17" ht="13.9" x14ac:dyDescent="0.4">
      <c r="I841" s="1071"/>
      <c r="J841" s="83"/>
      <c r="K841" s="83"/>
      <c r="L841" s="83"/>
      <c r="M841" s="83"/>
      <c r="N841" s="84"/>
      <c r="O841" s="83"/>
      <c r="P841" s="83"/>
      <c r="Q841" s="1071"/>
    </row>
    <row r="842" spans="9:17" ht="13.9" x14ac:dyDescent="0.4">
      <c r="I842" s="1071"/>
      <c r="J842" s="78" t="str">
        <f>IF(OR(A2_Budget_Look_Up!$B$7=1,A2_Budget_Look_Up!$B$13=1),"Nematicide Detail", "Fungicide Detail")</f>
        <v>Fungicide Detail</v>
      </c>
      <c r="K842" s="78"/>
      <c r="L842" s="78"/>
      <c r="M842" s="79"/>
      <c r="N842" s="85"/>
      <c r="O842" s="79"/>
      <c r="P842" s="78"/>
      <c r="Q842" s="1071"/>
    </row>
    <row r="843" spans="9:17" ht="13.9" x14ac:dyDescent="0.4">
      <c r="I843" s="1071"/>
      <c r="J843" s="80" t="s">
        <v>212</v>
      </c>
      <c r="K843" s="80" t="s">
        <v>838</v>
      </c>
      <c r="L843" s="80" t="s">
        <v>2</v>
      </c>
      <c r="M843" s="80" t="s">
        <v>21</v>
      </c>
      <c r="N843" s="80" t="s">
        <v>174</v>
      </c>
      <c r="O843" s="80" t="s">
        <v>14</v>
      </c>
      <c r="P843" s="80" t="s">
        <v>890</v>
      </c>
      <c r="Q843" s="1071"/>
    </row>
    <row r="844" spans="9:17" ht="13.9" x14ac:dyDescent="0.4">
      <c r="I844" s="1073">
        <f>IF($A$1=14,I839+1,0)</f>
        <v>0</v>
      </c>
      <c r="J844" s="1131" t="str">
        <f>A4_Chem_Prices!H$33</f>
        <v>Aframe Plus</v>
      </c>
      <c r="K844" s="1350" t="s">
        <v>839</v>
      </c>
      <c r="L844" s="1093" t="str">
        <f>A4_Chem_Prices!I$33</f>
        <v>oz</v>
      </c>
      <c r="M844" s="1092">
        <f>A4_Chem_Prices!J$33</f>
        <v>0.5390625</v>
      </c>
      <c r="N844" s="1094">
        <v>21</v>
      </c>
      <c r="O844" s="82">
        <f>M844*N844</f>
        <v>11.3203125</v>
      </c>
      <c r="P844" s="1449">
        <f>N844</f>
        <v>21</v>
      </c>
      <c r="Q844" s="1071">
        <f>Q839</f>
        <v>0</v>
      </c>
    </row>
    <row r="845" spans="9:17" ht="13.9" x14ac:dyDescent="0.4">
      <c r="I845" s="1073">
        <f>IF($A$1=14,I844+1,0)</f>
        <v>0</v>
      </c>
      <c r="J845" s="156" t="s">
        <v>19</v>
      </c>
      <c r="K845" s="1350" t="s">
        <v>839</v>
      </c>
      <c r="L845" s="158"/>
      <c r="M845" s="159">
        <v>0</v>
      </c>
      <c r="N845" s="157">
        <v>0</v>
      </c>
      <c r="O845" s="82">
        <f>M845*N845</f>
        <v>0</v>
      </c>
      <c r="P845" s="158"/>
      <c r="Q845" s="1071">
        <f>Q844</f>
        <v>0</v>
      </c>
    </row>
    <row r="846" spans="9:17" ht="13.9" x14ac:dyDescent="0.4">
      <c r="I846" s="1071"/>
      <c r="J846" s="86" t="s">
        <v>22</v>
      </c>
      <c r="K846" s="86"/>
      <c r="L846" s="86"/>
      <c r="M846" s="81"/>
      <c r="N846" s="87"/>
      <c r="O846" s="88">
        <f>SUM(O844:O845)</f>
        <v>11.3203125</v>
      </c>
      <c r="P846" s="86"/>
      <c r="Q846" s="1071"/>
    </row>
    <row r="847" spans="9:17" ht="13.9" x14ac:dyDescent="0.4">
      <c r="I847" s="1071"/>
      <c r="J847" s="83"/>
      <c r="K847" s="83"/>
      <c r="L847" s="83"/>
      <c r="M847" s="83"/>
      <c r="N847" s="84"/>
      <c r="O847" s="83"/>
      <c r="P847" s="83"/>
      <c r="Q847" s="1071"/>
    </row>
    <row r="848" spans="9:17" ht="13.9" x14ac:dyDescent="0.4">
      <c r="I848" s="1071"/>
      <c r="J848" s="78" t="str">
        <f>IF(A2_Budget_Look_Up!$B$7=1,"Growth Regulator Detail", IF(A2_Budget_Look_Up!$B$13=1,"Fungicide Detail","Other Chemical Detail"))</f>
        <v>Other Chemical Detail</v>
      </c>
      <c r="K848" s="78"/>
      <c r="L848" s="78"/>
      <c r="M848" s="79"/>
      <c r="N848" s="85"/>
      <c r="O848" s="79"/>
      <c r="P848" s="78"/>
      <c r="Q848" s="1071"/>
    </row>
    <row r="849" spans="9:17" ht="13.9" x14ac:dyDescent="0.4">
      <c r="I849" s="1071"/>
      <c r="J849" s="80" t="s">
        <v>212</v>
      </c>
      <c r="K849" s="80" t="s">
        <v>838</v>
      </c>
      <c r="L849" s="80" t="s">
        <v>2</v>
      </c>
      <c r="M849" s="80" t="s">
        <v>21</v>
      </c>
      <c r="N849" s="80" t="s">
        <v>174</v>
      </c>
      <c r="O849" s="80" t="s">
        <v>14</v>
      </c>
      <c r="P849" s="80" t="s">
        <v>890</v>
      </c>
      <c r="Q849" s="1071"/>
    </row>
    <row r="850" spans="9:17" ht="13.9" x14ac:dyDescent="0.4">
      <c r="I850" s="1073">
        <f>IF($A$1=14,I845+1,0)</f>
        <v>0</v>
      </c>
      <c r="J850" s="156" t="s">
        <v>19</v>
      </c>
      <c r="K850" s="1350" t="s">
        <v>839</v>
      </c>
      <c r="L850" s="158"/>
      <c r="M850" s="159">
        <v>0</v>
      </c>
      <c r="N850" s="157">
        <v>0</v>
      </c>
      <c r="O850" s="82">
        <f t="shared" ref="O850:O856" si="173">M850*N850</f>
        <v>0</v>
      </c>
      <c r="P850" s="158"/>
      <c r="Q850" s="1071">
        <f>Q845</f>
        <v>0</v>
      </c>
    </row>
    <row r="851" spans="9:17" ht="13.9" x14ac:dyDescent="0.4">
      <c r="I851" s="1073">
        <f t="shared" ref="I851:I856" si="174">IF($A$1=14,I850+1,0)</f>
        <v>0</v>
      </c>
      <c r="J851" s="156" t="s">
        <v>19</v>
      </c>
      <c r="K851" s="1350" t="s">
        <v>839</v>
      </c>
      <c r="L851" s="158"/>
      <c r="M851" s="159">
        <v>0</v>
      </c>
      <c r="N851" s="157">
        <v>0</v>
      </c>
      <c r="O851" s="82">
        <f t="shared" si="173"/>
        <v>0</v>
      </c>
      <c r="P851" s="158"/>
      <c r="Q851" s="1071">
        <f t="shared" ref="Q851:Q856" si="175">Q850</f>
        <v>0</v>
      </c>
    </row>
    <row r="852" spans="9:17" ht="13.9" x14ac:dyDescent="0.4">
      <c r="I852" s="1073">
        <f t="shared" si="174"/>
        <v>0</v>
      </c>
      <c r="J852" s="156" t="s">
        <v>19</v>
      </c>
      <c r="K852" s="1350" t="s">
        <v>839</v>
      </c>
      <c r="L852" s="158"/>
      <c r="M852" s="159">
        <v>0</v>
      </c>
      <c r="N852" s="157">
        <v>0</v>
      </c>
      <c r="O852" s="82">
        <f t="shared" si="173"/>
        <v>0</v>
      </c>
      <c r="P852" s="158"/>
      <c r="Q852" s="1071">
        <f t="shared" si="175"/>
        <v>0</v>
      </c>
    </row>
    <row r="853" spans="9:17" ht="13.9" x14ac:dyDescent="0.4">
      <c r="I853" s="1073">
        <f t="shared" si="174"/>
        <v>0</v>
      </c>
      <c r="J853" s="156" t="s">
        <v>19</v>
      </c>
      <c r="K853" s="1350" t="s">
        <v>839</v>
      </c>
      <c r="L853" s="158"/>
      <c r="M853" s="159">
        <v>0</v>
      </c>
      <c r="N853" s="157">
        <v>0</v>
      </c>
      <c r="O853" s="82">
        <f t="shared" si="173"/>
        <v>0</v>
      </c>
      <c r="P853" s="158"/>
      <c r="Q853" s="1071">
        <f t="shared" si="175"/>
        <v>0</v>
      </c>
    </row>
    <row r="854" spans="9:17" ht="13.9" x14ac:dyDescent="0.4">
      <c r="I854" s="1073">
        <f t="shared" si="174"/>
        <v>0</v>
      </c>
      <c r="J854" s="156" t="s">
        <v>19</v>
      </c>
      <c r="K854" s="1350" t="s">
        <v>839</v>
      </c>
      <c r="L854" s="158"/>
      <c r="M854" s="159">
        <v>0</v>
      </c>
      <c r="N854" s="157">
        <v>0</v>
      </c>
      <c r="O854" s="82">
        <f t="shared" si="173"/>
        <v>0</v>
      </c>
      <c r="P854" s="158"/>
      <c r="Q854" s="1071">
        <f t="shared" si="175"/>
        <v>0</v>
      </c>
    </row>
    <row r="855" spans="9:17" ht="13.9" x14ac:dyDescent="0.4">
      <c r="I855" s="1073">
        <f t="shared" si="174"/>
        <v>0</v>
      </c>
      <c r="J855" s="156" t="s">
        <v>19</v>
      </c>
      <c r="K855" s="1350" t="s">
        <v>839</v>
      </c>
      <c r="L855" s="158"/>
      <c r="M855" s="159">
        <v>0</v>
      </c>
      <c r="N855" s="157">
        <v>0</v>
      </c>
      <c r="O855" s="82">
        <f t="shared" si="173"/>
        <v>0</v>
      </c>
      <c r="P855" s="158"/>
      <c r="Q855" s="1071">
        <f t="shared" si="175"/>
        <v>0</v>
      </c>
    </row>
    <row r="856" spans="9:17" ht="13.9" x14ac:dyDescent="0.4">
      <c r="I856" s="1073">
        <f t="shared" si="174"/>
        <v>0</v>
      </c>
      <c r="J856" s="156" t="s">
        <v>19</v>
      </c>
      <c r="K856" s="1350" t="s">
        <v>839</v>
      </c>
      <c r="L856" s="158"/>
      <c r="M856" s="159">
        <v>0</v>
      </c>
      <c r="N856" s="157">
        <v>0</v>
      </c>
      <c r="O856" s="82">
        <f t="shared" si="173"/>
        <v>0</v>
      </c>
      <c r="P856" s="158"/>
      <c r="Q856" s="1071">
        <f t="shared" si="175"/>
        <v>0</v>
      </c>
    </row>
    <row r="857" spans="9:17" ht="13.9" x14ac:dyDescent="0.4">
      <c r="I857" s="1071"/>
      <c r="J857" s="86" t="s">
        <v>22</v>
      </c>
      <c r="K857" s="86"/>
      <c r="L857" s="86"/>
      <c r="M857" s="81"/>
      <c r="N857" s="87"/>
      <c r="O857" s="88">
        <f>SUM(O850:O856)</f>
        <v>0</v>
      </c>
      <c r="P857" s="86"/>
      <c r="Q857" s="1071"/>
    </row>
    <row r="858" spans="9:17" ht="13.9" x14ac:dyDescent="0.4">
      <c r="I858" s="1071"/>
      <c r="J858" s="83"/>
      <c r="K858" s="83"/>
      <c r="L858" s="83"/>
      <c r="M858" s="83"/>
      <c r="N858" s="84"/>
      <c r="O858" s="83"/>
      <c r="P858" s="83"/>
      <c r="Q858" s="1071"/>
    </row>
    <row r="859" spans="9:17" ht="13.9" x14ac:dyDescent="0.4">
      <c r="I859" s="1071"/>
      <c r="J859" s="78" t="str">
        <f>IF(A2_Budget_Look_Up!$B$7=1,"Defoliant Detail", "Other Chemical Detail")</f>
        <v>Other Chemical Detail</v>
      </c>
      <c r="K859" s="78"/>
      <c r="L859" s="78"/>
      <c r="M859" s="79"/>
      <c r="N859" s="85"/>
      <c r="O859" s="79"/>
      <c r="P859" s="78"/>
      <c r="Q859" s="1071"/>
    </row>
    <row r="860" spans="9:17" ht="13.9" x14ac:dyDescent="0.4">
      <c r="I860" s="1071"/>
      <c r="J860" s="80" t="s">
        <v>212</v>
      </c>
      <c r="K860" s="80" t="s">
        <v>838</v>
      </c>
      <c r="L860" s="80" t="s">
        <v>2</v>
      </c>
      <c r="M860" s="80" t="s">
        <v>21</v>
      </c>
      <c r="N860" s="80" t="s">
        <v>174</v>
      </c>
      <c r="O860" s="80" t="s">
        <v>14</v>
      </c>
      <c r="P860" s="80" t="s">
        <v>890</v>
      </c>
      <c r="Q860" s="1071"/>
    </row>
    <row r="861" spans="9:17" ht="13.9" x14ac:dyDescent="0.4">
      <c r="I861" s="1073">
        <f>IF($A$1=14,I856+1,0)</f>
        <v>0</v>
      </c>
      <c r="J861" s="156" t="s">
        <v>19</v>
      </c>
      <c r="K861" s="1350" t="s">
        <v>839</v>
      </c>
      <c r="L861" s="158"/>
      <c r="M861" s="159">
        <v>0</v>
      </c>
      <c r="N861" s="157">
        <v>0</v>
      </c>
      <c r="O861" s="82">
        <f t="shared" ref="O861:O867" si="176">M861*N861</f>
        <v>0</v>
      </c>
      <c r="P861" s="158"/>
      <c r="Q861" s="1071">
        <f>Q856</f>
        <v>0</v>
      </c>
    </row>
    <row r="862" spans="9:17" ht="13.9" x14ac:dyDescent="0.4">
      <c r="I862" s="1073">
        <f t="shared" ref="I862:I867" si="177">IF($A$1=14,I861+1,0)</f>
        <v>0</v>
      </c>
      <c r="J862" s="156" t="s">
        <v>19</v>
      </c>
      <c r="K862" s="1350" t="s">
        <v>839</v>
      </c>
      <c r="L862" s="158"/>
      <c r="M862" s="159">
        <v>0</v>
      </c>
      <c r="N862" s="157">
        <v>0</v>
      </c>
      <c r="O862" s="82">
        <f t="shared" si="176"/>
        <v>0</v>
      </c>
      <c r="P862" s="158"/>
      <c r="Q862" s="1071">
        <f t="shared" ref="Q862:Q867" si="178">Q861</f>
        <v>0</v>
      </c>
    </row>
    <row r="863" spans="9:17" ht="13.9" x14ac:dyDescent="0.4">
      <c r="I863" s="1073">
        <f t="shared" si="177"/>
        <v>0</v>
      </c>
      <c r="J863" s="156" t="s">
        <v>19</v>
      </c>
      <c r="K863" s="1350" t="s">
        <v>839</v>
      </c>
      <c r="L863" s="158"/>
      <c r="M863" s="159">
        <v>0</v>
      </c>
      <c r="N863" s="157">
        <v>0</v>
      </c>
      <c r="O863" s="82">
        <f t="shared" si="176"/>
        <v>0</v>
      </c>
      <c r="P863" s="158"/>
      <c r="Q863" s="1071">
        <f t="shared" si="178"/>
        <v>0</v>
      </c>
    </row>
    <row r="864" spans="9:17" ht="13.9" x14ac:dyDescent="0.4">
      <c r="I864" s="1073">
        <f t="shared" si="177"/>
        <v>0</v>
      </c>
      <c r="J864" s="156" t="s">
        <v>19</v>
      </c>
      <c r="K864" s="1350" t="s">
        <v>839</v>
      </c>
      <c r="L864" s="158"/>
      <c r="M864" s="159">
        <v>0</v>
      </c>
      <c r="N864" s="157">
        <v>0</v>
      </c>
      <c r="O864" s="82">
        <f t="shared" si="176"/>
        <v>0</v>
      </c>
      <c r="P864" s="158"/>
      <c r="Q864" s="1071">
        <f t="shared" si="178"/>
        <v>0</v>
      </c>
    </row>
    <row r="865" spans="9:17" ht="13.9" x14ac:dyDescent="0.4">
      <c r="I865" s="1073">
        <f t="shared" si="177"/>
        <v>0</v>
      </c>
      <c r="J865" s="156" t="s">
        <v>19</v>
      </c>
      <c r="K865" s="1350" t="s">
        <v>839</v>
      </c>
      <c r="L865" s="158"/>
      <c r="M865" s="159">
        <v>0</v>
      </c>
      <c r="N865" s="157">
        <v>0</v>
      </c>
      <c r="O865" s="82">
        <f t="shared" si="176"/>
        <v>0</v>
      </c>
      <c r="P865" s="158"/>
      <c r="Q865" s="1071">
        <f t="shared" si="178"/>
        <v>0</v>
      </c>
    </row>
    <row r="866" spans="9:17" ht="13.9" x14ac:dyDescent="0.4">
      <c r="I866" s="1073">
        <f t="shared" si="177"/>
        <v>0</v>
      </c>
      <c r="J866" s="156" t="s">
        <v>19</v>
      </c>
      <c r="K866" s="1350" t="s">
        <v>839</v>
      </c>
      <c r="L866" s="158"/>
      <c r="M866" s="159">
        <v>0</v>
      </c>
      <c r="N866" s="157">
        <v>0</v>
      </c>
      <c r="O866" s="82">
        <f t="shared" si="176"/>
        <v>0</v>
      </c>
      <c r="P866" s="158"/>
      <c r="Q866" s="1071">
        <f t="shared" si="178"/>
        <v>0</v>
      </c>
    </row>
    <row r="867" spans="9:17" ht="13.9" x14ac:dyDescent="0.4">
      <c r="I867" s="1073">
        <f t="shared" si="177"/>
        <v>0</v>
      </c>
      <c r="J867" s="156" t="s">
        <v>19</v>
      </c>
      <c r="K867" s="1350" t="s">
        <v>839</v>
      </c>
      <c r="L867" s="158"/>
      <c r="M867" s="159">
        <v>0</v>
      </c>
      <c r="N867" s="157">
        <v>0</v>
      </c>
      <c r="O867" s="82">
        <f t="shared" si="176"/>
        <v>0</v>
      </c>
      <c r="P867" s="158"/>
      <c r="Q867" s="1071">
        <f t="shared" si="178"/>
        <v>0</v>
      </c>
    </row>
    <row r="868" spans="9:17" ht="13.9" x14ac:dyDescent="0.4">
      <c r="I868" s="1071"/>
      <c r="J868" s="86" t="s">
        <v>22</v>
      </c>
      <c r="K868" s="86"/>
      <c r="L868" s="86"/>
      <c r="M868" s="81"/>
      <c r="N868" s="87"/>
      <c r="O868" s="88">
        <f>SUM(O861:O867)</f>
        <v>0</v>
      </c>
      <c r="P868" s="86"/>
      <c r="Q868" s="1071"/>
    </row>
    <row r="869" spans="9:17" ht="13.9" x14ac:dyDescent="0.4">
      <c r="I869" s="1071"/>
      <c r="J869" s="83"/>
      <c r="K869" s="83"/>
      <c r="L869" s="83"/>
      <c r="M869" s="89"/>
      <c r="N869" s="84"/>
      <c r="O869" s="89"/>
      <c r="P869" s="83"/>
      <c r="Q869" s="1071"/>
    </row>
    <row r="870" spans="9:17" ht="13.9" x14ac:dyDescent="0.4">
      <c r="I870" s="1071"/>
      <c r="J870" s="1168" t="str">
        <f>A2_Budget_Look_Up!H17</f>
        <v>Rice, Clearfield Seed</v>
      </c>
      <c r="K870" s="1168"/>
      <c r="L870" s="1168">
        <f>A2_Budget_Look_Up!F17</f>
        <v>15</v>
      </c>
      <c r="M870" s="1168"/>
      <c r="N870" s="1168"/>
      <c r="O870" s="1168"/>
      <c r="P870" s="1168"/>
      <c r="Q870" s="1071"/>
    </row>
    <row r="871" spans="9:17" ht="13.9" x14ac:dyDescent="0.4">
      <c r="I871" s="1071"/>
      <c r="J871" s="83"/>
      <c r="K871" s="83"/>
      <c r="L871" s="83"/>
      <c r="M871" s="83"/>
      <c r="N871" s="84"/>
      <c r="O871" s="83"/>
      <c r="P871" s="83"/>
      <c r="Q871" s="1071"/>
    </row>
    <row r="872" spans="9:17" ht="13.9" x14ac:dyDescent="0.4">
      <c r="I872" s="1071"/>
      <c r="J872" s="78" t="s">
        <v>18</v>
      </c>
      <c r="K872" s="78"/>
      <c r="L872" s="78"/>
      <c r="M872" s="79"/>
      <c r="N872" s="85"/>
      <c r="O872" s="79"/>
      <c r="P872" s="78"/>
      <c r="Q872" s="1071"/>
    </row>
    <row r="873" spans="9:17" ht="13.9" x14ac:dyDescent="0.4">
      <c r="I873" s="1071"/>
      <c r="J873" s="80" t="s">
        <v>212</v>
      </c>
      <c r="K873" s="80" t="s">
        <v>838</v>
      </c>
      <c r="L873" s="80" t="s">
        <v>2</v>
      </c>
      <c r="M873" s="80" t="s">
        <v>21</v>
      </c>
      <c r="N873" s="80" t="s">
        <v>174</v>
      </c>
      <c r="O873" s="80" t="s">
        <v>14</v>
      </c>
      <c r="P873" s="80" t="s">
        <v>890</v>
      </c>
      <c r="Q873" s="1071"/>
    </row>
    <row r="874" spans="9:17" ht="13.9" x14ac:dyDescent="0.4">
      <c r="I874" s="1073">
        <f>IF($A$1=15,1,0)</f>
        <v>0</v>
      </c>
      <c r="J874" s="159" t="str">
        <f>A4_Chem_Prices!H$9</f>
        <v>Roundup Powermax 3</v>
      </c>
      <c r="K874" s="1350" t="s">
        <v>839</v>
      </c>
      <c r="L874" s="158" t="str">
        <f>A4_Chem_Prices!I$9</f>
        <v>oz</v>
      </c>
      <c r="M874" s="159">
        <f>A4_Chem_Prices!J$9</f>
        <v>0.140625</v>
      </c>
      <c r="N874" s="157">
        <v>32</v>
      </c>
      <c r="O874" s="82">
        <f t="shared" ref="O874:O887" si="179">M874*N874</f>
        <v>4.5</v>
      </c>
      <c r="P874" s="1449">
        <f>N874</f>
        <v>32</v>
      </c>
      <c r="Q874" s="1171">
        <f>IF(SUM(I874:I929)=820,L870,0)</f>
        <v>0</v>
      </c>
    </row>
    <row r="875" spans="9:17" ht="13.9" x14ac:dyDescent="0.4">
      <c r="I875" s="1073">
        <f t="shared" ref="I875:I887" si="180">IF($A$1=15,I874+1,0)</f>
        <v>0</v>
      </c>
      <c r="J875" s="159" t="str">
        <f>A4_Chem_Prices!H$2</f>
        <v>Command</v>
      </c>
      <c r="K875" s="1350" t="s">
        <v>839</v>
      </c>
      <c r="L875" s="160" t="str">
        <f>A4_Chem_Prices!I$2</f>
        <v>oz</v>
      </c>
      <c r="M875" s="159">
        <f>A4_Chem_Prices!J$2</f>
        <v>0.67414062499999994</v>
      </c>
      <c r="N875" s="157">
        <v>12.8</v>
      </c>
      <c r="O875" s="82">
        <f t="shared" si="179"/>
        <v>8.6289999999999996</v>
      </c>
      <c r="P875" s="1449">
        <f>N875</f>
        <v>12.8</v>
      </c>
      <c r="Q875" s="1071">
        <f>Q874</f>
        <v>0</v>
      </c>
    </row>
    <row r="876" spans="9:17" ht="13.9" x14ac:dyDescent="0.4">
      <c r="I876" s="1073">
        <f t="shared" si="180"/>
        <v>0</v>
      </c>
      <c r="J876" s="1092" t="str">
        <f>A4_Chem_Prices!H$3</f>
        <v>Newpath</v>
      </c>
      <c r="K876" s="1350" t="s">
        <v>839</v>
      </c>
      <c r="L876" s="1095" t="str">
        <f>A4_Chem_Prices!I$3</f>
        <v>oz</v>
      </c>
      <c r="M876" s="1092">
        <f>A4_Chem_Prices!J$3</f>
        <v>3.3203125</v>
      </c>
      <c r="N876" s="1094">
        <v>5</v>
      </c>
      <c r="O876" s="82">
        <f t="shared" si="179"/>
        <v>16.6015625</v>
      </c>
      <c r="P876" s="1449">
        <f>N876</f>
        <v>5</v>
      </c>
      <c r="Q876" s="1071">
        <f t="shared" ref="Q876:Q887" si="181">Q875</f>
        <v>0</v>
      </c>
    </row>
    <row r="877" spans="9:17" ht="13.9" x14ac:dyDescent="0.4">
      <c r="I877" s="1073">
        <f t="shared" si="180"/>
        <v>0</v>
      </c>
      <c r="J877" s="159" t="str">
        <f>A4_Chem_Prices!H$9</f>
        <v>Roundup Powermax 3</v>
      </c>
      <c r="K877" s="1350" t="s">
        <v>839</v>
      </c>
      <c r="L877" s="158" t="str">
        <f>A4_Chem_Prices!I$9</f>
        <v>oz</v>
      </c>
      <c r="M877" s="159">
        <f>A4_Chem_Prices!J$9</f>
        <v>0.140625</v>
      </c>
      <c r="N877" s="157">
        <v>32</v>
      </c>
      <c r="O877" s="82">
        <f t="shared" si="179"/>
        <v>4.5</v>
      </c>
      <c r="P877" s="1449">
        <f>N877</f>
        <v>32</v>
      </c>
      <c r="Q877" s="1071">
        <f t="shared" si="181"/>
        <v>0</v>
      </c>
    </row>
    <row r="878" spans="9:17" ht="13.9" x14ac:dyDescent="0.4">
      <c r="I878" s="1073">
        <f t="shared" si="180"/>
        <v>0</v>
      </c>
      <c r="J878" s="1092" t="str">
        <f>A4_Chem_Prices!H$3</f>
        <v>Newpath</v>
      </c>
      <c r="K878" s="1350" t="s">
        <v>839</v>
      </c>
      <c r="L878" s="1095" t="str">
        <f>A4_Chem_Prices!I$3</f>
        <v>oz</v>
      </c>
      <c r="M878" s="1092">
        <f>A4_Chem_Prices!J$3</f>
        <v>3.3203125</v>
      </c>
      <c r="N878" s="1094">
        <v>5</v>
      </c>
      <c r="O878" s="82">
        <f>M877*N877</f>
        <v>4.5</v>
      </c>
      <c r="P878" s="1449">
        <f>N878</f>
        <v>5</v>
      </c>
      <c r="Q878" s="1071">
        <f t="shared" si="181"/>
        <v>0</v>
      </c>
    </row>
    <row r="879" spans="9:17" ht="13.9" x14ac:dyDescent="0.4">
      <c r="I879" s="1073">
        <f t="shared" si="180"/>
        <v>0</v>
      </c>
      <c r="J879" s="159" t="str">
        <f>A4_Chem_Prices!K$9</f>
        <v>Prowl</v>
      </c>
      <c r="K879" s="1350" t="s">
        <v>839</v>
      </c>
      <c r="L879" s="160" t="str">
        <f>A4_Chem_Prices!L$9</f>
        <v>oz</v>
      </c>
      <c r="M879" s="159">
        <f>A4_Chem_Prices!M$9</f>
        <v>0.3633984375</v>
      </c>
      <c r="N879" s="157">
        <v>33.6</v>
      </c>
      <c r="O879" s="82">
        <f>M878*N878</f>
        <v>16.6015625</v>
      </c>
      <c r="Q879" s="1071">
        <f t="shared" si="181"/>
        <v>0</v>
      </c>
    </row>
    <row r="880" spans="9:17" ht="13.9" x14ac:dyDescent="0.4">
      <c r="I880" s="1073">
        <f t="shared" si="180"/>
        <v>0</v>
      </c>
      <c r="J880" s="159" t="str">
        <f>A4_Chem_Prices!H$4</f>
        <v>Permit Plus</v>
      </c>
      <c r="K880" s="1350" t="s">
        <v>839</v>
      </c>
      <c r="L880" s="160" t="str">
        <f>A4_Chem_Prices!I$4</f>
        <v>oz</v>
      </c>
      <c r="M880" s="159">
        <f>A4_Chem_Prices!J$4</f>
        <v>17.254999999999999</v>
      </c>
      <c r="N880" s="157">
        <v>0.75</v>
      </c>
      <c r="O880" s="82">
        <f t="shared" si="179"/>
        <v>12.94125</v>
      </c>
      <c r="P880" s="1093"/>
      <c r="Q880" s="1071">
        <f t="shared" si="181"/>
        <v>0</v>
      </c>
    </row>
    <row r="881" spans="9:17" ht="13.9" x14ac:dyDescent="0.4">
      <c r="I881" s="1073">
        <f t="shared" si="180"/>
        <v>0</v>
      </c>
      <c r="J881" s="159" t="str">
        <f>A4_Chem_Prices!H$8</f>
        <v>Beyond</v>
      </c>
      <c r="K881" s="1350" t="s">
        <v>839</v>
      </c>
      <c r="L881" s="160" t="str">
        <f>A4_Chem_Prices!I$8</f>
        <v>oz</v>
      </c>
      <c r="M881" s="159">
        <f>A4_Chem_Prices!J$8</f>
        <v>3.39</v>
      </c>
      <c r="N881" s="157">
        <v>5</v>
      </c>
      <c r="O881" s="82">
        <f t="shared" si="179"/>
        <v>16.95</v>
      </c>
      <c r="P881" s="1093"/>
      <c r="Q881" s="1071">
        <f t="shared" si="181"/>
        <v>0</v>
      </c>
    </row>
    <row r="882" spans="9:17" ht="13.9" x14ac:dyDescent="0.4">
      <c r="I882" s="1073">
        <f t="shared" si="180"/>
        <v>0</v>
      </c>
      <c r="J882" s="159" t="str">
        <f>A4_Chem_Prices!K$16</f>
        <v>Basagran</v>
      </c>
      <c r="K882" s="1350" t="s">
        <v>839</v>
      </c>
      <c r="L882" s="160" t="str">
        <f>A4_Chem_Prices!L$16</f>
        <v>oz</v>
      </c>
      <c r="M882" s="159">
        <f>A4_Chem_Prices!M$16</f>
        <v>0.67046874999999995</v>
      </c>
      <c r="N882" s="157">
        <v>24</v>
      </c>
      <c r="O882" s="82">
        <f t="shared" si="179"/>
        <v>16.091249999999999</v>
      </c>
      <c r="P882" s="160"/>
      <c r="Q882" s="1071">
        <f t="shared" si="181"/>
        <v>0</v>
      </c>
    </row>
    <row r="883" spans="9:17" ht="13.9" x14ac:dyDescent="0.4">
      <c r="I883" s="1073">
        <f t="shared" si="180"/>
        <v>0</v>
      </c>
      <c r="J883" s="159" t="s">
        <v>19</v>
      </c>
      <c r="K883" s="1350" t="s">
        <v>839</v>
      </c>
      <c r="L883" s="160"/>
      <c r="M883" s="159">
        <v>0</v>
      </c>
      <c r="N883" s="157">
        <v>0</v>
      </c>
      <c r="O883" s="82">
        <f t="shared" si="179"/>
        <v>0</v>
      </c>
      <c r="P883" s="160"/>
      <c r="Q883" s="1071">
        <f t="shared" si="181"/>
        <v>0</v>
      </c>
    </row>
    <row r="884" spans="9:17" ht="13.9" x14ac:dyDescent="0.4">
      <c r="I884" s="1073">
        <f t="shared" si="180"/>
        <v>0</v>
      </c>
      <c r="J884" s="159" t="s">
        <v>19</v>
      </c>
      <c r="K884" s="1350" t="s">
        <v>839</v>
      </c>
      <c r="L884" s="160"/>
      <c r="M884" s="159">
        <v>0</v>
      </c>
      <c r="N884" s="157">
        <v>0</v>
      </c>
      <c r="O884" s="82">
        <f t="shared" si="179"/>
        <v>0</v>
      </c>
      <c r="P884" s="160"/>
      <c r="Q884" s="1071">
        <f t="shared" si="181"/>
        <v>0</v>
      </c>
    </row>
    <row r="885" spans="9:17" ht="13.9" x14ac:dyDescent="0.4">
      <c r="I885" s="1073">
        <f t="shared" si="180"/>
        <v>0</v>
      </c>
      <c r="J885" s="159" t="s">
        <v>19</v>
      </c>
      <c r="K885" s="1350" t="s">
        <v>839</v>
      </c>
      <c r="L885" s="160"/>
      <c r="M885" s="159">
        <v>0</v>
      </c>
      <c r="N885" s="157">
        <v>0</v>
      </c>
      <c r="O885" s="82">
        <f t="shared" si="179"/>
        <v>0</v>
      </c>
      <c r="P885" s="160"/>
      <c r="Q885" s="1071">
        <f t="shared" si="181"/>
        <v>0</v>
      </c>
    </row>
    <row r="886" spans="9:17" ht="13.9" x14ac:dyDescent="0.4">
      <c r="I886" s="1073">
        <f t="shared" si="180"/>
        <v>0</v>
      </c>
      <c r="J886" s="159" t="s">
        <v>19</v>
      </c>
      <c r="K886" s="1350" t="s">
        <v>839</v>
      </c>
      <c r="L886" s="160"/>
      <c r="M886" s="159">
        <v>0</v>
      </c>
      <c r="N886" s="157">
        <v>0</v>
      </c>
      <c r="O886" s="82">
        <f t="shared" si="179"/>
        <v>0</v>
      </c>
      <c r="P886" s="160"/>
      <c r="Q886" s="1071">
        <f t="shared" si="181"/>
        <v>0</v>
      </c>
    </row>
    <row r="887" spans="9:17" ht="13.9" x14ac:dyDescent="0.4">
      <c r="I887" s="1073">
        <f t="shared" si="180"/>
        <v>0</v>
      </c>
      <c r="J887" s="159" t="s">
        <v>19</v>
      </c>
      <c r="K887" s="1350" t="s">
        <v>839</v>
      </c>
      <c r="L887" s="160"/>
      <c r="M887" s="159">
        <v>0</v>
      </c>
      <c r="N887" s="157">
        <v>0</v>
      </c>
      <c r="O887" s="82">
        <f t="shared" si="179"/>
        <v>0</v>
      </c>
      <c r="P887" s="160"/>
      <c r="Q887" s="1071">
        <f t="shared" si="181"/>
        <v>0</v>
      </c>
    </row>
    <row r="888" spans="9:17" ht="13.9" x14ac:dyDescent="0.4">
      <c r="I888" s="1071"/>
      <c r="J888" s="86" t="s">
        <v>22</v>
      </c>
      <c r="K888" s="86"/>
      <c r="L888" s="86"/>
      <c r="M888" s="81"/>
      <c r="N888" s="87"/>
      <c r="O888" s="88">
        <f>SUM(O874:O887)</f>
        <v>101.31462500000001</v>
      </c>
      <c r="P888" s="86"/>
      <c r="Q888" s="1071"/>
    </row>
    <row r="889" spans="9:17" ht="13.9" x14ac:dyDescent="0.4">
      <c r="I889" s="1071"/>
      <c r="J889" s="83"/>
      <c r="K889" s="83"/>
      <c r="L889" s="83"/>
      <c r="M889" s="83"/>
      <c r="N889" s="84"/>
      <c r="O889" s="83"/>
      <c r="P889" s="83"/>
      <c r="Q889" s="1071"/>
    </row>
    <row r="890" spans="9:17" ht="13.9" x14ac:dyDescent="0.4">
      <c r="I890" s="1071"/>
      <c r="J890" s="78" t="s">
        <v>20</v>
      </c>
      <c r="K890" s="78"/>
      <c r="L890" s="78"/>
      <c r="M890" s="79"/>
      <c r="N890" s="85"/>
      <c r="O890" s="79"/>
      <c r="P890" s="78"/>
      <c r="Q890" s="1071"/>
    </row>
    <row r="891" spans="9:17" ht="13.9" x14ac:dyDescent="0.4">
      <c r="I891" s="1071"/>
      <c r="J891" s="80" t="s">
        <v>212</v>
      </c>
      <c r="K891" s="80" t="s">
        <v>838</v>
      </c>
      <c r="L891" s="80" t="s">
        <v>2</v>
      </c>
      <c r="M891" s="80" t="s">
        <v>21</v>
      </c>
      <c r="N891" s="80" t="s">
        <v>174</v>
      </c>
      <c r="O891" s="80" t="s">
        <v>14</v>
      </c>
      <c r="P891" s="80" t="s">
        <v>890</v>
      </c>
      <c r="Q891" s="1071"/>
    </row>
    <row r="892" spans="9:17" ht="13.9" x14ac:dyDescent="0.4">
      <c r="I892" s="1073">
        <f>IF($A$1=15,I887+1,0)</f>
        <v>0</v>
      </c>
      <c r="J892" s="1092" t="str">
        <f>A4_Chem_Prices!H$19</f>
        <v>Tenchu</v>
      </c>
      <c r="K892" s="1350" t="s">
        <v>839</v>
      </c>
      <c r="L892" s="1095" t="str">
        <f>A4_Chem_Prices!I$19</f>
        <v>oz</v>
      </c>
      <c r="M892" s="1092">
        <f>A4_Chem_Prices!J$19</f>
        <v>1.1299999999999999</v>
      </c>
      <c r="N892" s="1094">
        <v>8</v>
      </c>
      <c r="O892" s="82">
        <f t="shared" ref="O892:O901" si="182">M892*N892</f>
        <v>9.0399999999999991</v>
      </c>
      <c r="P892" s="1449">
        <f>N892</f>
        <v>8</v>
      </c>
      <c r="Q892" s="1071">
        <f>Q874</f>
        <v>0</v>
      </c>
    </row>
    <row r="893" spans="9:17" ht="13.9" x14ac:dyDescent="0.4">
      <c r="I893" s="1073">
        <f t="shared" ref="I893:I901" si="183">IF($A$1=15,I892+1,0)</f>
        <v>0</v>
      </c>
      <c r="J893" s="159" t="s">
        <v>19</v>
      </c>
      <c r="K893" s="1350" t="s">
        <v>839</v>
      </c>
      <c r="L893" s="160"/>
      <c r="M893" s="159">
        <v>0</v>
      </c>
      <c r="N893" s="157">
        <v>0</v>
      </c>
      <c r="O893" s="82">
        <f t="shared" si="182"/>
        <v>0</v>
      </c>
      <c r="P893" s="158"/>
      <c r="Q893" s="1071">
        <f>Q892</f>
        <v>0</v>
      </c>
    </row>
    <row r="894" spans="9:17" ht="13.9" x14ac:dyDescent="0.4">
      <c r="I894" s="1073">
        <f t="shared" si="183"/>
        <v>0</v>
      </c>
      <c r="J894" s="159" t="s">
        <v>19</v>
      </c>
      <c r="K894" s="1350" t="s">
        <v>839</v>
      </c>
      <c r="L894" s="160"/>
      <c r="M894" s="159">
        <v>0</v>
      </c>
      <c r="N894" s="157">
        <v>0</v>
      </c>
      <c r="O894" s="82">
        <f t="shared" si="182"/>
        <v>0</v>
      </c>
      <c r="P894" s="158"/>
      <c r="Q894" s="1071">
        <f t="shared" ref="Q894:Q901" si="184">Q893</f>
        <v>0</v>
      </c>
    </row>
    <row r="895" spans="9:17" ht="13.9" x14ac:dyDescent="0.4">
      <c r="I895" s="1073">
        <f t="shared" si="183"/>
        <v>0</v>
      </c>
      <c r="J895" s="159" t="s">
        <v>19</v>
      </c>
      <c r="K895" s="1350" t="s">
        <v>839</v>
      </c>
      <c r="L895" s="160"/>
      <c r="M895" s="159">
        <v>0</v>
      </c>
      <c r="N895" s="157">
        <v>0</v>
      </c>
      <c r="O895" s="82">
        <f t="shared" si="182"/>
        <v>0</v>
      </c>
      <c r="P895" s="158"/>
      <c r="Q895" s="1071">
        <f t="shared" si="184"/>
        <v>0</v>
      </c>
    </row>
    <row r="896" spans="9:17" ht="13.9" x14ac:dyDescent="0.4">
      <c r="I896" s="1073">
        <f t="shared" si="183"/>
        <v>0</v>
      </c>
      <c r="J896" s="159" t="s">
        <v>19</v>
      </c>
      <c r="K896" s="1350" t="s">
        <v>839</v>
      </c>
      <c r="L896" s="160"/>
      <c r="M896" s="159">
        <v>0</v>
      </c>
      <c r="N896" s="157">
        <v>0</v>
      </c>
      <c r="O896" s="82">
        <f t="shared" si="182"/>
        <v>0</v>
      </c>
      <c r="P896" s="158"/>
      <c r="Q896" s="1071">
        <f t="shared" si="184"/>
        <v>0</v>
      </c>
    </row>
    <row r="897" spans="9:17" ht="13.9" x14ac:dyDescent="0.4">
      <c r="I897" s="1073">
        <f t="shared" si="183"/>
        <v>0</v>
      </c>
      <c r="J897" s="159" t="s">
        <v>19</v>
      </c>
      <c r="K897" s="1350" t="s">
        <v>839</v>
      </c>
      <c r="L897" s="160"/>
      <c r="M897" s="159">
        <v>0</v>
      </c>
      <c r="N897" s="157">
        <v>0</v>
      </c>
      <c r="O897" s="82">
        <f t="shared" si="182"/>
        <v>0</v>
      </c>
      <c r="P897" s="158"/>
      <c r="Q897" s="1071">
        <f t="shared" si="184"/>
        <v>0</v>
      </c>
    </row>
    <row r="898" spans="9:17" ht="13.9" x14ac:dyDescent="0.4">
      <c r="I898" s="1073">
        <f t="shared" si="183"/>
        <v>0</v>
      </c>
      <c r="J898" s="159" t="s">
        <v>19</v>
      </c>
      <c r="K898" s="1350" t="s">
        <v>839</v>
      </c>
      <c r="L898" s="160"/>
      <c r="M898" s="159">
        <v>0</v>
      </c>
      <c r="N898" s="157">
        <v>0</v>
      </c>
      <c r="O898" s="82">
        <f t="shared" si="182"/>
        <v>0</v>
      </c>
      <c r="P898" s="158"/>
      <c r="Q898" s="1071">
        <f t="shared" si="184"/>
        <v>0</v>
      </c>
    </row>
    <row r="899" spans="9:17" ht="13.9" x14ac:dyDescent="0.4">
      <c r="I899" s="1073">
        <f t="shared" si="183"/>
        <v>0</v>
      </c>
      <c r="J899" s="159" t="s">
        <v>19</v>
      </c>
      <c r="K899" s="1350" t="s">
        <v>839</v>
      </c>
      <c r="L899" s="160"/>
      <c r="M899" s="159">
        <v>0</v>
      </c>
      <c r="N899" s="157">
        <v>0</v>
      </c>
      <c r="O899" s="82">
        <f t="shared" si="182"/>
        <v>0</v>
      </c>
      <c r="P899" s="158"/>
      <c r="Q899" s="1071">
        <f t="shared" si="184"/>
        <v>0</v>
      </c>
    </row>
    <row r="900" spans="9:17" ht="13.9" x14ac:dyDescent="0.4">
      <c r="I900" s="1073">
        <f t="shared" si="183"/>
        <v>0</v>
      </c>
      <c r="J900" s="159" t="s">
        <v>19</v>
      </c>
      <c r="K900" s="1350" t="s">
        <v>839</v>
      </c>
      <c r="L900" s="160"/>
      <c r="M900" s="159">
        <v>0</v>
      </c>
      <c r="N900" s="157">
        <v>0</v>
      </c>
      <c r="O900" s="82">
        <f t="shared" si="182"/>
        <v>0</v>
      </c>
      <c r="P900" s="158"/>
      <c r="Q900" s="1071">
        <f t="shared" si="184"/>
        <v>0</v>
      </c>
    </row>
    <row r="901" spans="9:17" ht="13.9" x14ac:dyDescent="0.4">
      <c r="I901" s="1073">
        <f t="shared" si="183"/>
        <v>0</v>
      </c>
      <c r="J901" s="159" t="s">
        <v>19</v>
      </c>
      <c r="K901" s="1350" t="s">
        <v>839</v>
      </c>
      <c r="L901" s="160"/>
      <c r="M901" s="159">
        <v>0</v>
      </c>
      <c r="N901" s="157">
        <v>0</v>
      </c>
      <c r="O901" s="82">
        <f t="shared" si="182"/>
        <v>0</v>
      </c>
      <c r="P901" s="158"/>
      <c r="Q901" s="1071">
        <f t="shared" si="184"/>
        <v>0</v>
      </c>
    </row>
    <row r="902" spans="9:17" ht="13.9" x14ac:dyDescent="0.4">
      <c r="I902" s="1071"/>
      <c r="J902" s="86" t="s">
        <v>22</v>
      </c>
      <c r="K902" s="86"/>
      <c r="L902" s="86"/>
      <c r="M902" s="81"/>
      <c r="N902" s="87"/>
      <c r="O902" s="88">
        <f>SUM(O892:O901)</f>
        <v>9.0399999999999991</v>
      </c>
      <c r="P902" s="86"/>
      <c r="Q902" s="1071"/>
    </row>
    <row r="903" spans="9:17" ht="13.9" x14ac:dyDescent="0.4">
      <c r="I903" s="1071"/>
      <c r="J903" s="83"/>
      <c r="K903" s="83"/>
      <c r="L903" s="83"/>
      <c r="M903" s="83"/>
      <c r="N903" s="84"/>
      <c r="O903" s="83"/>
      <c r="P903" s="83"/>
      <c r="Q903" s="1071"/>
    </row>
    <row r="904" spans="9:17" ht="13.9" x14ac:dyDescent="0.4">
      <c r="I904" s="1071"/>
      <c r="J904" s="78" t="str">
        <f>IF(OR(A2_Budget_Look_Up!$B$7=1,A2_Budget_Look_Up!$B$13=1),"Nematicide Detail", "Fungicide Detail")</f>
        <v>Fungicide Detail</v>
      </c>
      <c r="K904" s="78"/>
      <c r="L904" s="78"/>
      <c r="M904" s="79"/>
      <c r="N904" s="85"/>
      <c r="O904" s="79"/>
      <c r="P904" s="78"/>
      <c r="Q904" s="1071"/>
    </row>
    <row r="905" spans="9:17" ht="13.9" x14ac:dyDescent="0.4">
      <c r="I905" s="1071"/>
      <c r="J905" s="80" t="s">
        <v>212</v>
      </c>
      <c r="K905" s="80" t="s">
        <v>838</v>
      </c>
      <c r="L905" s="80" t="s">
        <v>2</v>
      </c>
      <c r="M905" s="80" t="s">
        <v>21</v>
      </c>
      <c r="N905" s="80" t="s">
        <v>174</v>
      </c>
      <c r="O905" s="80" t="s">
        <v>14</v>
      </c>
      <c r="P905" s="80" t="s">
        <v>890</v>
      </c>
      <c r="Q905" s="1071"/>
    </row>
    <row r="906" spans="9:17" ht="13.9" x14ac:dyDescent="0.4">
      <c r="I906" s="1073">
        <f>IF($A$1=15,I901+1,0)</f>
        <v>0</v>
      </c>
      <c r="J906" s="1131" t="str">
        <f>A4_Chem_Prices!H$33</f>
        <v>Aframe Plus</v>
      </c>
      <c r="K906" s="1350" t="s">
        <v>839</v>
      </c>
      <c r="L906" s="1093" t="str">
        <f>A4_Chem_Prices!I$33</f>
        <v>oz</v>
      </c>
      <c r="M906" s="1092">
        <f>A4_Chem_Prices!J$33</f>
        <v>0.5390625</v>
      </c>
      <c r="N906" s="1094">
        <v>21</v>
      </c>
      <c r="O906" s="82">
        <f>M906*N906</f>
        <v>11.3203125</v>
      </c>
      <c r="P906" s="1449">
        <f>N906</f>
        <v>21</v>
      </c>
      <c r="Q906" s="1071">
        <f>Q901</f>
        <v>0</v>
      </c>
    </row>
    <row r="907" spans="9:17" ht="13.9" x14ac:dyDescent="0.4">
      <c r="I907" s="1073">
        <f>IF($A$1=15,I906+1,0)</f>
        <v>0</v>
      </c>
      <c r="J907" s="156" t="s">
        <v>19</v>
      </c>
      <c r="K907" s="1350" t="s">
        <v>839</v>
      </c>
      <c r="L907" s="158"/>
      <c r="M907" s="159">
        <v>0</v>
      </c>
      <c r="N907" s="157">
        <v>0</v>
      </c>
      <c r="O907" s="82">
        <f>M907*N907</f>
        <v>0</v>
      </c>
      <c r="P907" s="158"/>
      <c r="Q907" s="1071">
        <f>Q906</f>
        <v>0</v>
      </c>
    </row>
    <row r="908" spans="9:17" ht="13.9" x14ac:dyDescent="0.4">
      <c r="I908" s="1071"/>
      <c r="J908" s="86" t="s">
        <v>22</v>
      </c>
      <c r="K908" s="86"/>
      <c r="L908" s="86"/>
      <c r="M908" s="81"/>
      <c r="N908" s="87"/>
      <c r="O908" s="88">
        <f>SUM(O906:O907)</f>
        <v>11.3203125</v>
      </c>
      <c r="P908" s="86"/>
      <c r="Q908" s="1071"/>
    </row>
    <row r="909" spans="9:17" ht="13.9" x14ac:dyDescent="0.4">
      <c r="I909" s="1071"/>
      <c r="J909" s="83"/>
      <c r="K909" s="83"/>
      <c r="L909" s="83"/>
      <c r="M909" s="83"/>
      <c r="N909" s="84"/>
      <c r="O909" s="83"/>
      <c r="P909" s="83"/>
      <c r="Q909" s="1071"/>
    </row>
    <row r="910" spans="9:17" ht="13.9" x14ac:dyDescent="0.4">
      <c r="I910" s="1071"/>
      <c r="J910" s="78" t="str">
        <f>IF(A2_Budget_Look_Up!$B$7=1,"Growth Regulator Detail", IF(A2_Budget_Look_Up!$B$13=1,"Fungicide Detail","Other Chemical Detail"))</f>
        <v>Other Chemical Detail</v>
      </c>
      <c r="K910" s="78"/>
      <c r="L910" s="78"/>
      <c r="M910" s="79"/>
      <c r="N910" s="85"/>
      <c r="O910" s="79"/>
      <c r="P910" s="78"/>
      <c r="Q910" s="1071"/>
    </row>
    <row r="911" spans="9:17" ht="13.9" x14ac:dyDescent="0.4">
      <c r="I911" s="1071"/>
      <c r="J911" s="80" t="s">
        <v>212</v>
      </c>
      <c r="K911" s="80" t="s">
        <v>838</v>
      </c>
      <c r="L911" s="80" t="s">
        <v>2</v>
      </c>
      <c r="M911" s="80" t="s">
        <v>21</v>
      </c>
      <c r="N911" s="80" t="s">
        <v>174</v>
      </c>
      <c r="O911" s="80" t="s">
        <v>14</v>
      </c>
      <c r="P911" s="80" t="s">
        <v>890</v>
      </c>
      <c r="Q911" s="1071"/>
    </row>
    <row r="912" spans="9:17" ht="13.9" x14ac:dyDescent="0.4">
      <c r="I912" s="1073">
        <f>IF($A$1=15,I907+1,0)</f>
        <v>0</v>
      </c>
      <c r="J912" s="156" t="s">
        <v>19</v>
      </c>
      <c r="K912" s="1350" t="s">
        <v>839</v>
      </c>
      <c r="L912" s="158"/>
      <c r="M912" s="159">
        <v>0</v>
      </c>
      <c r="N912" s="157">
        <v>0</v>
      </c>
      <c r="O912" s="82">
        <f t="shared" ref="O912:O918" si="185">M912*N912</f>
        <v>0</v>
      </c>
      <c r="P912" s="158"/>
      <c r="Q912" s="1071">
        <f>Q907</f>
        <v>0</v>
      </c>
    </row>
    <row r="913" spans="9:17" ht="13.9" x14ac:dyDescent="0.4">
      <c r="I913" s="1073">
        <f t="shared" ref="I913:I918" si="186">IF($A$1=15,I912+1,0)</f>
        <v>0</v>
      </c>
      <c r="J913" s="156" t="s">
        <v>19</v>
      </c>
      <c r="K913" s="1350" t="s">
        <v>839</v>
      </c>
      <c r="L913" s="158"/>
      <c r="M913" s="159">
        <v>0</v>
      </c>
      <c r="N913" s="157">
        <v>0</v>
      </c>
      <c r="O913" s="82">
        <f t="shared" si="185"/>
        <v>0</v>
      </c>
      <c r="P913" s="158"/>
      <c r="Q913" s="1071">
        <f t="shared" ref="Q913:Q918" si="187">Q912</f>
        <v>0</v>
      </c>
    </row>
    <row r="914" spans="9:17" ht="13.9" x14ac:dyDescent="0.4">
      <c r="I914" s="1073">
        <f t="shared" si="186"/>
        <v>0</v>
      </c>
      <c r="J914" s="156" t="s">
        <v>19</v>
      </c>
      <c r="K914" s="1350" t="s">
        <v>839</v>
      </c>
      <c r="L914" s="158"/>
      <c r="M914" s="159">
        <v>0</v>
      </c>
      <c r="N914" s="157">
        <v>0</v>
      </c>
      <c r="O914" s="82">
        <f t="shared" si="185"/>
        <v>0</v>
      </c>
      <c r="P914" s="158"/>
      <c r="Q914" s="1071">
        <f t="shared" si="187"/>
        <v>0</v>
      </c>
    </row>
    <row r="915" spans="9:17" ht="13.9" x14ac:dyDescent="0.4">
      <c r="I915" s="1073">
        <f t="shared" si="186"/>
        <v>0</v>
      </c>
      <c r="J915" s="156" t="s">
        <v>19</v>
      </c>
      <c r="K915" s="1350" t="s">
        <v>839</v>
      </c>
      <c r="L915" s="158"/>
      <c r="M915" s="159">
        <v>0</v>
      </c>
      <c r="N915" s="157">
        <v>0</v>
      </c>
      <c r="O915" s="82">
        <f t="shared" si="185"/>
        <v>0</v>
      </c>
      <c r="P915" s="158"/>
      <c r="Q915" s="1071">
        <f t="shared" si="187"/>
        <v>0</v>
      </c>
    </row>
    <row r="916" spans="9:17" ht="13.9" x14ac:dyDescent="0.4">
      <c r="I916" s="1073">
        <f t="shared" si="186"/>
        <v>0</v>
      </c>
      <c r="J916" s="156" t="s">
        <v>19</v>
      </c>
      <c r="K916" s="1350" t="s">
        <v>839</v>
      </c>
      <c r="L916" s="158"/>
      <c r="M916" s="159">
        <v>0</v>
      </c>
      <c r="N916" s="157">
        <v>0</v>
      </c>
      <c r="O916" s="82">
        <f t="shared" si="185"/>
        <v>0</v>
      </c>
      <c r="P916" s="158"/>
      <c r="Q916" s="1071">
        <f t="shared" si="187"/>
        <v>0</v>
      </c>
    </row>
    <row r="917" spans="9:17" ht="13.9" x14ac:dyDescent="0.4">
      <c r="I917" s="1073">
        <f t="shared" si="186"/>
        <v>0</v>
      </c>
      <c r="J917" s="156" t="s">
        <v>19</v>
      </c>
      <c r="K917" s="1350" t="s">
        <v>839</v>
      </c>
      <c r="L917" s="158"/>
      <c r="M917" s="159">
        <v>0</v>
      </c>
      <c r="N917" s="157">
        <v>0</v>
      </c>
      <c r="O917" s="82">
        <f t="shared" si="185"/>
        <v>0</v>
      </c>
      <c r="P917" s="158"/>
      <c r="Q917" s="1071">
        <f t="shared" si="187"/>
        <v>0</v>
      </c>
    </row>
    <row r="918" spans="9:17" ht="13.9" x14ac:dyDescent="0.4">
      <c r="I918" s="1073">
        <f t="shared" si="186"/>
        <v>0</v>
      </c>
      <c r="J918" s="156" t="s">
        <v>19</v>
      </c>
      <c r="K918" s="1350" t="s">
        <v>839</v>
      </c>
      <c r="L918" s="158"/>
      <c r="M918" s="159">
        <v>0</v>
      </c>
      <c r="N918" s="157">
        <v>0</v>
      </c>
      <c r="O918" s="82">
        <f t="shared" si="185"/>
        <v>0</v>
      </c>
      <c r="P918" s="158"/>
      <c r="Q918" s="1071">
        <f t="shared" si="187"/>
        <v>0</v>
      </c>
    </row>
    <row r="919" spans="9:17" ht="13.9" x14ac:dyDescent="0.4">
      <c r="I919" s="1071"/>
      <c r="J919" s="86" t="s">
        <v>22</v>
      </c>
      <c r="K919" s="86"/>
      <c r="L919" s="86"/>
      <c r="M919" s="81"/>
      <c r="N919" s="87"/>
      <c r="O919" s="88">
        <f>SUM(O912:O918)</f>
        <v>0</v>
      </c>
      <c r="P919" s="86"/>
      <c r="Q919" s="1071"/>
    </row>
    <row r="920" spans="9:17" ht="13.9" x14ac:dyDescent="0.4">
      <c r="I920" s="1071"/>
      <c r="J920" s="83"/>
      <c r="K920" s="83"/>
      <c r="L920" s="83"/>
      <c r="M920" s="83"/>
      <c r="N920" s="84"/>
      <c r="O920" s="83"/>
      <c r="P920" s="83"/>
      <c r="Q920" s="1071"/>
    </row>
    <row r="921" spans="9:17" ht="13.9" x14ac:dyDescent="0.4">
      <c r="I921" s="1071"/>
      <c r="J921" s="78" t="str">
        <f>IF(A2_Budget_Look_Up!$B$7=1,"Defoliant Detail", "Other Chemical Detail")</f>
        <v>Other Chemical Detail</v>
      </c>
      <c r="K921" s="78"/>
      <c r="L921" s="78"/>
      <c r="M921" s="79"/>
      <c r="N921" s="85"/>
      <c r="O921" s="79"/>
      <c r="P921" s="78"/>
      <c r="Q921" s="1071"/>
    </row>
    <row r="922" spans="9:17" ht="13.9" x14ac:dyDescent="0.4">
      <c r="I922" s="1071"/>
      <c r="J922" s="80" t="s">
        <v>212</v>
      </c>
      <c r="K922" s="80" t="s">
        <v>838</v>
      </c>
      <c r="L922" s="80" t="s">
        <v>2</v>
      </c>
      <c r="M922" s="80" t="s">
        <v>21</v>
      </c>
      <c r="N922" s="80" t="s">
        <v>174</v>
      </c>
      <c r="O922" s="80" t="s">
        <v>14</v>
      </c>
      <c r="P922" s="80" t="s">
        <v>890</v>
      </c>
      <c r="Q922" s="1071"/>
    </row>
    <row r="923" spans="9:17" ht="13.9" x14ac:dyDescent="0.4">
      <c r="I923" s="1073">
        <f>IF($A$1=15,I918+1,0)</f>
        <v>0</v>
      </c>
      <c r="J923" s="156" t="s">
        <v>19</v>
      </c>
      <c r="K923" s="1350" t="s">
        <v>839</v>
      </c>
      <c r="L923" s="158"/>
      <c r="M923" s="159">
        <v>0</v>
      </c>
      <c r="N923" s="157">
        <v>0</v>
      </c>
      <c r="O923" s="82">
        <f t="shared" ref="O923:O929" si="188">M923*N923</f>
        <v>0</v>
      </c>
      <c r="P923" s="158"/>
      <c r="Q923" s="1071">
        <f>Q918</f>
        <v>0</v>
      </c>
    </row>
    <row r="924" spans="9:17" ht="13.9" x14ac:dyDescent="0.4">
      <c r="I924" s="1073">
        <f t="shared" ref="I924:I929" si="189">IF($A$1=15,I923+1,0)</f>
        <v>0</v>
      </c>
      <c r="J924" s="156" t="s">
        <v>19</v>
      </c>
      <c r="K924" s="1350" t="s">
        <v>839</v>
      </c>
      <c r="L924" s="158"/>
      <c r="M924" s="159">
        <v>0</v>
      </c>
      <c r="N924" s="157">
        <v>0</v>
      </c>
      <c r="O924" s="82">
        <f t="shared" si="188"/>
        <v>0</v>
      </c>
      <c r="P924" s="158"/>
      <c r="Q924" s="1071">
        <f t="shared" ref="Q924:Q929" si="190">Q923</f>
        <v>0</v>
      </c>
    </row>
    <row r="925" spans="9:17" ht="13.9" x14ac:dyDescent="0.4">
      <c r="I925" s="1073">
        <f t="shared" si="189"/>
        <v>0</v>
      </c>
      <c r="J925" s="156" t="s">
        <v>19</v>
      </c>
      <c r="K925" s="1350" t="s">
        <v>839</v>
      </c>
      <c r="L925" s="158"/>
      <c r="M925" s="159">
        <v>0</v>
      </c>
      <c r="N925" s="157">
        <v>0</v>
      </c>
      <c r="O925" s="82">
        <f t="shared" si="188"/>
        <v>0</v>
      </c>
      <c r="P925" s="158"/>
      <c r="Q925" s="1071">
        <f t="shared" si="190"/>
        <v>0</v>
      </c>
    </row>
    <row r="926" spans="9:17" ht="13.9" x14ac:dyDescent="0.4">
      <c r="I926" s="1073">
        <f t="shared" si="189"/>
        <v>0</v>
      </c>
      <c r="J926" s="156" t="s">
        <v>19</v>
      </c>
      <c r="K926" s="1350" t="s">
        <v>839</v>
      </c>
      <c r="L926" s="158"/>
      <c r="M926" s="159">
        <v>0</v>
      </c>
      <c r="N926" s="157">
        <v>0</v>
      </c>
      <c r="O926" s="82">
        <f t="shared" si="188"/>
        <v>0</v>
      </c>
      <c r="P926" s="158"/>
      <c r="Q926" s="1071">
        <f t="shared" si="190"/>
        <v>0</v>
      </c>
    </row>
    <row r="927" spans="9:17" ht="13.9" x14ac:dyDescent="0.4">
      <c r="I927" s="1073">
        <f t="shared" si="189"/>
        <v>0</v>
      </c>
      <c r="J927" s="156" t="s">
        <v>19</v>
      </c>
      <c r="K927" s="1350" t="s">
        <v>839</v>
      </c>
      <c r="L927" s="158"/>
      <c r="M927" s="159">
        <v>0</v>
      </c>
      <c r="N927" s="157">
        <v>0</v>
      </c>
      <c r="O927" s="82">
        <f t="shared" si="188"/>
        <v>0</v>
      </c>
      <c r="P927" s="158"/>
      <c r="Q927" s="1071">
        <f t="shared" si="190"/>
        <v>0</v>
      </c>
    </row>
    <row r="928" spans="9:17" ht="13.9" x14ac:dyDescent="0.4">
      <c r="I928" s="1073">
        <f t="shared" si="189"/>
        <v>0</v>
      </c>
      <c r="J928" s="156" t="s">
        <v>19</v>
      </c>
      <c r="K928" s="1350" t="s">
        <v>839</v>
      </c>
      <c r="L928" s="158"/>
      <c r="M928" s="159">
        <v>0</v>
      </c>
      <c r="N928" s="157">
        <v>0</v>
      </c>
      <c r="O928" s="82">
        <f t="shared" si="188"/>
        <v>0</v>
      </c>
      <c r="P928" s="158"/>
      <c r="Q928" s="1071">
        <f t="shared" si="190"/>
        <v>0</v>
      </c>
    </row>
    <row r="929" spans="9:17" ht="13.9" x14ac:dyDescent="0.4">
      <c r="I929" s="1073">
        <f t="shared" si="189"/>
        <v>0</v>
      </c>
      <c r="J929" s="156" t="s">
        <v>19</v>
      </c>
      <c r="K929" s="1350" t="s">
        <v>839</v>
      </c>
      <c r="L929" s="158"/>
      <c r="M929" s="159">
        <v>0</v>
      </c>
      <c r="N929" s="157">
        <v>0</v>
      </c>
      <c r="O929" s="82">
        <f t="shared" si="188"/>
        <v>0</v>
      </c>
      <c r="P929" s="158"/>
      <c r="Q929" s="1071">
        <f t="shared" si="190"/>
        <v>0</v>
      </c>
    </row>
    <row r="930" spans="9:17" ht="13.9" x14ac:dyDescent="0.4">
      <c r="I930" s="1071"/>
      <c r="J930" s="86" t="s">
        <v>22</v>
      </c>
      <c r="K930" s="86"/>
      <c r="L930" s="86"/>
      <c r="M930" s="81"/>
      <c r="N930" s="87"/>
      <c r="O930" s="88">
        <f>SUM(O923:O929)</f>
        <v>0</v>
      </c>
      <c r="P930" s="86"/>
      <c r="Q930" s="1071"/>
    </row>
    <row r="931" spans="9:17" ht="13.9" x14ac:dyDescent="0.4">
      <c r="I931" s="1071"/>
      <c r="J931" s="83"/>
      <c r="K931" s="83"/>
      <c r="L931" s="83"/>
      <c r="M931" s="89"/>
      <c r="N931" s="84"/>
      <c r="O931" s="89"/>
      <c r="P931" s="83"/>
      <c r="Q931" s="1071"/>
    </row>
    <row r="932" spans="9:17" ht="13.9" x14ac:dyDescent="0.4">
      <c r="I932" s="1071"/>
      <c r="J932" s="1168" t="str">
        <f>A2_Budget_Look_Up!H18</f>
        <v>Rice, Hybrid Seed</v>
      </c>
      <c r="K932" s="1168"/>
      <c r="L932" s="1168">
        <f>A2_Budget_Look_Up!F18</f>
        <v>16</v>
      </c>
      <c r="M932" s="1168"/>
      <c r="N932" s="1168"/>
      <c r="O932" s="1168"/>
      <c r="P932" s="1168"/>
      <c r="Q932" s="1071"/>
    </row>
    <row r="933" spans="9:17" ht="13.9" x14ac:dyDescent="0.4">
      <c r="I933" s="1071"/>
      <c r="J933" s="83"/>
      <c r="K933" s="83"/>
      <c r="L933" s="83"/>
      <c r="M933" s="83"/>
      <c r="N933" s="84"/>
      <c r="O933" s="83"/>
      <c r="P933" s="83"/>
      <c r="Q933" s="1071"/>
    </row>
    <row r="934" spans="9:17" ht="13.9" x14ac:dyDescent="0.4">
      <c r="I934" s="1071"/>
      <c r="J934" s="78" t="s">
        <v>18</v>
      </c>
      <c r="K934" s="78"/>
      <c r="L934" s="78"/>
      <c r="M934" s="79"/>
      <c r="N934" s="85"/>
      <c r="O934" s="79"/>
      <c r="P934" s="78"/>
      <c r="Q934" s="1071"/>
    </row>
    <row r="935" spans="9:17" ht="13.9" x14ac:dyDescent="0.4">
      <c r="I935" s="1071"/>
      <c r="J935" s="80" t="s">
        <v>212</v>
      </c>
      <c r="K935" s="80" t="s">
        <v>838</v>
      </c>
      <c r="L935" s="80" t="s">
        <v>2</v>
      </c>
      <c r="M935" s="80" t="s">
        <v>21</v>
      </c>
      <c r="N935" s="80" t="s">
        <v>174</v>
      </c>
      <c r="O935" s="80" t="s">
        <v>14</v>
      </c>
      <c r="P935" s="80" t="s">
        <v>890</v>
      </c>
      <c r="Q935" s="1071"/>
    </row>
    <row r="936" spans="9:17" ht="13.9" x14ac:dyDescent="0.4">
      <c r="I936" s="1073">
        <f>IF($A$1=16,1,0)</f>
        <v>0</v>
      </c>
      <c r="J936" s="159" t="str">
        <f>A4_Chem_Prices!H$9</f>
        <v>Roundup Powermax 3</v>
      </c>
      <c r="K936" s="1350" t="s">
        <v>839</v>
      </c>
      <c r="L936" s="158" t="str">
        <f>A4_Chem_Prices!I$9</f>
        <v>oz</v>
      </c>
      <c r="M936" s="159">
        <f>A4_Chem_Prices!J$9</f>
        <v>0.140625</v>
      </c>
      <c r="N936" s="157">
        <v>32</v>
      </c>
      <c r="O936" s="82">
        <f t="shared" ref="O936:O949" si="191">M936*N936</f>
        <v>4.5</v>
      </c>
      <c r="P936" s="1449"/>
      <c r="Q936" s="1171">
        <f>IF(SUM(I936:I991)=820,L932,0)</f>
        <v>0</v>
      </c>
    </row>
    <row r="937" spans="9:17" ht="13.9" x14ac:dyDescent="0.4">
      <c r="I937" s="1073">
        <f t="shared" ref="I937:I949" si="192">IF($A$1=16,I936+1,0)</f>
        <v>0</v>
      </c>
      <c r="J937" s="159" t="str">
        <f>A4_Chem_Prices!H$2</f>
        <v>Command</v>
      </c>
      <c r="K937" s="1350" t="s">
        <v>839</v>
      </c>
      <c r="L937" s="160" t="str">
        <f>A4_Chem_Prices!I$2</f>
        <v>oz</v>
      </c>
      <c r="M937" s="159">
        <f>A4_Chem_Prices!J$2</f>
        <v>0.67414062499999994</v>
      </c>
      <c r="N937" s="157">
        <v>12.8</v>
      </c>
      <c r="O937" s="82">
        <f t="shared" si="191"/>
        <v>8.6289999999999996</v>
      </c>
      <c r="P937" s="160"/>
      <c r="Q937" s="1071">
        <f>Q936</f>
        <v>0</v>
      </c>
    </row>
    <row r="938" spans="9:17" ht="13.9" x14ac:dyDescent="0.4">
      <c r="I938" s="1073">
        <f t="shared" si="192"/>
        <v>0</v>
      </c>
      <c r="J938" s="159" t="str">
        <f>A4_Chem_Prices!H$9</f>
        <v>Roundup Powermax 3</v>
      </c>
      <c r="K938" s="1350" t="s">
        <v>839</v>
      </c>
      <c r="L938" s="158" t="str">
        <f>A4_Chem_Prices!I$9</f>
        <v>oz</v>
      </c>
      <c r="M938" s="159">
        <f>A4_Chem_Prices!J$9</f>
        <v>0.140625</v>
      </c>
      <c r="N938" s="157">
        <v>32</v>
      </c>
      <c r="O938" s="82">
        <f t="shared" si="191"/>
        <v>4.5</v>
      </c>
      <c r="P938" s="160"/>
      <c r="Q938" s="1071">
        <f t="shared" ref="Q938:Q949" si="193">Q937</f>
        <v>0</v>
      </c>
    </row>
    <row r="939" spans="9:17" ht="13.9" x14ac:dyDescent="0.4">
      <c r="I939" s="1073">
        <f t="shared" si="192"/>
        <v>0</v>
      </c>
      <c r="J939" s="159" t="str">
        <f>A4_Chem_Prices!K$11</f>
        <v>Sharpen</v>
      </c>
      <c r="K939" s="1350" t="s">
        <v>839</v>
      </c>
      <c r="L939" s="160" t="str">
        <f>A4_Chem_Prices!L$11</f>
        <v>oz</v>
      </c>
      <c r="M939" s="159">
        <f>A4_Chem_Prices!M$11</f>
        <v>6.7</v>
      </c>
      <c r="N939" s="157">
        <v>3</v>
      </c>
      <c r="O939" s="82">
        <f t="shared" si="191"/>
        <v>20.100000000000001</v>
      </c>
      <c r="P939" s="1449"/>
      <c r="Q939" s="1071">
        <f t="shared" si="193"/>
        <v>0</v>
      </c>
    </row>
    <row r="940" spans="9:17" ht="13.9" x14ac:dyDescent="0.4">
      <c r="I940" s="1073">
        <f t="shared" si="192"/>
        <v>0</v>
      </c>
      <c r="J940" s="159" t="str">
        <f>A4_Chem_Prices!H$7</f>
        <v>Facet L</v>
      </c>
      <c r="K940" s="1350" t="s">
        <v>839</v>
      </c>
      <c r="L940" s="160" t="str">
        <f>A4_Chem_Prices!I$7</f>
        <v>oz</v>
      </c>
      <c r="M940" s="18">
        <f>A4_Chem_Prices!J$7</f>
        <v>0.6640625</v>
      </c>
      <c r="N940" s="157">
        <v>25</v>
      </c>
      <c r="O940" s="82">
        <f t="shared" si="191"/>
        <v>16.6015625</v>
      </c>
      <c r="P940" s="160"/>
      <c r="Q940" s="1071">
        <f t="shared" si="193"/>
        <v>0</v>
      </c>
    </row>
    <row r="941" spans="9:17" ht="13.9" x14ac:dyDescent="0.4">
      <c r="I941" s="1073">
        <f t="shared" si="192"/>
        <v>0</v>
      </c>
      <c r="J941" s="159" t="str">
        <f>A4_Chem_Prices!H$15</f>
        <v>Ricestar HT</v>
      </c>
      <c r="K941" s="1350" t="s">
        <v>839</v>
      </c>
      <c r="L941" s="160" t="str">
        <f>A4_Chem_Prices!I$15</f>
        <v>oz</v>
      </c>
      <c r="M941" s="159">
        <f>A4_Chem_Prices!J$15</f>
        <v>1.47484375</v>
      </c>
      <c r="N941" s="157">
        <v>24</v>
      </c>
      <c r="O941" s="82">
        <f t="shared" si="191"/>
        <v>35.396250000000002</v>
      </c>
      <c r="P941" s="158"/>
      <c r="Q941" s="1071">
        <f t="shared" si="193"/>
        <v>0</v>
      </c>
    </row>
    <row r="942" spans="9:17" ht="13.9" x14ac:dyDescent="0.4">
      <c r="I942" s="1073">
        <f t="shared" si="192"/>
        <v>0</v>
      </c>
      <c r="J942" s="159" t="str">
        <f>A4_Chem_Prices!K$10</f>
        <v>Gambit</v>
      </c>
      <c r="K942" s="1350" t="s">
        <v>839</v>
      </c>
      <c r="L942" s="160" t="str">
        <f>A4_Chem_Prices!L$10</f>
        <v>oz</v>
      </c>
      <c r="M942" s="159">
        <f>A4_Chem_Prices!M$10</f>
        <v>14.5</v>
      </c>
      <c r="N942" s="157">
        <v>1.5</v>
      </c>
      <c r="O942" s="82">
        <f t="shared" si="191"/>
        <v>21.75</v>
      </c>
      <c r="P942" s="1093"/>
      <c r="Q942" s="1071">
        <f t="shared" si="193"/>
        <v>0</v>
      </c>
    </row>
    <row r="943" spans="9:17" ht="13.9" x14ac:dyDescent="0.4">
      <c r="I943" s="1073">
        <f t="shared" si="192"/>
        <v>0</v>
      </c>
      <c r="J943" s="159" t="str">
        <f>A4_Chem_Prices!K$16</f>
        <v>Basagran</v>
      </c>
      <c r="K943" s="1350" t="s">
        <v>839</v>
      </c>
      <c r="L943" s="160" t="str">
        <f>A4_Chem_Prices!L$16</f>
        <v>oz</v>
      </c>
      <c r="M943" s="159">
        <f>A4_Chem_Prices!M$16</f>
        <v>0.67046874999999995</v>
      </c>
      <c r="N943" s="157">
        <v>24</v>
      </c>
      <c r="O943" s="82">
        <f t="shared" si="191"/>
        <v>16.091249999999999</v>
      </c>
      <c r="P943" s="1093"/>
      <c r="Q943" s="1071">
        <f t="shared" si="193"/>
        <v>0</v>
      </c>
    </row>
    <row r="944" spans="9:17" ht="13.9" x14ac:dyDescent="0.4">
      <c r="I944" s="1073">
        <f t="shared" si="192"/>
        <v>0</v>
      </c>
      <c r="J944" s="159" t="s">
        <v>19</v>
      </c>
      <c r="K944" s="1350" t="s">
        <v>839</v>
      </c>
      <c r="L944" s="160"/>
      <c r="M944" s="159">
        <v>0</v>
      </c>
      <c r="N944" s="157">
        <v>0</v>
      </c>
      <c r="O944" s="82">
        <f t="shared" si="191"/>
        <v>0</v>
      </c>
      <c r="P944" s="160"/>
      <c r="Q944" s="1071">
        <f t="shared" si="193"/>
        <v>0</v>
      </c>
    </row>
    <row r="945" spans="9:17" ht="13.9" x14ac:dyDescent="0.4">
      <c r="I945" s="1073">
        <f t="shared" si="192"/>
        <v>0</v>
      </c>
      <c r="J945" s="159" t="s">
        <v>19</v>
      </c>
      <c r="K945" s="1350" t="s">
        <v>839</v>
      </c>
      <c r="L945" s="160"/>
      <c r="M945" s="159">
        <v>0</v>
      </c>
      <c r="N945" s="157">
        <v>0</v>
      </c>
      <c r="O945" s="82">
        <f t="shared" si="191"/>
        <v>0</v>
      </c>
      <c r="P945" s="160"/>
      <c r="Q945" s="1071">
        <f t="shared" si="193"/>
        <v>0</v>
      </c>
    </row>
    <row r="946" spans="9:17" ht="13.9" x14ac:dyDescent="0.4">
      <c r="I946" s="1073">
        <f t="shared" si="192"/>
        <v>0</v>
      </c>
      <c r="J946" s="159" t="s">
        <v>19</v>
      </c>
      <c r="K946" s="1350" t="s">
        <v>839</v>
      </c>
      <c r="L946" s="160"/>
      <c r="M946" s="159">
        <v>0</v>
      </c>
      <c r="N946" s="157">
        <v>0</v>
      </c>
      <c r="O946" s="82">
        <f t="shared" si="191"/>
        <v>0</v>
      </c>
      <c r="P946" s="160"/>
      <c r="Q946" s="1071">
        <f t="shared" si="193"/>
        <v>0</v>
      </c>
    </row>
    <row r="947" spans="9:17" ht="13.9" x14ac:dyDescent="0.4">
      <c r="I947" s="1073">
        <f t="shared" si="192"/>
        <v>0</v>
      </c>
      <c r="J947" s="159" t="s">
        <v>19</v>
      </c>
      <c r="K947" s="1350" t="s">
        <v>839</v>
      </c>
      <c r="L947" s="160"/>
      <c r="M947" s="159">
        <v>0</v>
      </c>
      <c r="N947" s="157">
        <v>0</v>
      </c>
      <c r="O947" s="82">
        <f t="shared" si="191"/>
        <v>0</v>
      </c>
      <c r="P947" s="160"/>
      <c r="Q947" s="1071">
        <f t="shared" si="193"/>
        <v>0</v>
      </c>
    </row>
    <row r="948" spans="9:17" ht="13.9" x14ac:dyDescent="0.4">
      <c r="I948" s="1073">
        <f t="shared" si="192"/>
        <v>0</v>
      </c>
      <c r="J948" s="159" t="s">
        <v>19</v>
      </c>
      <c r="K948" s="1350" t="s">
        <v>839</v>
      </c>
      <c r="L948" s="160"/>
      <c r="M948" s="159">
        <v>0</v>
      </c>
      <c r="N948" s="157">
        <v>0</v>
      </c>
      <c r="O948" s="82">
        <f t="shared" si="191"/>
        <v>0</v>
      </c>
      <c r="P948" s="160"/>
      <c r="Q948" s="1071">
        <f t="shared" si="193"/>
        <v>0</v>
      </c>
    </row>
    <row r="949" spans="9:17" ht="13.9" x14ac:dyDescent="0.4">
      <c r="I949" s="1073">
        <f t="shared" si="192"/>
        <v>0</v>
      </c>
      <c r="J949" s="159" t="s">
        <v>19</v>
      </c>
      <c r="K949" s="1350" t="s">
        <v>839</v>
      </c>
      <c r="L949" s="160"/>
      <c r="M949" s="159">
        <v>0</v>
      </c>
      <c r="N949" s="157">
        <v>0</v>
      </c>
      <c r="O949" s="82">
        <f t="shared" si="191"/>
        <v>0</v>
      </c>
      <c r="P949" s="160"/>
      <c r="Q949" s="1071">
        <f t="shared" si="193"/>
        <v>0</v>
      </c>
    </row>
    <row r="950" spans="9:17" ht="13.9" x14ac:dyDescent="0.4">
      <c r="I950" s="1071"/>
      <c r="J950" s="86" t="s">
        <v>22</v>
      </c>
      <c r="K950" s="86"/>
      <c r="L950" s="86"/>
      <c r="M950" s="81"/>
      <c r="N950" s="87"/>
      <c r="O950" s="88">
        <f>SUM(O936:O949)</f>
        <v>127.5680625</v>
      </c>
      <c r="P950" s="86"/>
      <c r="Q950" s="1071"/>
    </row>
    <row r="951" spans="9:17" ht="13.9" x14ac:dyDescent="0.4">
      <c r="I951" s="1071"/>
      <c r="J951" s="83"/>
      <c r="K951" s="83"/>
      <c r="L951" s="83"/>
      <c r="M951" s="83"/>
      <c r="N951" s="84"/>
      <c r="O951" s="83"/>
      <c r="P951" s="83"/>
      <c r="Q951" s="1071"/>
    </row>
    <row r="952" spans="9:17" ht="13.9" x14ac:dyDescent="0.4">
      <c r="I952" s="1071"/>
      <c r="J952" s="78" t="s">
        <v>20</v>
      </c>
      <c r="K952" s="78"/>
      <c r="L952" s="78"/>
      <c r="M952" s="79"/>
      <c r="N952" s="85"/>
      <c r="O952" s="79"/>
      <c r="P952" s="78"/>
      <c r="Q952" s="1071"/>
    </row>
    <row r="953" spans="9:17" ht="13.9" x14ac:dyDescent="0.4">
      <c r="I953" s="1071"/>
      <c r="J953" s="80" t="s">
        <v>212</v>
      </c>
      <c r="K953" s="80" t="s">
        <v>838</v>
      </c>
      <c r="L953" s="80" t="s">
        <v>2</v>
      </c>
      <c r="M953" s="80" t="s">
        <v>21</v>
      </c>
      <c r="N953" s="80" t="s">
        <v>174</v>
      </c>
      <c r="O953" s="80" t="s">
        <v>14</v>
      </c>
      <c r="P953" s="80" t="s">
        <v>890</v>
      </c>
      <c r="Q953" s="1071"/>
    </row>
    <row r="954" spans="9:17" ht="13.9" x14ac:dyDescent="0.4">
      <c r="I954" s="1073">
        <f>IF($A$1=16,I949+1,0)</f>
        <v>0</v>
      </c>
      <c r="J954" s="1092" t="str">
        <f>A4_Chem_Prices!H$19</f>
        <v>Tenchu</v>
      </c>
      <c r="K954" s="1350" t="s">
        <v>839</v>
      </c>
      <c r="L954" s="1095" t="str">
        <f>A4_Chem_Prices!I$19</f>
        <v>oz</v>
      </c>
      <c r="M954" s="1092">
        <f>A4_Chem_Prices!J$19</f>
        <v>1.1299999999999999</v>
      </c>
      <c r="N954" s="1094">
        <v>8</v>
      </c>
      <c r="O954" s="82">
        <f t="shared" ref="O954:O963" si="194">M954*N954</f>
        <v>9.0399999999999991</v>
      </c>
      <c r="P954" s="1449">
        <f>N954</f>
        <v>8</v>
      </c>
      <c r="Q954" s="1071">
        <f>Q936</f>
        <v>0</v>
      </c>
    </row>
    <row r="955" spans="9:17" ht="13.9" x14ac:dyDescent="0.4">
      <c r="I955" s="1073">
        <f t="shared" ref="I955:I963" si="195">IF($A$1=16,I954+1,0)</f>
        <v>0</v>
      </c>
      <c r="J955" s="159" t="s">
        <v>19</v>
      </c>
      <c r="K955" s="1350" t="s">
        <v>839</v>
      </c>
      <c r="L955" s="160"/>
      <c r="M955" s="159">
        <v>0</v>
      </c>
      <c r="N955" s="157">
        <v>0</v>
      </c>
      <c r="O955" s="82">
        <f t="shared" si="194"/>
        <v>0</v>
      </c>
      <c r="P955" s="158"/>
      <c r="Q955" s="1071">
        <f>Q954</f>
        <v>0</v>
      </c>
    </row>
    <row r="956" spans="9:17" ht="13.9" x14ac:dyDescent="0.4">
      <c r="I956" s="1073">
        <f t="shared" si="195"/>
        <v>0</v>
      </c>
      <c r="J956" s="159" t="s">
        <v>19</v>
      </c>
      <c r="K956" s="1350" t="s">
        <v>839</v>
      </c>
      <c r="L956" s="160"/>
      <c r="M956" s="159">
        <v>0</v>
      </c>
      <c r="N956" s="157">
        <v>0</v>
      </c>
      <c r="O956" s="82">
        <f t="shared" si="194"/>
        <v>0</v>
      </c>
      <c r="P956" s="158"/>
      <c r="Q956" s="1071">
        <f t="shared" ref="Q956:Q963" si="196">Q955</f>
        <v>0</v>
      </c>
    </row>
    <row r="957" spans="9:17" ht="13.9" x14ac:dyDescent="0.4">
      <c r="I957" s="1073">
        <f t="shared" si="195"/>
        <v>0</v>
      </c>
      <c r="J957" s="159" t="s">
        <v>19</v>
      </c>
      <c r="K957" s="1350" t="s">
        <v>839</v>
      </c>
      <c r="L957" s="160"/>
      <c r="M957" s="159">
        <v>0</v>
      </c>
      <c r="N957" s="157">
        <v>0</v>
      </c>
      <c r="O957" s="82">
        <f t="shared" si="194"/>
        <v>0</v>
      </c>
      <c r="P957" s="158"/>
      <c r="Q957" s="1071">
        <f t="shared" si="196"/>
        <v>0</v>
      </c>
    </row>
    <row r="958" spans="9:17" ht="13.9" x14ac:dyDescent="0.4">
      <c r="I958" s="1073">
        <f t="shared" si="195"/>
        <v>0</v>
      </c>
      <c r="J958" s="159" t="s">
        <v>19</v>
      </c>
      <c r="K958" s="1350" t="s">
        <v>839</v>
      </c>
      <c r="L958" s="160"/>
      <c r="M958" s="159">
        <v>0</v>
      </c>
      <c r="N958" s="157">
        <v>0</v>
      </c>
      <c r="O958" s="82">
        <f t="shared" si="194"/>
        <v>0</v>
      </c>
      <c r="P958" s="158"/>
      <c r="Q958" s="1071">
        <f t="shared" si="196"/>
        <v>0</v>
      </c>
    </row>
    <row r="959" spans="9:17" ht="13.9" x14ac:dyDescent="0.4">
      <c r="I959" s="1073">
        <f t="shared" si="195"/>
        <v>0</v>
      </c>
      <c r="J959" s="159" t="s">
        <v>19</v>
      </c>
      <c r="K959" s="1350" t="s">
        <v>839</v>
      </c>
      <c r="L959" s="160"/>
      <c r="M959" s="159">
        <v>0</v>
      </c>
      <c r="N959" s="157">
        <v>0</v>
      </c>
      <c r="O959" s="82">
        <f t="shared" si="194"/>
        <v>0</v>
      </c>
      <c r="P959" s="158"/>
      <c r="Q959" s="1071">
        <f t="shared" si="196"/>
        <v>0</v>
      </c>
    </row>
    <row r="960" spans="9:17" ht="13.9" x14ac:dyDescent="0.4">
      <c r="I960" s="1073">
        <f t="shared" si="195"/>
        <v>0</v>
      </c>
      <c r="J960" s="159" t="s">
        <v>19</v>
      </c>
      <c r="K960" s="1350" t="s">
        <v>839</v>
      </c>
      <c r="L960" s="160"/>
      <c r="M960" s="159">
        <v>0</v>
      </c>
      <c r="N960" s="157">
        <v>0</v>
      </c>
      <c r="O960" s="82">
        <f t="shared" si="194"/>
        <v>0</v>
      </c>
      <c r="P960" s="158"/>
      <c r="Q960" s="1071">
        <f t="shared" si="196"/>
        <v>0</v>
      </c>
    </row>
    <row r="961" spans="9:17" ht="13.9" x14ac:dyDescent="0.4">
      <c r="I961" s="1073">
        <f t="shared" si="195"/>
        <v>0</v>
      </c>
      <c r="J961" s="159" t="s">
        <v>19</v>
      </c>
      <c r="K961" s="1350" t="s">
        <v>839</v>
      </c>
      <c r="L961" s="160"/>
      <c r="M961" s="159">
        <v>0</v>
      </c>
      <c r="N961" s="157">
        <v>0</v>
      </c>
      <c r="O961" s="82">
        <f t="shared" si="194"/>
        <v>0</v>
      </c>
      <c r="P961" s="158"/>
      <c r="Q961" s="1071">
        <f t="shared" si="196"/>
        <v>0</v>
      </c>
    </row>
    <row r="962" spans="9:17" ht="13.9" x14ac:dyDescent="0.4">
      <c r="I962" s="1073">
        <f t="shared" si="195"/>
        <v>0</v>
      </c>
      <c r="J962" s="159" t="s">
        <v>19</v>
      </c>
      <c r="K962" s="1350" t="s">
        <v>839</v>
      </c>
      <c r="L962" s="160"/>
      <c r="M962" s="159">
        <v>0</v>
      </c>
      <c r="N962" s="157">
        <v>0</v>
      </c>
      <c r="O962" s="82">
        <f t="shared" si="194"/>
        <v>0</v>
      </c>
      <c r="P962" s="158"/>
      <c r="Q962" s="1071">
        <f t="shared" si="196"/>
        <v>0</v>
      </c>
    </row>
    <row r="963" spans="9:17" ht="13.9" x14ac:dyDescent="0.4">
      <c r="I963" s="1073">
        <f t="shared" si="195"/>
        <v>0</v>
      </c>
      <c r="J963" s="159" t="s">
        <v>19</v>
      </c>
      <c r="K963" s="1350" t="s">
        <v>839</v>
      </c>
      <c r="L963" s="160"/>
      <c r="M963" s="159">
        <v>0</v>
      </c>
      <c r="N963" s="157">
        <v>0</v>
      </c>
      <c r="O963" s="82">
        <f t="shared" si="194"/>
        <v>0</v>
      </c>
      <c r="P963" s="158"/>
      <c r="Q963" s="1071">
        <f t="shared" si="196"/>
        <v>0</v>
      </c>
    </row>
    <row r="964" spans="9:17" ht="13.9" x14ac:dyDescent="0.4">
      <c r="I964" s="1071"/>
      <c r="J964" s="86" t="s">
        <v>22</v>
      </c>
      <c r="K964" s="86"/>
      <c r="L964" s="86"/>
      <c r="M964" s="81"/>
      <c r="N964" s="87"/>
      <c r="O964" s="88">
        <f>SUM(O954:O963)</f>
        <v>9.0399999999999991</v>
      </c>
      <c r="P964" s="86"/>
      <c r="Q964" s="1071"/>
    </row>
    <row r="965" spans="9:17" ht="13.9" x14ac:dyDescent="0.4">
      <c r="I965" s="1071"/>
      <c r="J965" s="83"/>
      <c r="K965" s="83"/>
      <c r="L965" s="83"/>
      <c r="M965" s="83"/>
      <c r="N965" s="84"/>
      <c r="O965" s="83"/>
      <c r="P965" s="83"/>
      <c r="Q965" s="1071"/>
    </row>
    <row r="966" spans="9:17" ht="13.9" x14ac:dyDescent="0.4">
      <c r="I966" s="1071"/>
      <c r="J966" s="78" t="str">
        <f>IF(OR(A2_Budget_Look_Up!$B$7=1,A2_Budget_Look_Up!$B$13=1),"Nematicide Detail", "Fungicide Detail")</f>
        <v>Fungicide Detail</v>
      </c>
      <c r="K966" s="78"/>
      <c r="L966" s="78"/>
      <c r="M966" s="79"/>
      <c r="N966" s="85"/>
      <c r="O966" s="79"/>
      <c r="P966" s="78"/>
      <c r="Q966" s="1071"/>
    </row>
    <row r="967" spans="9:17" ht="13.9" x14ac:dyDescent="0.4">
      <c r="I967" s="1071"/>
      <c r="J967" s="80" t="s">
        <v>212</v>
      </c>
      <c r="K967" s="80" t="s">
        <v>838</v>
      </c>
      <c r="L967" s="80" t="s">
        <v>2</v>
      </c>
      <c r="M967" s="80" t="s">
        <v>21</v>
      </c>
      <c r="N967" s="80" t="s">
        <v>174</v>
      </c>
      <c r="O967" s="80" t="s">
        <v>14</v>
      </c>
      <c r="P967" s="80" t="s">
        <v>890</v>
      </c>
      <c r="Q967" s="1071"/>
    </row>
    <row r="968" spans="9:17" ht="13.9" x14ac:dyDescent="0.4">
      <c r="I968" s="1073">
        <f>IF($A$1=16,I963+1,0)</f>
        <v>0</v>
      </c>
      <c r="J968" s="156" t="str">
        <f>A4_Chem_Prices!H$35</f>
        <v>Tilt 3.6 EC</v>
      </c>
      <c r="K968" s="1350" t="s">
        <v>839</v>
      </c>
      <c r="L968" s="158" t="str">
        <f>A4_Chem_Prices!I$35</f>
        <v>oz</v>
      </c>
      <c r="M968" s="159">
        <f>A4_Chem_Prices!J$35</f>
        <v>0.72</v>
      </c>
      <c r="N968" s="157">
        <v>8</v>
      </c>
      <c r="O968" s="82">
        <f>M968*N968</f>
        <v>5.76</v>
      </c>
      <c r="P968" s="158"/>
      <c r="Q968" s="1071">
        <f>Q963</f>
        <v>0</v>
      </c>
    </row>
    <row r="969" spans="9:17" ht="13.9" x14ac:dyDescent="0.4">
      <c r="I969" s="1073">
        <f>IF($A$1=16,I968+1,0)</f>
        <v>0</v>
      </c>
      <c r="J969" s="156" t="s">
        <v>19</v>
      </c>
      <c r="K969" s="1350" t="s">
        <v>839</v>
      </c>
      <c r="L969" s="158"/>
      <c r="M969" s="159">
        <v>0</v>
      </c>
      <c r="N969" s="157">
        <v>0</v>
      </c>
      <c r="O969" s="82">
        <f>M969*N969</f>
        <v>0</v>
      </c>
      <c r="P969" s="158"/>
      <c r="Q969" s="1071">
        <f>Q968</f>
        <v>0</v>
      </c>
    </row>
    <row r="970" spans="9:17" ht="13.9" x14ac:dyDescent="0.4">
      <c r="I970" s="1071"/>
      <c r="J970" s="86" t="s">
        <v>22</v>
      </c>
      <c r="K970" s="86"/>
      <c r="L970" s="86"/>
      <c r="M970" s="81"/>
      <c r="N970" s="87"/>
      <c r="O970" s="88">
        <f>SUM(O968:O969)</f>
        <v>5.76</v>
      </c>
      <c r="P970" s="86"/>
      <c r="Q970" s="1071"/>
    </row>
    <row r="971" spans="9:17" ht="13.9" x14ac:dyDescent="0.4">
      <c r="I971" s="1071"/>
      <c r="J971" s="83"/>
      <c r="K971" s="83"/>
      <c r="L971" s="83"/>
      <c r="M971" s="83"/>
      <c r="N971" s="84"/>
      <c r="O971" s="83"/>
      <c r="P971" s="83"/>
      <c r="Q971" s="1071"/>
    </row>
    <row r="972" spans="9:17" ht="13.9" x14ac:dyDescent="0.4">
      <c r="I972" s="1071"/>
      <c r="J972" s="78" t="str">
        <f>IF(A2_Budget_Look_Up!$B$7=1,"Growth Regulator Detail", IF(A2_Budget_Look_Up!$B$13=1,"Fungicide Detail","Other Chemical Detail"))</f>
        <v>Other Chemical Detail</v>
      </c>
      <c r="K972" s="78"/>
      <c r="L972" s="78"/>
      <c r="M972" s="79"/>
      <c r="N972" s="85"/>
      <c r="O972" s="79"/>
      <c r="P972" s="78"/>
      <c r="Q972" s="1071"/>
    </row>
    <row r="973" spans="9:17" ht="13.9" x14ac:dyDescent="0.4">
      <c r="I973" s="1071"/>
      <c r="J973" s="80" t="s">
        <v>212</v>
      </c>
      <c r="K973" s="80" t="s">
        <v>838</v>
      </c>
      <c r="L973" s="80" t="s">
        <v>2</v>
      </c>
      <c r="M973" s="80" t="s">
        <v>21</v>
      </c>
      <c r="N973" s="80" t="s">
        <v>174</v>
      </c>
      <c r="O973" s="80" t="s">
        <v>14</v>
      </c>
      <c r="P973" s="80" t="s">
        <v>890</v>
      </c>
      <c r="Q973" s="1071"/>
    </row>
    <row r="974" spans="9:17" ht="13.9" x14ac:dyDescent="0.4">
      <c r="I974" s="1073">
        <f>IF($A$1=16,I969+1,0)</f>
        <v>0</v>
      </c>
      <c r="J974" s="156" t="s">
        <v>19</v>
      </c>
      <c r="K974" s="1350" t="s">
        <v>839</v>
      </c>
      <c r="L974" s="158"/>
      <c r="M974" s="159">
        <v>0</v>
      </c>
      <c r="N974" s="157">
        <v>0</v>
      </c>
      <c r="O974" s="82">
        <f t="shared" ref="O974:O980" si="197">M974*N974</f>
        <v>0</v>
      </c>
      <c r="P974" s="158"/>
      <c r="Q974" s="1071">
        <f>Q969</f>
        <v>0</v>
      </c>
    </row>
    <row r="975" spans="9:17" ht="13.9" x14ac:dyDescent="0.4">
      <c r="I975" s="1073">
        <f t="shared" ref="I975:I980" si="198">IF($A$1=16,I974+1,0)</f>
        <v>0</v>
      </c>
      <c r="J975" s="156" t="s">
        <v>19</v>
      </c>
      <c r="K975" s="1350" t="s">
        <v>839</v>
      </c>
      <c r="L975" s="158"/>
      <c r="M975" s="159">
        <v>0</v>
      </c>
      <c r="N975" s="157">
        <v>0</v>
      </c>
      <c r="O975" s="82">
        <f t="shared" si="197"/>
        <v>0</v>
      </c>
      <c r="P975" s="158"/>
      <c r="Q975" s="1071">
        <f t="shared" ref="Q975:Q980" si="199">Q974</f>
        <v>0</v>
      </c>
    </row>
    <row r="976" spans="9:17" ht="13.9" x14ac:dyDescent="0.4">
      <c r="I976" s="1073">
        <f t="shared" si="198"/>
        <v>0</v>
      </c>
      <c r="J976" s="156" t="s">
        <v>19</v>
      </c>
      <c r="K976" s="1350" t="s">
        <v>839</v>
      </c>
      <c r="L976" s="158"/>
      <c r="M976" s="159">
        <v>0</v>
      </c>
      <c r="N976" s="157">
        <v>0</v>
      </c>
      <c r="O976" s="82">
        <f t="shared" si="197"/>
        <v>0</v>
      </c>
      <c r="P976" s="158"/>
      <c r="Q976" s="1071">
        <f t="shared" si="199"/>
        <v>0</v>
      </c>
    </row>
    <row r="977" spans="9:17" ht="13.9" x14ac:dyDescent="0.4">
      <c r="I977" s="1073">
        <f t="shared" si="198"/>
        <v>0</v>
      </c>
      <c r="J977" s="156" t="s">
        <v>19</v>
      </c>
      <c r="K977" s="1350" t="s">
        <v>839</v>
      </c>
      <c r="L977" s="158"/>
      <c r="M977" s="159">
        <v>0</v>
      </c>
      <c r="N977" s="157">
        <v>0</v>
      </c>
      <c r="O977" s="82">
        <f t="shared" si="197"/>
        <v>0</v>
      </c>
      <c r="P977" s="158"/>
      <c r="Q977" s="1071">
        <f t="shared" si="199"/>
        <v>0</v>
      </c>
    </row>
    <row r="978" spans="9:17" ht="13.9" x14ac:dyDescent="0.4">
      <c r="I978" s="1073">
        <f t="shared" si="198"/>
        <v>0</v>
      </c>
      <c r="J978" s="156" t="s">
        <v>19</v>
      </c>
      <c r="K978" s="1350" t="s">
        <v>839</v>
      </c>
      <c r="L978" s="158"/>
      <c r="M978" s="159">
        <v>0</v>
      </c>
      <c r="N978" s="157">
        <v>0</v>
      </c>
      <c r="O978" s="82">
        <f t="shared" si="197"/>
        <v>0</v>
      </c>
      <c r="P978" s="158"/>
      <c r="Q978" s="1071">
        <f t="shared" si="199"/>
        <v>0</v>
      </c>
    </row>
    <row r="979" spans="9:17" ht="13.9" x14ac:dyDescent="0.4">
      <c r="I979" s="1073">
        <f t="shared" si="198"/>
        <v>0</v>
      </c>
      <c r="J979" s="156" t="s">
        <v>19</v>
      </c>
      <c r="K979" s="1350" t="s">
        <v>839</v>
      </c>
      <c r="L979" s="158"/>
      <c r="M979" s="159">
        <v>0</v>
      </c>
      <c r="N979" s="157">
        <v>0</v>
      </c>
      <c r="O979" s="82">
        <f t="shared" si="197"/>
        <v>0</v>
      </c>
      <c r="P979" s="158"/>
      <c r="Q979" s="1071">
        <f t="shared" si="199"/>
        <v>0</v>
      </c>
    </row>
    <row r="980" spans="9:17" ht="13.9" x14ac:dyDescent="0.4">
      <c r="I980" s="1073">
        <f t="shared" si="198"/>
        <v>0</v>
      </c>
      <c r="J980" s="156" t="s">
        <v>19</v>
      </c>
      <c r="K980" s="1350" t="s">
        <v>839</v>
      </c>
      <c r="L980" s="158"/>
      <c r="M980" s="159">
        <v>0</v>
      </c>
      <c r="N980" s="157">
        <v>0</v>
      </c>
      <c r="O980" s="82">
        <f t="shared" si="197"/>
        <v>0</v>
      </c>
      <c r="P980" s="158"/>
      <c r="Q980" s="1071">
        <f t="shared" si="199"/>
        <v>0</v>
      </c>
    </row>
    <row r="981" spans="9:17" ht="13.9" x14ac:dyDescent="0.4">
      <c r="I981" s="1071"/>
      <c r="J981" s="86" t="s">
        <v>22</v>
      </c>
      <c r="K981" s="86"/>
      <c r="L981" s="86"/>
      <c r="M981" s="81"/>
      <c r="N981" s="87"/>
      <c r="O981" s="88">
        <f>SUM(O974:O980)</f>
        <v>0</v>
      </c>
      <c r="P981" s="86"/>
      <c r="Q981" s="1071"/>
    </row>
    <row r="982" spans="9:17" ht="13.9" x14ac:dyDescent="0.4">
      <c r="I982" s="1071"/>
      <c r="J982" s="83"/>
      <c r="K982" s="83"/>
      <c r="L982" s="83"/>
      <c r="M982" s="83"/>
      <c r="N982" s="84"/>
      <c r="O982" s="83"/>
      <c r="P982" s="83"/>
      <c r="Q982" s="1071"/>
    </row>
    <row r="983" spans="9:17" ht="13.9" x14ac:dyDescent="0.4">
      <c r="I983" s="1071"/>
      <c r="J983" s="78" t="str">
        <f>IF(A2_Budget_Look_Up!$B$7=1,"Defoliant Detail", "Other Chemical Detail")</f>
        <v>Other Chemical Detail</v>
      </c>
      <c r="K983" s="78"/>
      <c r="L983" s="78"/>
      <c r="M983" s="79"/>
      <c r="N983" s="85"/>
      <c r="O983" s="79"/>
      <c r="P983" s="78"/>
      <c r="Q983" s="1071"/>
    </row>
    <row r="984" spans="9:17" ht="13.9" x14ac:dyDescent="0.4">
      <c r="I984" s="1071"/>
      <c r="J984" s="80" t="s">
        <v>212</v>
      </c>
      <c r="K984" s="80" t="s">
        <v>838</v>
      </c>
      <c r="L984" s="80" t="s">
        <v>2</v>
      </c>
      <c r="M984" s="80" t="s">
        <v>21</v>
      </c>
      <c r="N984" s="80" t="s">
        <v>174</v>
      </c>
      <c r="O984" s="80" t="s">
        <v>14</v>
      </c>
      <c r="P984" s="80" t="s">
        <v>890</v>
      </c>
      <c r="Q984" s="1071"/>
    </row>
    <row r="985" spans="9:17" ht="13.9" x14ac:dyDescent="0.4">
      <c r="I985" s="1073">
        <f>IF($A$1=16,I980+1,0)</f>
        <v>0</v>
      </c>
      <c r="J985" s="156" t="s">
        <v>19</v>
      </c>
      <c r="K985" s="1350" t="s">
        <v>839</v>
      </c>
      <c r="L985" s="158"/>
      <c r="M985" s="159">
        <v>0</v>
      </c>
      <c r="N985" s="157">
        <v>0</v>
      </c>
      <c r="O985" s="82">
        <f t="shared" ref="O985:O991" si="200">M985*N985</f>
        <v>0</v>
      </c>
      <c r="P985" s="158"/>
      <c r="Q985" s="1071">
        <f>Q980</f>
        <v>0</v>
      </c>
    </row>
    <row r="986" spans="9:17" ht="13.9" x14ac:dyDescent="0.4">
      <c r="I986" s="1073">
        <f t="shared" ref="I986:I991" si="201">IF($A$1=16,I985+1,0)</f>
        <v>0</v>
      </c>
      <c r="J986" s="156" t="s">
        <v>19</v>
      </c>
      <c r="K986" s="1350" t="s">
        <v>839</v>
      </c>
      <c r="L986" s="158"/>
      <c r="M986" s="159">
        <v>0</v>
      </c>
      <c r="N986" s="157">
        <v>0</v>
      </c>
      <c r="O986" s="82">
        <f t="shared" si="200"/>
        <v>0</v>
      </c>
      <c r="P986" s="158"/>
      <c r="Q986" s="1071">
        <f t="shared" ref="Q986:Q991" si="202">Q985</f>
        <v>0</v>
      </c>
    </row>
    <row r="987" spans="9:17" ht="13.9" x14ac:dyDescent="0.4">
      <c r="I987" s="1073">
        <f t="shared" si="201"/>
        <v>0</v>
      </c>
      <c r="J987" s="156" t="s">
        <v>19</v>
      </c>
      <c r="K987" s="1350" t="s">
        <v>839</v>
      </c>
      <c r="L987" s="158"/>
      <c r="M987" s="159">
        <v>0</v>
      </c>
      <c r="N987" s="157">
        <v>0</v>
      </c>
      <c r="O987" s="82">
        <f t="shared" si="200"/>
        <v>0</v>
      </c>
      <c r="P987" s="158"/>
      <c r="Q987" s="1071">
        <f t="shared" si="202"/>
        <v>0</v>
      </c>
    </row>
    <row r="988" spans="9:17" ht="13.9" x14ac:dyDescent="0.4">
      <c r="I988" s="1073">
        <f t="shared" si="201"/>
        <v>0</v>
      </c>
      <c r="J988" s="156" t="s">
        <v>19</v>
      </c>
      <c r="K988" s="1350" t="s">
        <v>839</v>
      </c>
      <c r="L988" s="158"/>
      <c r="M988" s="159">
        <v>0</v>
      </c>
      <c r="N988" s="157">
        <v>0</v>
      </c>
      <c r="O988" s="82">
        <f t="shared" si="200"/>
        <v>0</v>
      </c>
      <c r="P988" s="158"/>
      <c r="Q988" s="1071">
        <f t="shared" si="202"/>
        <v>0</v>
      </c>
    </row>
    <row r="989" spans="9:17" ht="13.9" x14ac:dyDescent="0.4">
      <c r="I989" s="1073">
        <f t="shared" si="201"/>
        <v>0</v>
      </c>
      <c r="J989" s="156" t="s">
        <v>19</v>
      </c>
      <c r="K989" s="1350" t="s">
        <v>839</v>
      </c>
      <c r="L989" s="158"/>
      <c r="M989" s="159">
        <v>0</v>
      </c>
      <c r="N989" s="157">
        <v>0</v>
      </c>
      <c r="O989" s="82">
        <f t="shared" si="200"/>
        <v>0</v>
      </c>
      <c r="P989" s="158"/>
      <c r="Q989" s="1071">
        <f t="shared" si="202"/>
        <v>0</v>
      </c>
    </row>
    <row r="990" spans="9:17" ht="13.9" x14ac:dyDescent="0.4">
      <c r="I990" s="1073">
        <f t="shared" si="201"/>
        <v>0</v>
      </c>
      <c r="J990" s="156" t="s">
        <v>19</v>
      </c>
      <c r="K990" s="1350" t="s">
        <v>839</v>
      </c>
      <c r="L990" s="158"/>
      <c r="M990" s="159">
        <v>0</v>
      </c>
      <c r="N990" s="157">
        <v>0</v>
      </c>
      <c r="O990" s="82">
        <f t="shared" si="200"/>
        <v>0</v>
      </c>
      <c r="P990" s="158"/>
      <c r="Q990" s="1071">
        <f t="shared" si="202"/>
        <v>0</v>
      </c>
    </row>
    <row r="991" spans="9:17" ht="13.9" x14ac:dyDescent="0.4">
      <c r="I991" s="1073">
        <f t="shared" si="201"/>
        <v>0</v>
      </c>
      <c r="J991" s="156" t="s">
        <v>19</v>
      </c>
      <c r="K991" s="1350" t="s">
        <v>839</v>
      </c>
      <c r="L991" s="158"/>
      <c r="M991" s="159">
        <v>0</v>
      </c>
      <c r="N991" s="157">
        <v>0</v>
      </c>
      <c r="O991" s="82">
        <f t="shared" si="200"/>
        <v>0</v>
      </c>
      <c r="P991" s="158"/>
      <c r="Q991" s="1071">
        <f t="shared" si="202"/>
        <v>0</v>
      </c>
    </row>
    <row r="992" spans="9:17" ht="13.9" x14ac:dyDescent="0.4">
      <c r="I992" s="1071"/>
      <c r="J992" s="86" t="s">
        <v>22</v>
      </c>
      <c r="K992" s="86"/>
      <c r="L992" s="86"/>
      <c r="M992" s="81"/>
      <c r="N992" s="87"/>
      <c r="O992" s="88">
        <f>SUM(O985:O991)</f>
        <v>0</v>
      </c>
      <c r="P992" s="86"/>
      <c r="Q992" s="1071"/>
    </row>
    <row r="994" spans="9:17" ht="13.9" x14ac:dyDescent="0.4">
      <c r="I994" s="1071"/>
      <c r="J994" s="1168" t="str">
        <f>A2_Budget_Look_Up!H19</f>
        <v>Rice, FullPage Hybrid Seed</v>
      </c>
      <c r="K994" s="1168"/>
      <c r="L994" s="1168">
        <f>A2_Budget_Look_Up!F19</f>
        <v>17</v>
      </c>
      <c r="M994" s="1168"/>
      <c r="N994" s="1168"/>
      <c r="O994" s="1168"/>
      <c r="P994" s="1168"/>
      <c r="Q994" s="1071"/>
    </row>
    <row r="995" spans="9:17" ht="13.9" x14ac:dyDescent="0.4">
      <c r="I995" s="1071"/>
      <c r="J995" s="83"/>
      <c r="K995" s="83"/>
      <c r="L995" s="83"/>
      <c r="M995" s="83"/>
      <c r="N995" s="84"/>
      <c r="O995" s="83"/>
      <c r="P995" s="83"/>
      <c r="Q995" s="1071"/>
    </row>
    <row r="996" spans="9:17" ht="13.9" x14ac:dyDescent="0.4">
      <c r="I996" s="1071"/>
      <c r="J996" s="78" t="s">
        <v>18</v>
      </c>
      <c r="K996" s="78"/>
      <c r="L996" s="78"/>
      <c r="M996" s="79"/>
      <c r="N996" s="85"/>
      <c r="O996" s="79"/>
      <c r="P996" s="78"/>
      <c r="Q996" s="1071"/>
    </row>
    <row r="997" spans="9:17" ht="13.9" x14ac:dyDescent="0.4">
      <c r="I997" s="1071"/>
      <c r="J997" s="80" t="s">
        <v>212</v>
      </c>
      <c r="K997" s="80" t="s">
        <v>838</v>
      </c>
      <c r="L997" s="80" t="s">
        <v>2</v>
      </c>
      <c r="M997" s="80" t="s">
        <v>21</v>
      </c>
      <c r="N997" s="80" t="s">
        <v>174</v>
      </c>
      <c r="O997" s="80" t="s">
        <v>14</v>
      </c>
      <c r="P997" s="80" t="s">
        <v>890</v>
      </c>
      <c r="Q997" s="1071"/>
    </row>
    <row r="998" spans="9:17" ht="13.9" x14ac:dyDescent="0.4">
      <c r="I998" s="1073">
        <f>IF($A$1=17,1,0)</f>
        <v>0</v>
      </c>
      <c r="J998" s="159" t="str">
        <f>A4_Chem_Prices!H$9</f>
        <v>Roundup Powermax 3</v>
      </c>
      <c r="K998" s="1350" t="s">
        <v>839</v>
      </c>
      <c r="L998" s="158" t="str">
        <f>A4_Chem_Prices!I$9</f>
        <v>oz</v>
      </c>
      <c r="M998" s="159">
        <f>A4_Chem_Prices!J$9</f>
        <v>0.140625</v>
      </c>
      <c r="N998" s="157">
        <v>32</v>
      </c>
      <c r="O998" s="82">
        <f t="shared" ref="O998:O1011" si="203">M998*N998</f>
        <v>4.5</v>
      </c>
      <c r="P998" s="1449">
        <f>N998</f>
        <v>32</v>
      </c>
      <c r="Q998" s="1171">
        <f>IF(SUM(I998:I1053)=820,L994,0)</f>
        <v>0</v>
      </c>
    </row>
    <row r="999" spans="9:17" ht="13.9" x14ac:dyDescent="0.4">
      <c r="I999" s="1073">
        <f t="shared" ref="I999:I1011" si="204">IF($A$1=17,I998+1,0)</f>
        <v>0</v>
      </c>
      <c r="J999" s="159" t="str">
        <f>A4_Chem_Prices!H$2</f>
        <v>Command</v>
      </c>
      <c r="K999" s="1350" t="s">
        <v>839</v>
      </c>
      <c r="L999" s="160" t="str">
        <f>A4_Chem_Prices!I$2</f>
        <v>oz</v>
      </c>
      <c r="M999" s="159">
        <f>A4_Chem_Prices!J$2</f>
        <v>0.67414062499999994</v>
      </c>
      <c r="N999" s="157">
        <v>12.8</v>
      </c>
      <c r="O999" s="82">
        <f t="shared" si="203"/>
        <v>8.6289999999999996</v>
      </c>
      <c r="P999" s="1449">
        <f>N999</f>
        <v>12.8</v>
      </c>
      <c r="Q999" s="1071">
        <f>Q998</f>
        <v>0</v>
      </c>
    </row>
    <row r="1000" spans="9:17" ht="13.9" x14ac:dyDescent="0.4">
      <c r="I1000" s="1073">
        <f t="shared" si="204"/>
        <v>0</v>
      </c>
      <c r="J1000" s="1092" t="str">
        <f>A4_Chem_Prices!K$7</f>
        <v>Preface</v>
      </c>
      <c r="K1000" s="1350" t="s">
        <v>839</v>
      </c>
      <c r="L1000" s="1095" t="str">
        <f>A4_Chem_Prices!L$7</f>
        <v>oz</v>
      </c>
      <c r="M1000" s="1092">
        <f>A4_Chem_Prices!M$7</f>
        <v>3.3203125</v>
      </c>
      <c r="N1000" s="1094">
        <v>5</v>
      </c>
      <c r="O1000" s="82">
        <f t="shared" si="203"/>
        <v>16.6015625</v>
      </c>
      <c r="P1000" s="1449">
        <f>N1000</f>
        <v>5</v>
      </c>
      <c r="Q1000" s="1071">
        <f t="shared" ref="Q1000:Q1011" si="205">Q999</f>
        <v>0</v>
      </c>
    </row>
    <row r="1001" spans="9:17" ht="13.9" x14ac:dyDescent="0.4">
      <c r="I1001" s="1073">
        <f t="shared" si="204"/>
        <v>0</v>
      </c>
      <c r="J1001" s="159" t="str">
        <f>A4_Chem_Prices!H$9</f>
        <v>Roundup Powermax 3</v>
      </c>
      <c r="K1001" s="1350" t="s">
        <v>839</v>
      </c>
      <c r="L1001" s="158" t="str">
        <f>A4_Chem_Prices!I$9</f>
        <v>oz</v>
      </c>
      <c r="M1001" s="159">
        <f>A4_Chem_Prices!J$9</f>
        <v>0.140625</v>
      </c>
      <c r="N1001" s="157">
        <v>32</v>
      </c>
      <c r="O1001" s="82">
        <f t="shared" si="203"/>
        <v>4.5</v>
      </c>
      <c r="P1001" s="1449">
        <f>N1001</f>
        <v>32</v>
      </c>
      <c r="Q1001" s="1071">
        <f t="shared" si="205"/>
        <v>0</v>
      </c>
    </row>
    <row r="1002" spans="9:17" ht="13.9" x14ac:dyDescent="0.4">
      <c r="I1002" s="1073">
        <f t="shared" si="204"/>
        <v>0</v>
      </c>
      <c r="J1002" s="1092" t="str">
        <f>A4_Chem_Prices!K$7</f>
        <v>Preface</v>
      </c>
      <c r="K1002" s="1350" t="s">
        <v>839</v>
      </c>
      <c r="L1002" s="1095" t="str">
        <f>A4_Chem_Prices!L$7</f>
        <v>oz</v>
      </c>
      <c r="M1002" s="1092">
        <f>A4_Chem_Prices!M$7</f>
        <v>3.3203125</v>
      </c>
      <c r="N1002" s="1094">
        <v>5</v>
      </c>
      <c r="O1002" s="82">
        <f>M1002*N1002</f>
        <v>16.6015625</v>
      </c>
      <c r="P1002" s="1449">
        <f>N1002</f>
        <v>5</v>
      </c>
      <c r="Q1002" s="1071">
        <f t="shared" si="205"/>
        <v>0</v>
      </c>
    </row>
    <row r="1003" spans="9:17" ht="13.9" x14ac:dyDescent="0.4">
      <c r="I1003" s="1073">
        <f t="shared" si="204"/>
        <v>0</v>
      </c>
      <c r="J1003" s="159" t="str">
        <f>A4_Chem_Prices!K$9</f>
        <v>Prowl</v>
      </c>
      <c r="K1003" s="1350" t="s">
        <v>839</v>
      </c>
      <c r="L1003" s="160" t="str">
        <f>A4_Chem_Prices!L$9</f>
        <v>oz</v>
      </c>
      <c r="M1003" s="159">
        <f>A4_Chem_Prices!M$9</f>
        <v>0.3633984375</v>
      </c>
      <c r="N1003" s="157">
        <v>33.6</v>
      </c>
      <c r="O1003" s="82">
        <f>M1003*N1003</f>
        <v>12.2101875</v>
      </c>
      <c r="P1003" s="160"/>
      <c r="Q1003" s="1071">
        <f t="shared" si="205"/>
        <v>0</v>
      </c>
    </row>
    <row r="1004" spans="9:17" ht="13.9" x14ac:dyDescent="0.4">
      <c r="I1004" s="1073">
        <f t="shared" si="204"/>
        <v>0</v>
      </c>
      <c r="J1004" s="159" t="str">
        <f>A4_Chem_Prices!H$4</f>
        <v>Permit Plus</v>
      </c>
      <c r="K1004" s="1350" t="s">
        <v>839</v>
      </c>
      <c r="L1004" s="160" t="str">
        <f>A4_Chem_Prices!I$4</f>
        <v>oz</v>
      </c>
      <c r="M1004" s="159">
        <f>A4_Chem_Prices!J$4</f>
        <v>17.254999999999999</v>
      </c>
      <c r="N1004" s="157">
        <v>0.75</v>
      </c>
      <c r="O1004" s="82">
        <f>M1004*N1004</f>
        <v>12.94125</v>
      </c>
      <c r="P1004" s="160"/>
      <c r="Q1004" s="1071">
        <f t="shared" si="205"/>
        <v>0</v>
      </c>
    </row>
    <row r="1005" spans="9:17" ht="13.9" x14ac:dyDescent="0.4">
      <c r="I1005" s="1073">
        <f t="shared" si="204"/>
        <v>0</v>
      </c>
      <c r="J1005" s="159" t="str">
        <f>A4_Chem_Prices!K$8</f>
        <v>Postscript</v>
      </c>
      <c r="K1005" s="1350" t="s">
        <v>839</v>
      </c>
      <c r="L1005" s="160" t="str">
        <f>A4_Chem_Prices!L$8</f>
        <v>oz</v>
      </c>
      <c r="M1005" s="159">
        <f>A4_Chem_Prices!M$8</f>
        <v>3.39</v>
      </c>
      <c r="N1005" s="157">
        <v>5</v>
      </c>
      <c r="O1005" s="82">
        <f>M1005*N1005</f>
        <v>16.95</v>
      </c>
      <c r="P1005" s="160"/>
      <c r="Q1005" s="1071">
        <f t="shared" si="205"/>
        <v>0</v>
      </c>
    </row>
    <row r="1006" spans="9:17" ht="13.9" x14ac:dyDescent="0.4">
      <c r="I1006" s="1073">
        <f t="shared" si="204"/>
        <v>0</v>
      </c>
      <c r="J1006" s="159" t="str">
        <f>A4_Chem_Prices!K$16</f>
        <v>Basagran</v>
      </c>
      <c r="K1006" s="1350" t="s">
        <v>839</v>
      </c>
      <c r="L1006" s="160" t="str">
        <f>A4_Chem_Prices!L$16</f>
        <v>oz</v>
      </c>
      <c r="M1006" s="159">
        <f>A4_Chem_Prices!M$16</f>
        <v>0.67046874999999995</v>
      </c>
      <c r="N1006" s="157">
        <v>24</v>
      </c>
      <c r="O1006" s="82">
        <f t="shared" si="203"/>
        <v>16.091249999999999</v>
      </c>
      <c r="P1006" s="160"/>
      <c r="Q1006" s="1071">
        <f t="shared" si="205"/>
        <v>0</v>
      </c>
    </row>
    <row r="1007" spans="9:17" ht="13.9" x14ac:dyDescent="0.4">
      <c r="I1007" s="1073">
        <f t="shared" si="204"/>
        <v>0</v>
      </c>
      <c r="J1007" s="159" t="s">
        <v>19</v>
      </c>
      <c r="K1007" s="1350" t="s">
        <v>839</v>
      </c>
      <c r="L1007" s="160"/>
      <c r="M1007" s="159">
        <v>0</v>
      </c>
      <c r="N1007" s="157">
        <v>0</v>
      </c>
      <c r="O1007" s="82">
        <f t="shared" si="203"/>
        <v>0</v>
      </c>
      <c r="P1007" s="160"/>
      <c r="Q1007" s="1071">
        <f t="shared" si="205"/>
        <v>0</v>
      </c>
    </row>
    <row r="1008" spans="9:17" ht="13.9" x14ac:dyDescent="0.4">
      <c r="I1008" s="1073">
        <f t="shared" si="204"/>
        <v>0</v>
      </c>
      <c r="J1008" s="159" t="s">
        <v>19</v>
      </c>
      <c r="K1008" s="1350" t="s">
        <v>839</v>
      </c>
      <c r="L1008" s="160"/>
      <c r="M1008" s="159">
        <v>0</v>
      </c>
      <c r="N1008" s="157">
        <v>0</v>
      </c>
      <c r="O1008" s="82">
        <f t="shared" si="203"/>
        <v>0</v>
      </c>
      <c r="P1008" s="160"/>
      <c r="Q1008" s="1071">
        <f t="shared" si="205"/>
        <v>0</v>
      </c>
    </row>
    <row r="1009" spans="9:17" ht="13.9" x14ac:dyDescent="0.4">
      <c r="I1009" s="1073">
        <f t="shared" si="204"/>
        <v>0</v>
      </c>
      <c r="J1009" s="159" t="s">
        <v>19</v>
      </c>
      <c r="K1009" s="1350" t="s">
        <v>839</v>
      </c>
      <c r="L1009" s="160"/>
      <c r="M1009" s="159">
        <v>0</v>
      </c>
      <c r="N1009" s="157">
        <v>0</v>
      </c>
      <c r="O1009" s="82">
        <f t="shared" si="203"/>
        <v>0</v>
      </c>
      <c r="P1009" s="160"/>
      <c r="Q1009" s="1071">
        <f t="shared" si="205"/>
        <v>0</v>
      </c>
    </row>
    <row r="1010" spans="9:17" ht="13.9" x14ac:dyDescent="0.4">
      <c r="I1010" s="1073">
        <f t="shared" si="204"/>
        <v>0</v>
      </c>
      <c r="J1010" s="159" t="s">
        <v>19</v>
      </c>
      <c r="K1010" s="1350" t="s">
        <v>839</v>
      </c>
      <c r="L1010" s="160"/>
      <c r="M1010" s="159">
        <v>0</v>
      </c>
      <c r="N1010" s="157">
        <v>0</v>
      </c>
      <c r="O1010" s="82">
        <f t="shared" si="203"/>
        <v>0</v>
      </c>
      <c r="P1010" s="160"/>
      <c r="Q1010" s="1071">
        <f t="shared" si="205"/>
        <v>0</v>
      </c>
    </row>
    <row r="1011" spans="9:17" ht="13.9" x14ac:dyDescent="0.4">
      <c r="I1011" s="1073">
        <f t="shared" si="204"/>
        <v>0</v>
      </c>
      <c r="J1011" s="159" t="s">
        <v>19</v>
      </c>
      <c r="K1011" s="1350" t="s">
        <v>839</v>
      </c>
      <c r="L1011" s="160"/>
      <c r="M1011" s="159">
        <v>0</v>
      </c>
      <c r="N1011" s="157">
        <v>0</v>
      </c>
      <c r="O1011" s="82">
        <f t="shared" si="203"/>
        <v>0</v>
      </c>
      <c r="P1011" s="160"/>
      <c r="Q1011" s="1071">
        <f t="shared" si="205"/>
        <v>0</v>
      </c>
    </row>
    <row r="1012" spans="9:17" ht="13.9" x14ac:dyDescent="0.4">
      <c r="I1012" s="1071"/>
      <c r="J1012" s="86" t="s">
        <v>22</v>
      </c>
      <c r="K1012" s="86"/>
      <c r="L1012" s="86"/>
      <c r="M1012" s="81"/>
      <c r="N1012" s="87"/>
      <c r="O1012" s="88">
        <f>SUM(O998:O1011)</f>
        <v>109.0248125</v>
      </c>
      <c r="P1012" s="86"/>
      <c r="Q1012" s="1071"/>
    </row>
    <row r="1013" spans="9:17" ht="13.9" x14ac:dyDescent="0.4">
      <c r="I1013" s="1071"/>
      <c r="J1013" s="83"/>
      <c r="K1013" s="83"/>
      <c r="L1013" s="83"/>
      <c r="M1013" s="83"/>
      <c r="N1013" s="84"/>
      <c r="O1013" s="83"/>
      <c r="P1013" s="83"/>
      <c r="Q1013" s="1071"/>
    </row>
    <row r="1014" spans="9:17" ht="13.9" x14ac:dyDescent="0.4">
      <c r="I1014" s="1071"/>
      <c r="J1014" s="78" t="s">
        <v>20</v>
      </c>
      <c r="K1014" s="78"/>
      <c r="L1014" s="78"/>
      <c r="M1014" s="79"/>
      <c r="N1014" s="85"/>
      <c r="O1014" s="79"/>
      <c r="P1014" s="78"/>
      <c r="Q1014" s="1071"/>
    </row>
    <row r="1015" spans="9:17" ht="13.9" x14ac:dyDescent="0.4">
      <c r="I1015" s="1071"/>
      <c r="J1015" s="80" t="s">
        <v>212</v>
      </c>
      <c r="K1015" s="80" t="s">
        <v>838</v>
      </c>
      <c r="L1015" s="80" t="s">
        <v>2</v>
      </c>
      <c r="M1015" s="80" t="s">
        <v>21</v>
      </c>
      <c r="N1015" s="80" t="s">
        <v>174</v>
      </c>
      <c r="O1015" s="80" t="s">
        <v>14</v>
      </c>
      <c r="P1015" s="80" t="s">
        <v>890</v>
      </c>
      <c r="Q1015" s="1071"/>
    </row>
    <row r="1016" spans="9:17" ht="13.9" x14ac:dyDescent="0.4">
      <c r="I1016" s="1073">
        <f>IF($A$1=17,I1011+1,0)</f>
        <v>0</v>
      </c>
      <c r="J1016" s="1092" t="str">
        <f>A4_Chem_Prices!H$19</f>
        <v>Tenchu</v>
      </c>
      <c r="K1016" s="1350" t="s">
        <v>839</v>
      </c>
      <c r="L1016" s="1095" t="str">
        <f>A4_Chem_Prices!I$19</f>
        <v>oz</v>
      </c>
      <c r="M1016" s="1092">
        <f>A4_Chem_Prices!J$19</f>
        <v>1.1299999999999999</v>
      </c>
      <c r="N1016" s="1094">
        <v>8</v>
      </c>
      <c r="O1016" s="82">
        <f t="shared" ref="O1016:O1025" si="206">M1016*N1016</f>
        <v>9.0399999999999991</v>
      </c>
      <c r="P1016" s="160" t="s">
        <v>724</v>
      </c>
      <c r="Q1016" s="1071">
        <f>Q998</f>
        <v>0</v>
      </c>
    </row>
    <row r="1017" spans="9:17" ht="13.9" x14ac:dyDescent="0.4">
      <c r="I1017" s="1073">
        <f t="shared" ref="I1017:I1025" si="207">IF($A$1=17,I1016+1,0)</f>
        <v>0</v>
      </c>
      <c r="J1017" s="159" t="s">
        <v>19</v>
      </c>
      <c r="K1017" s="1350" t="s">
        <v>839</v>
      </c>
      <c r="L1017" s="160"/>
      <c r="M1017" s="159">
        <v>0</v>
      </c>
      <c r="N1017" s="157">
        <v>0</v>
      </c>
      <c r="O1017" s="82">
        <f t="shared" si="206"/>
        <v>0</v>
      </c>
      <c r="P1017" s="158"/>
      <c r="Q1017" s="1071">
        <f>Q1016</f>
        <v>0</v>
      </c>
    </row>
    <row r="1018" spans="9:17" ht="13.9" x14ac:dyDescent="0.4">
      <c r="I1018" s="1073">
        <f t="shared" si="207"/>
        <v>0</v>
      </c>
      <c r="J1018" s="159" t="s">
        <v>19</v>
      </c>
      <c r="K1018" s="1350" t="s">
        <v>839</v>
      </c>
      <c r="L1018" s="160"/>
      <c r="M1018" s="159">
        <v>0</v>
      </c>
      <c r="N1018" s="157">
        <v>0</v>
      </c>
      <c r="O1018" s="82">
        <f t="shared" si="206"/>
        <v>0</v>
      </c>
      <c r="P1018" s="158"/>
      <c r="Q1018" s="1071">
        <f t="shared" ref="Q1018:Q1025" si="208">Q1017</f>
        <v>0</v>
      </c>
    </row>
    <row r="1019" spans="9:17" ht="13.9" x14ac:dyDescent="0.4">
      <c r="I1019" s="1073">
        <f t="shared" si="207"/>
        <v>0</v>
      </c>
      <c r="J1019" s="159" t="s">
        <v>19</v>
      </c>
      <c r="K1019" s="1350" t="s">
        <v>839</v>
      </c>
      <c r="L1019" s="160"/>
      <c r="M1019" s="159">
        <v>0</v>
      </c>
      <c r="N1019" s="157">
        <v>0</v>
      </c>
      <c r="O1019" s="82">
        <f t="shared" si="206"/>
        <v>0</v>
      </c>
      <c r="P1019" s="158"/>
      <c r="Q1019" s="1071">
        <f t="shared" si="208"/>
        <v>0</v>
      </c>
    </row>
    <row r="1020" spans="9:17" ht="13.9" x14ac:dyDescent="0.4">
      <c r="I1020" s="1073">
        <f t="shared" si="207"/>
        <v>0</v>
      </c>
      <c r="J1020" s="159" t="s">
        <v>19</v>
      </c>
      <c r="K1020" s="1350" t="s">
        <v>839</v>
      </c>
      <c r="L1020" s="160"/>
      <c r="M1020" s="159">
        <v>0</v>
      </c>
      <c r="N1020" s="157">
        <v>0</v>
      </c>
      <c r="O1020" s="82">
        <f t="shared" si="206"/>
        <v>0</v>
      </c>
      <c r="P1020" s="158"/>
      <c r="Q1020" s="1071">
        <f t="shared" si="208"/>
        <v>0</v>
      </c>
    </row>
    <row r="1021" spans="9:17" ht="13.9" x14ac:dyDescent="0.4">
      <c r="I1021" s="1073">
        <f t="shared" si="207"/>
        <v>0</v>
      </c>
      <c r="J1021" s="159" t="s">
        <v>19</v>
      </c>
      <c r="K1021" s="1350" t="s">
        <v>839</v>
      </c>
      <c r="L1021" s="160"/>
      <c r="M1021" s="159">
        <v>0</v>
      </c>
      <c r="N1021" s="157">
        <v>0</v>
      </c>
      <c r="O1021" s="82">
        <f t="shared" si="206"/>
        <v>0</v>
      </c>
      <c r="P1021" s="158"/>
      <c r="Q1021" s="1071">
        <f t="shared" si="208"/>
        <v>0</v>
      </c>
    </row>
    <row r="1022" spans="9:17" ht="13.9" x14ac:dyDescent="0.4">
      <c r="I1022" s="1073">
        <f t="shared" si="207"/>
        <v>0</v>
      </c>
      <c r="J1022" s="159" t="s">
        <v>19</v>
      </c>
      <c r="K1022" s="1350" t="s">
        <v>839</v>
      </c>
      <c r="L1022" s="160"/>
      <c r="M1022" s="159">
        <v>0</v>
      </c>
      <c r="N1022" s="157">
        <v>0</v>
      </c>
      <c r="O1022" s="82">
        <f t="shared" si="206"/>
        <v>0</v>
      </c>
      <c r="P1022" s="158"/>
      <c r="Q1022" s="1071">
        <f t="shared" si="208"/>
        <v>0</v>
      </c>
    </row>
    <row r="1023" spans="9:17" ht="13.9" x14ac:dyDescent="0.4">
      <c r="I1023" s="1073">
        <f t="shared" si="207"/>
        <v>0</v>
      </c>
      <c r="J1023" s="159" t="s">
        <v>19</v>
      </c>
      <c r="K1023" s="1350" t="s">
        <v>839</v>
      </c>
      <c r="L1023" s="160"/>
      <c r="M1023" s="159">
        <v>0</v>
      </c>
      <c r="N1023" s="157">
        <v>0</v>
      </c>
      <c r="O1023" s="82">
        <f t="shared" si="206"/>
        <v>0</v>
      </c>
      <c r="P1023" s="158"/>
      <c r="Q1023" s="1071">
        <f t="shared" si="208"/>
        <v>0</v>
      </c>
    </row>
    <row r="1024" spans="9:17" ht="13.9" x14ac:dyDescent="0.4">
      <c r="I1024" s="1073">
        <f t="shared" si="207"/>
        <v>0</v>
      </c>
      <c r="J1024" s="159" t="s">
        <v>19</v>
      </c>
      <c r="K1024" s="1350" t="s">
        <v>839</v>
      </c>
      <c r="L1024" s="160"/>
      <c r="M1024" s="159">
        <v>0</v>
      </c>
      <c r="N1024" s="157">
        <v>0</v>
      </c>
      <c r="O1024" s="82">
        <f t="shared" si="206"/>
        <v>0</v>
      </c>
      <c r="P1024" s="158"/>
      <c r="Q1024" s="1071">
        <f t="shared" si="208"/>
        <v>0</v>
      </c>
    </row>
    <row r="1025" spans="9:17" ht="13.9" x14ac:dyDescent="0.4">
      <c r="I1025" s="1073">
        <f t="shared" si="207"/>
        <v>0</v>
      </c>
      <c r="J1025" s="159" t="s">
        <v>19</v>
      </c>
      <c r="K1025" s="1350" t="s">
        <v>839</v>
      </c>
      <c r="L1025" s="160"/>
      <c r="M1025" s="159">
        <v>0</v>
      </c>
      <c r="N1025" s="157">
        <v>0</v>
      </c>
      <c r="O1025" s="82">
        <f t="shared" si="206"/>
        <v>0</v>
      </c>
      <c r="P1025" s="158"/>
      <c r="Q1025" s="1071">
        <f t="shared" si="208"/>
        <v>0</v>
      </c>
    </row>
    <row r="1026" spans="9:17" ht="13.9" x14ac:dyDescent="0.4">
      <c r="I1026" s="1071"/>
      <c r="J1026" s="86" t="s">
        <v>22</v>
      </c>
      <c r="K1026" s="86"/>
      <c r="L1026" s="86"/>
      <c r="M1026" s="81"/>
      <c r="N1026" s="87"/>
      <c r="O1026" s="88">
        <f>SUM(O1016:O1025)</f>
        <v>9.0399999999999991</v>
      </c>
      <c r="P1026" s="86"/>
      <c r="Q1026" s="1071"/>
    </row>
    <row r="1027" spans="9:17" ht="13.9" x14ac:dyDescent="0.4">
      <c r="I1027" s="1071"/>
      <c r="J1027" s="83"/>
      <c r="K1027" s="83"/>
      <c r="L1027" s="83"/>
      <c r="M1027" s="83"/>
      <c r="N1027" s="84"/>
      <c r="O1027" s="83"/>
      <c r="P1027" s="83"/>
      <c r="Q1027" s="1071"/>
    </row>
    <row r="1028" spans="9:17" ht="13.9" x14ac:dyDescent="0.4">
      <c r="I1028" s="1071"/>
      <c r="J1028" s="78" t="str">
        <f>IF(OR(A2_Budget_Look_Up!$B$7=1,A2_Budget_Look_Up!$B$13=1),"Nematicide Detail", "Fungicide Detail")</f>
        <v>Fungicide Detail</v>
      </c>
      <c r="K1028" s="78"/>
      <c r="L1028" s="78"/>
      <c r="M1028" s="79"/>
      <c r="N1028" s="85"/>
      <c r="O1028" s="79"/>
      <c r="P1028" s="78"/>
      <c r="Q1028" s="1071"/>
    </row>
    <row r="1029" spans="9:17" ht="13.9" x14ac:dyDescent="0.4">
      <c r="I1029" s="1071"/>
      <c r="J1029" s="80" t="s">
        <v>212</v>
      </c>
      <c r="K1029" s="80" t="s">
        <v>838</v>
      </c>
      <c r="L1029" s="80" t="s">
        <v>2</v>
      </c>
      <c r="M1029" s="80" t="s">
        <v>21</v>
      </c>
      <c r="N1029" s="80" t="s">
        <v>174</v>
      </c>
      <c r="O1029" s="80" t="s">
        <v>14</v>
      </c>
      <c r="P1029" s="80" t="s">
        <v>890</v>
      </c>
      <c r="Q1029" s="1071"/>
    </row>
    <row r="1030" spans="9:17" ht="13.9" x14ac:dyDescent="0.4">
      <c r="I1030" s="1073">
        <f>IF($A$1=17,I1025+1,0)</f>
        <v>0</v>
      </c>
      <c r="J1030" s="156" t="str">
        <f>A4_Chem_Prices!H$35</f>
        <v>Tilt 3.6 EC</v>
      </c>
      <c r="K1030" s="1350" t="s">
        <v>839</v>
      </c>
      <c r="L1030" s="158" t="str">
        <f>A4_Chem_Prices!I$35</f>
        <v>oz</v>
      </c>
      <c r="M1030" s="159">
        <f>A4_Chem_Prices!J$35</f>
        <v>0.72</v>
      </c>
      <c r="N1030" s="157">
        <v>8</v>
      </c>
      <c r="O1030" s="82">
        <f>M1030*N1030</f>
        <v>5.76</v>
      </c>
      <c r="P1030" s="158"/>
      <c r="Q1030" s="1071">
        <f>Q1025</f>
        <v>0</v>
      </c>
    </row>
    <row r="1031" spans="9:17" ht="13.9" x14ac:dyDescent="0.4">
      <c r="I1031" s="1073">
        <f>IF($A$1=17,I1030+1,0)</f>
        <v>0</v>
      </c>
      <c r="J1031" s="156" t="s">
        <v>19</v>
      </c>
      <c r="K1031" s="1350" t="s">
        <v>839</v>
      </c>
      <c r="L1031" s="158"/>
      <c r="M1031" s="159">
        <v>0</v>
      </c>
      <c r="N1031" s="157">
        <v>0</v>
      </c>
      <c r="O1031" s="82">
        <f>M1031*N1031</f>
        <v>0</v>
      </c>
      <c r="P1031" s="158"/>
      <c r="Q1031" s="1071">
        <f>Q1030</f>
        <v>0</v>
      </c>
    </row>
    <row r="1032" spans="9:17" ht="13.9" x14ac:dyDescent="0.4">
      <c r="I1032" s="1071"/>
      <c r="J1032" s="86" t="s">
        <v>22</v>
      </c>
      <c r="K1032" s="86"/>
      <c r="L1032" s="86"/>
      <c r="M1032" s="81"/>
      <c r="N1032" s="87"/>
      <c r="O1032" s="88">
        <f>SUM(O1030:O1031)</f>
        <v>5.76</v>
      </c>
      <c r="P1032" s="86"/>
      <c r="Q1032" s="1071"/>
    </row>
    <row r="1033" spans="9:17" ht="13.9" x14ac:dyDescent="0.4">
      <c r="I1033" s="1071"/>
      <c r="J1033" s="83"/>
      <c r="K1033" s="83"/>
      <c r="L1033" s="83"/>
      <c r="M1033" s="83"/>
      <c r="N1033" s="84"/>
      <c r="O1033" s="83"/>
      <c r="P1033" s="83"/>
      <c r="Q1033" s="1071"/>
    </row>
    <row r="1034" spans="9:17" ht="13.9" x14ac:dyDescent="0.4">
      <c r="I1034" s="1071"/>
      <c r="J1034" s="78" t="str">
        <f>IF(A2_Budget_Look_Up!$B$7=1,"Growth Regulator Detail", IF(A2_Budget_Look_Up!$B$13=1,"Fungicide Detail","Other Chemical Detail"))</f>
        <v>Other Chemical Detail</v>
      </c>
      <c r="K1034" s="78"/>
      <c r="L1034" s="78"/>
      <c r="M1034" s="79"/>
      <c r="N1034" s="85"/>
      <c r="O1034" s="79"/>
      <c r="P1034" s="78"/>
      <c r="Q1034" s="1071"/>
    </row>
    <row r="1035" spans="9:17" ht="13.9" x14ac:dyDescent="0.4">
      <c r="I1035" s="1071"/>
      <c r="J1035" s="80" t="s">
        <v>212</v>
      </c>
      <c r="K1035" s="80" t="s">
        <v>838</v>
      </c>
      <c r="L1035" s="80" t="s">
        <v>2</v>
      </c>
      <c r="M1035" s="80" t="s">
        <v>21</v>
      </c>
      <c r="N1035" s="80" t="s">
        <v>174</v>
      </c>
      <c r="O1035" s="80" t="s">
        <v>14</v>
      </c>
      <c r="P1035" s="80" t="s">
        <v>890</v>
      </c>
      <c r="Q1035" s="1071"/>
    </row>
    <row r="1036" spans="9:17" ht="13.9" x14ac:dyDescent="0.4">
      <c r="I1036" s="1073">
        <f>IF($A$1=17,I1031+1,0)</f>
        <v>0</v>
      </c>
      <c r="J1036" s="156" t="s">
        <v>19</v>
      </c>
      <c r="K1036" s="1350" t="s">
        <v>839</v>
      </c>
      <c r="L1036" s="158"/>
      <c r="M1036" s="159">
        <v>0</v>
      </c>
      <c r="N1036" s="157">
        <v>0</v>
      </c>
      <c r="O1036" s="82">
        <f t="shared" ref="O1036:O1042" si="209">M1036*N1036</f>
        <v>0</v>
      </c>
      <c r="P1036" s="158"/>
      <c r="Q1036" s="1071">
        <f>Q1031</f>
        <v>0</v>
      </c>
    </row>
    <row r="1037" spans="9:17" ht="13.9" x14ac:dyDescent="0.4">
      <c r="I1037" s="1073">
        <f t="shared" ref="I1037:I1042" si="210">IF($A$1=17,I1036+1,0)</f>
        <v>0</v>
      </c>
      <c r="J1037" s="156" t="s">
        <v>19</v>
      </c>
      <c r="K1037" s="1350" t="s">
        <v>839</v>
      </c>
      <c r="L1037" s="158"/>
      <c r="M1037" s="159">
        <v>0</v>
      </c>
      <c r="N1037" s="157">
        <v>0</v>
      </c>
      <c r="O1037" s="82">
        <f t="shared" si="209"/>
        <v>0</v>
      </c>
      <c r="P1037" s="158"/>
      <c r="Q1037" s="1071">
        <f t="shared" ref="Q1037:Q1042" si="211">Q1036</f>
        <v>0</v>
      </c>
    </row>
    <row r="1038" spans="9:17" ht="13.9" x14ac:dyDescent="0.4">
      <c r="I1038" s="1073">
        <f t="shared" si="210"/>
        <v>0</v>
      </c>
      <c r="J1038" s="156" t="s">
        <v>19</v>
      </c>
      <c r="K1038" s="1350" t="s">
        <v>839</v>
      </c>
      <c r="L1038" s="158"/>
      <c r="M1038" s="159">
        <v>0</v>
      </c>
      <c r="N1038" s="157">
        <v>0</v>
      </c>
      <c r="O1038" s="82">
        <f t="shared" si="209"/>
        <v>0</v>
      </c>
      <c r="P1038" s="158"/>
      <c r="Q1038" s="1071">
        <f t="shared" si="211"/>
        <v>0</v>
      </c>
    </row>
    <row r="1039" spans="9:17" ht="13.9" x14ac:dyDescent="0.4">
      <c r="I1039" s="1073">
        <f t="shared" si="210"/>
        <v>0</v>
      </c>
      <c r="J1039" s="156" t="s">
        <v>19</v>
      </c>
      <c r="K1039" s="1350" t="s">
        <v>839</v>
      </c>
      <c r="L1039" s="158"/>
      <c r="M1039" s="159">
        <v>0</v>
      </c>
      <c r="N1039" s="157">
        <v>0</v>
      </c>
      <c r="O1039" s="82">
        <f t="shared" si="209"/>
        <v>0</v>
      </c>
      <c r="P1039" s="158"/>
      <c r="Q1039" s="1071">
        <f t="shared" si="211"/>
        <v>0</v>
      </c>
    </row>
    <row r="1040" spans="9:17" ht="13.9" x14ac:dyDescent="0.4">
      <c r="I1040" s="1073">
        <f t="shared" si="210"/>
        <v>0</v>
      </c>
      <c r="J1040" s="156" t="s">
        <v>19</v>
      </c>
      <c r="K1040" s="1350" t="s">
        <v>839</v>
      </c>
      <c r="L1040" s="158"/>
      <c r="M1040" s="159">
        <v>0</v>
      </c>
      <c r="N1040" s="157">
        <v>0</v>
      </c>
      <c r="O1040" s="82">
        <f t="shared" si="209"/>
        <v>0</v>
      </c>
      <c r="P1040" s="158"/>
      <c r="Q1040" s="1071">
        <f t="shared" si="211"/>
        <v>0</v>
      </c>
    </row>
    <row r="1041" spans="9:17" ht="13.9" x14ac:dyDescent="0.4">
      <c r="I1041" s="1073">
        <f t="shared" si="210"/>
        <v>0</v>
      </c>
      <c r="J1041" s="156" t="s">
        <v>19</v>
      </c>
      <c r="K1041" s="1350" t="s">
        <v>839</v>
      </c>
      <c r="L1041" s="158"/>
      <c r="M1041" s="159">
        <v>0</v>
      </c>
      <c r="N1041" s="157">
        <v>0</v>
      </c>
      <c r="O1041" s="82">
        <f t="shared" si="209"/>
        <v>0</v>
      </c>
      <c r="P1041" s="158"/>
      <c r="Q1041" s="1071">
        <f t="shared" si="211"/>
        <v>0</v>
      </c>
    </row>
    <row r="1042" spans="9:17" ht="13.9" x14ac:dyDescent="0.4">
      <c r="I1042" s="1073">
        <f t="shared" si="210"/>
        <v>0</v>
      </c>
      <c r="J1042" s="156" t="s">
        <v>19</v>
      </c>
      <c r="K1042" s="1350" t="s">
        <v>839</v>
      </c>
      <c r="L1042" s="158"/>
      <c r="M1042" s="159">
        <v>0</v>
      </c>
      <c r="N1042" s="157">
        <v>0</v>
      </c>
      <c r="O1042" s="82">
        <f t="shared" si="209"/>
        <v>0</v>
      </c>
      <c r="P1042" s="158"/>
      <c r="Q1042" s="1071">
        <f t="shared" si="211"/>
        <v>0</v>
      </c>
    </row>
    <row r="1043" spans="9:17" ht="13.9" x14ac:dyDescent="0.4">
      <c r="I1043" s="1071"/>
      <c r="J1043" s="86" t="s">
        <v>22</v>
      </c>
      <c r="K1043" s="86"/>
      <c r="L1043" s="86"/>
      <c r="M1043" s="81"/>
      <c r="N1043" s="87"/>
      <c r="O1043" s="88">
        <f>SUM(O1036:O1042)</f>
        <v>0</v>
      </c>
      <c r="P1043" s="86"/>
      <c r="Q1043" s="1071"/>
    </row>
    <row r="1044" spans="9:17" ht="13.9" x14ac:dyDescent="0.4">
      <c r="I1044" s="1071"/>
      <c r="J1044" s="83"/>
      <c r="K1044" s="83"/>
      <c r="L1044" s="83"/>
      <c r="M1044" s="83"/>
      <c r="N1044" s="84"/>
      <c r="O1044" s="83"/>
      <c r="P1044" s="83"/>
      <c r="Q1044" s="1071"/>
    </row>
    <row r="1045" spans="9:17" ht="13.9" x14ac:dyDescent="0.4">
      <c r="I1045" s="1071"/>
      <c r="J1045" s="78" t="str">
        <f>IF(A2_Budget_Look_Up!$B$7=1,"Defoliant Detail", "Other Chemical Detail")</f>
        <v>Other Chemical Detail</v>
      </c>
      <c r="K1045" s="78"/>
      <c r="L1045" s="78"/>
      <c r="M1045" s="79"/>
      <c r="N1045" s="85"/>
      <c r="O1045" s="79"/>
      <c r="P1045" s="78"/>
      <c r="Q1045" s="1071"/>
    </row>
    <row r="1046" spans="9:17" ht="13.9" x14ac:dyDescent="0.4">
      <c r="I1046" s="1071"/>
      <c r="J1046" s="80" t="s">
        <v>212</v>
      </c>
      <c r="K1046" s="80" t="s">
        <v>838</v>
      </c>
      <c r="L1046" s="80" t="s">
        <v>2</v>
      </c>
      <c r="M1046" s="80" t="s">
        <v>21</v>
      </c>
      <c r="N1046" s="80" t="s">
        <v>174</v>
      </c>
      <c r="O1046" s="80" t="s">
        <v>14</v>
      </c>
      <c r="P1046" s="80" t="s">
        <v>890</v>
      </c>
      <c r="Q1046" s="1071"/>
    </row>
    <row r="1047" spans="9:17" ht="13.9" x14ac:dyDescent="0.4">
      <c r="I1047" s="1073">
        <f>IF($A$1=17,I1042+1,0)</f>
        <v>0</v>
      </c>
      <c r="J1047" s="156" t="s">
        <v>19</v>
      </c>
      <c r="K1047" s="1350" t="s">
        <v>839</v>
      </c>
      <c r="L1047" s="158"/>
      <c r="M1047" s="159">
        <v>0</v>
      </c>
      <c r="N1047" s="157">
        <v>0</v>
      </c>
      <c r="O1047" s="82">
        <f t="shared" ref="O1047:O1053" si="212">M1047*N1047</f>
        <v>0</v>
      </c>
      <c r="P1047" s="158"/>
      <c r="Q1047" s="1071">
        <f>Q1042</f>
        <v>0</v>
      </c>
    </row>
    <row r="1048" spans="9:17" ht="13.9" x14ac:dyDescent="0.4">
      <c r="I1048" s="1073">
        <f t="shared" ref="I1048:I1053" si="213">IF($A$1=17,I1047+1,0)</f>
        <v>0</v>
      </c>
      <c r="J1048" s="156" t="s">
        <v>19</v>
      </c>
      <c r="K1048" s="1350" t="s">
        <v>839</v>
      </c>
      <c r="L1048" s="158"/>
      <c r="M1048" s="159">
        <v>0</v>
      </c>
      <c r="N1048" s="157">
        <v>0</v>
      </c>
      <c r="O1048" s="82">
        <f t="shared" si="212"/>
        <v>0</v>
      </c>
      <c r="P1048" s="158"/>
      <c r="Q1048" s="1071">
        <f t="shared" ref="Q1048:Q1053" si="214">Q1047</f>
        <v>0</v>
      </c>
    </row>
    <row r="1049" spans="9:17" ht="13.9" x14ac:dyDescent="0.4">
      <c r="I1049" s="1073">
        <f t="shared" si="213"/>
        <v>0</v>
      </c>
      <c r="J1049" s="156" t="s">
        <v>19</v>
      </c>
      <c r="K1049" s="1350" t="s">
        <v>839</v>
      </c>
      <c r="L1049" s="158"/>
      <c r="M1049" s="159">
        <v>0</v>
      </c>
      <c r="N1049" s="157">
        <v>0</v>
      </c>
      <c r="O1049" s="82">
        <f t="shared" si="212"/>
        <v>0</v>
      </c>
      <c r="P1049" s="158"/>
      <c r="Q1049" s="1071">
        <f t="shared" si="214"/>
        <v>0</v>
      </c>
    </row>
    <row r="1050" spans="9:17" ht="13.9" x14ac:dyDescent="0.4">
      <c r="I1050" s="1073">
        <f t="shared" si="213"/>
        <v>0</v>
      </c>
      <c r="J1050" s="156" t="s">
        <v>19</v>
      </c>
      <c r="K1050" s="1350" t="s">
        <v>839</v>
      </c>
      <c r="L1050" s="158"/>
      <c r="M1050" s="159">
        <v>0</v>
      </c>
      <c r="N1050" s="157">
        <v>0</v>
      </c>
      <c r="O1050" s="82">
        <f t="shared" si="212"/>
        <v>0</v>
      </c>
      <c r="P1050" s="158"/>
      <c r="Q1050" s="1071">
        <f t="shared" si="214"/>
        <v>0</v>
      </c>
    </row>
    <row r="1051" spans="9:17" ht="13.9" x14ac:dyDescent="0.4">
      <c r="I1051" s="1073">
        <f t="shared" si="213"/>
        <v>0</v>
      </c>
      <c r="J1051" s="156" t="s">
        <v>19</v>
      </c>
      <c r="K1051" s="1350" t="s">
        <v>839</v>
      </c>
      <c r="L1051" s="158"/>
      <c r="M1051" s="159">
        <v>0</v>
      </c>
      <c r="N1051" s="157">
        <v>0</v>
      </c>
      <c r="O1051" s="82">
        <f t="shared" si="212"/>
        <v>0</v>
      </c>
      <c r="P1051" s="158"/>
      <c r="Q1051" s="1071">
        <f t="shared" si="214"/>
        <v>0</v>
      </c>
    </row>
    <row r="1052" spans="9:17" ht="13.9" x14ac:dyDescent="0.4">
      <c r="I1052" s="1073">
        <f t="shared" si="213"/>
        <v>0</v>
      </c>
      <c r="J1052" s="156" t="s">
        <v>19</v>
      </c>
      <c r="K1052" s="1350" t="s">
        <v>839</v>
      </c>
      <c r="L1052" s="158"/>
      <c r="M1052" s="159">
        <v>0</v>
      </c>
      <c r="N1052" s="157">
        <v>0</v>
      </c>
      <c r="O1052" s="82">
        <f t="shared" si="212"/>
        <v>0</v>
      </c>
      <c r="P1052" s="158"/>
      <c r="Q1052" s="1071">
        <f t="shared" si="214"/>
        <v>0</v>
      </c>
    </row>
    <row r="1053" spans="9:17" ht="13.9" x14ac:dyDescent="0.4">
      <c r="I1053" s="1073">
        <f t="shared" si="213"/>
        <v>0</v>
      </c>
      <c r="J1053" s="156" t="s">
        <v>19</v>
      </c>
      <c r="K1053" s="1350" t="s">
        <v>839</v>
      </c>
      <c r="L1053" s="158"/>
      <c r="M1053" s="159">
        <v>0</v>
      </c>
      <c r="N1053" s="157">
        <v>0</v>
      </c>
      <c r="O1053" s="82">
        <f t="shared" si="212"/>
        <v>0</v>
      </c>
      <c r="P1053" s="158"/>
      <c r="Q1053" s="1071">
        <f t="shared" si="214"/>
        <v>0</v>
      </c>
    </row>
    <row r="1054" spans="9:17" ht="13.9" x14ac:dyDescent="0.4">
      <c r="I1054" s="1071"/>
      <c r="J1054" s="86" t="s">
        <v>22</v>
      </c>
      <c r="K1054" s="86"/>
      <c r="L1054" s="86"/>
      <c r="M1054" s="81"/>
      <c r="N1054" s="87"/>
      <c r="O1054" s="88">
        <f>SUM(O1047:O1053)</f>
        <v>0</v>
      </c>
      <c r="P1054" s="86"/>
      <c r="Q1054" s="1071"/>
    </row>
    <row r="1055" spans="9:17" ht="13.9" x14ac:dyDescent="0.4">
      <c r="I1055" s="1071"/>
      <c r="J1055" s="83"/>
      <c r="K1055" s="83"/>
      <c r="L1055" s="83"/>
      <c r="M1055" s="89"/>
      <c r="N1055" s="84"/>
      <c r="O1055" s="89"/>
      <c r="P1055" s="83"/>
      <c r="Q1055" s="1071"/>
    </row>
    <row r="1056" spans="9:17" ht="13.9" x14ac:dyDescent="0.4">
      <c r="I1056" s="1071"/>
      <c r="J1056" s="1168" t="str">
        <f>A2_Budget_Look_Up!H20</f>
        <v>Rice, Water Seeded</v>
      </c>
      <c r="K1056" s="1168"/>
      <c r="L1056" s="1168">
        <f>A2_Budget_Look_Up!F20</f>
        <v>18</v>
      </c>
      <c r="M1056" s="1168"/>
      <c r="N1056" s="1168"/>
      <c r="O1056" s="1168"/>
      <c r="P1056" s="1168"/>
      <c r="Q1056" s="1071"/>
    </row>
    <row r="1058" spans="9:17" ht="13.9" x14ac:dyDescent="0.4">
      <c r="I1058" s="1071"/>
      <c r="J1058" s="78" t="s">
        <v>18</v>
      </c>
      <c r="K1058" s="78"/>
      <c r="L1058" s="78"/>
      <c r="M1058" s="79"/>
      <c r="N1058" s="85"/>
      <c r="O1058" s="79"/>
      <c r="P1058" s="78"/>
      <c r="Q1058" s="1071"/>
    </row>
    <row r="1059" spans="9:17" ht="13.9" x14ac:dyDescent="0.4">
      <c r="I1059" s="1071"/>
      <c r="J1059" s="80" t="s">
        <v>212</v>
      </c>
      <c r="K1059" s="80" t="s">
        <v>838</v>
      </c>
      <c r="L1059" s="80" t="s">
        <v>2</v>
      </c>
      <c r="M1059" s="80" t="s">
        <v>21</v>
      </c>
      <c r="N1059" s="80" t="s">
        <v>174</v>
      </c>
      <c r="O1059" s="80" t="s">
        <v>14</v>
      </c>
      <c r="P1059" s="80" t="s">
        <v>890</v>
      </c>
      <c r="Q1059" s="1071"/>
    </row>
    <row r="1060" spans="9:17" ht="13.9" x14ac:dyDescent="0.4">
      <c r="I1060" s="1073">
        <f>IF($A$1=18,1,0)</f>
        <v>0</v>
      </c>
      <c r="J1060" s="1092" t="str">
        <f>A4_Chem_Prices!H$9</f>
        <v>Roundup Powermax 3</v>
      </c>
      <c r="K1060" s="1350" t="s">
        <v>839</v>
      </c>
      <c r="L1060" s="1093" t="str">
        <f>A4_Chem_Prices!I$9</f>
        <v>oz</v>
      </c>
      <c r="M1060" s="1092">
        <f>A4_Chem_Prices!J$9</f>
        <v>0.140625</v>
      </c>
      <c r="N1060" s="1094">
        <v>2</v>
      </c>
      <c r="O1060" s="82">
        <f t="shared" ref="O1060:O1073" si="215">M1060*N1060</f>
        <v>0.28125</v>
      </c>
      <c r="P1060" s="160">
        <f>N1060*16</f>
        <v>32</v>
      </c>
      <c r="Q1060" s="1171">
        <f>IF(SUM(I1060:I1115)=820,L1056,0)</f>
        <v>0</v>
      </c>
    </row>
    <row r="1061" spans="9:17" ht="13.9" x14ac:dyDescent="0.4">
      <c r="I1061" s="1073">
        <f t="shared" ref="I1061:I1073" si="216">IF($A$1=18,I1060+1,0)</f>
        <v>0</v>
      </c>
      <c r="J1061" s="1092" t="str">
        <f>A4_Chem_Prices!H$10</f>
        <v>Duet</v>
      </c>
      <c r="K1061" s="1350" t="s">
        <v>839</v>
      </c>
      <c r="L1061" s="1095" t="str">
        <f>A4_Chem_Prices!I$10</f>
        <v>oz</v>
      </c>
      <c r="M1061" s="1092">
        <f>A4_Chem_Prices!J$10</f>
        <v>0.2890625</v>
      </c>
      <c r="N1061" s="1094">
        <v>1</v>
      </c>
      <c r="O1061" s="82">
        <f t="shared" si="215"/>
        <v>0.2890625</v>
      </c>
      <c r="P1061" s="1095">
        <f>N1061*128</f>
        <v>128</v>
      </c>
      <c r="Q1061" s="1071">
        <f>Q1060</f>
        <v>0</v>
      </c>
    </row>
    <row r="1062" spans="9:17" ht="13.9" x14ac:dyDescent="0.4">
      <c r="I1062" s="1073">
        <f t="shared" si="216"/>
        <v>0</v>
      </c>
      <c r="J1062" s="1092" t="str">
        <f>A4_Chem_Prices!H$11</f>
        <v>Regiment</v>
      </c>
      <c r="K1062" s="1350" t="s">
        <v>839</v>
      </c>
      <c r="L1062" s="1093" t="str">
        <f>A4_Chem_Prices!I$11</f>
        <v>oz</v>
      </c>
      <c r="M1062" s="1092">
        <f>A4_Chem_Prices!J$11</f>
        <v>66.25</v>
      </c>
      <c r="N1062" s="1094">
        <v>0.5</v>
      </c>
      <c r="O1062" s="82">
        <f t="shared" si="215"/>
        <v>33.125</v>
      </c>
      <c r="P1062" s="1449">
        <f>N1062</f>
        <v>0.5</v>
      </c>
      <c r="Q1062" s="1071">
        <f t="shared" ref="Q1062:Q1073" si="217">Q1061</f>
        <v>0</v>
      </c>
    </row>
    <row r="1063" spans="9:17" ht="13.9" x14ac:dyDescent="0.4">
      <c r="I1063" s="1073">
        <f t="shared" si="216"/>
        <v>0</v>
      </c>
      <c r="J1063" s="1092" t="str">
        <f>A4_Chem_Prices!H$12</f>
        <v>2,4-D</v>
      </c>
      <c r="K1063" s="1350" t="s">
        <v>839</v>
      </c>
      <c r="L1063" s="1095" t="str">
        <f>A4_Chem_Prices!I$12</f>
        <v>oz</v>
      </c>
      <c r="M1063" s="1092">
        <f>A4_Chem_Prices!J$12</f>
        <v>0.30625000000000002</v>
      </c>
      <c r="N1063" s="1094">
        <v>1.5</v>
      </c>
      <c r="O1063" s="82">
        <f t="shared" si="215"/>
        <v>0.45937500000000003</v>
      </c>
      <c r="P1063" s="160">
        <f>N1063*16</f>
        <v>24</v>
      </c>
      <c r="Q1063" s="1071">
        <f t="shared" si="217"/>
        <v>0</v>
      </c>
    </row>
    <row r="1064" spans="9:17" ht="13.9" x14ac:dyDescent="0.4">
      <c r="I1064" s="1073">
        <f t="shared" si="216"/>
        <v>0</v>
      </c>
      <c r="J1064" s="159" t="s">
        <v>19</v>
      </c>
      <c r="K1064" s="1350" t="s">
        <v>839</v>
      </c>
      <c r="L1064" s="160"/>
      <c r="M1064" s="159">
        <v>0</v>
      </c>
      <c r="N1064" s="157">
        <v>0</v>
      </c>
      <c r="O1064" s="82">
        <f t="shared" si="215"/>
        <v>0</v>
      </c>
      <c r="P1064" s="160"/>
      <c r="Q1064" s="1071">
        <f t="shared" si="217"/>
        <v>0</v>
      </c>
    </row>
    <row r="1065" spans="9:17" ht="13.9" x14ac:dyDescent="0.4">
      <c r="I1065" s="1073">
        <f t="shared" si="216"/>
        <v>0</v>
      </c>
      <c r="J1065" s="159" t="s">
        <v>19</v>
      </c>
      <c r="K1065" s="1350" t="s">
        <v>839</v>
      </c>
      <c r="L1065" s="160"/>
      <c r="M1065" s="159">
        <v>0</v>
      </c>
      <c r="N1065" s="157">
        <v>0</v>
      </c>
      <c r="O1065" s="82">
        <f t="shared" si="215"/>
        <v>0</v>
      </c>
      <c r="P1065" s="160"/>
      <c r="Q1065" s="1071">
        <f t="shared" si="217"/>
        <v>0</v>
      </c>
    </row>
    <row r="1066" spans="9:17" ht="13.9" x14ac:dyDescent="0.4">
      <c r="I1066" s="1073">
        <f t="shared" si="216"/>
        <v>0</v>
      </c>
      <c r="J1066" s="159" t="s">
        <v>19</v>
      </c>
      <c r="K1066" s="1350" t="s">
        <v>839</v>
      </c>
      <c r="L1066" s="160"/>
      <c r="M1066" s="159">
        <v>0</v>
      </c>
      <c r="N1066" s="157">
        <v>0</v>
      </c>
      <c r="O1066" s="82">
        <f t="shared" si="215"/>
        <v>0</v>
      </c>
      <c r="P1066" s="160"/>
      <c r="Q1066" s="1071">
        <f t="shared" si="217"/>
        <v>0</v>
      </c>
    </row>
    <row r="1067" spans="9:17" ht="13.9" x14ac:dyDescent="0.4">
      <c r="I1067" s="1073">
        <f t="shared" si="216"/>
        <v>0</v>
      </c>
      <c r="J1067" s="159" t="s">
        <v>19</v>
      </c>
      <c r="K1067" s="1350" t="s">
        <v>839</v>
      </c>
      <c r="L1067" s="160"/>
      <c r="M1067" s="159">
        <v>0</v>
      </c>
      <c r="N1067" s="157">
        <v>0</v>
      </c>
      <c r="O1067" s="82">
        <f t="shared" si="215"/>
        <v>0</v>
      </c>
      <c r="P1067" s="160"/>
      <c r="Q1067" s="1071">
        <f t="shared" si="217"/>
        <v>0</v>
      </c>
    </row>
    <row r="1068" spans="9:17" ht="13.9" x14ac:dyDescent="0.4">
      <c r="I1068" s="1073">
        <f t="shared" si="216"/>
        <v>0</v>
      </c>
      <c r="J1068" s="159" t="s">
        <v>19</v>
      </c>
      <c r="K1068" s="1350" t="s">
        <v>839</v>
      </c>
      <c r="L1068" s="160"/>
      <c r="M1068" s="159">
        <v>0</v>
      </c>
      <c r="N1068" s="157">
        <v>0</v>
      </c>
      <c r="O1068" s="82">
        <f t="shared" si="215"/>
        <v>0</v>
      </c>
      <c r="P1068" s="160"/>
      <c r="Q1068" s="1071">
        <f t="shared" si="217"/>
        <v>0</v>
      </c>
    </row>
    <row r="1069" spans="9:17" ht="13.9" x14ac:dyDescent="0.4">
      <c r="I1069" s="1073">
        <f t="shared" si="216"/>
        <v>0</v>
      </c>
      <c r="J1069" s="159" t="s">
        <v>19</v>
      </c>
      <c r="K1069" s="1350" t="s">
        <v>839</v>
      </c>
      <c r="L1069" s="160"/>
      <c r="M1069" s="159">
        <v>0</v>
      </c>
      <c r="N1069" s="157">
        <v>0</v>
      </c>
      <c r="O1069" s="82">
        <f t="shared" si="215"/>
        <v>0</v>
      </c>
      <c r="P1069" s="160"/>
      <c r="Q1069" s="1071">
        <f t="shared" si="217"/>
        <v>0</v>
      </c>
    </row>
    <row r="1070" spans="9:17" ht="13.9" x14ac:dyDescent="0.4">
      <c r="I1070" s="1073">
        <f t="shared" si="216"/>
        <v>0</v>
      </c>
      <c r="J1070" s="159" t="s">
        <v>19</v>
      </c>
      <c r="K1070" s="1350" t="s">
        <v>839</v>
      </c>
      <c r="L1070" s="160"/>
      <c r="M1070" s="159">
        <v>0</v>
      </c>
      <c r="N1070" s="157">
        <v>0</v>
      </c>
      <c r="O1070" s="82">
        <f t="shared" si="215"/>
        <v>0</v>
      </c>
      <c r="P1070" s="160"/>
      <c r="Q1070" s="1071">
        <f t="shared" si="217"/>
        <v>0</v>
      </c>
    </row>
    <row r="1071" spans="9:17" ht="13.9" x14ac:dyDescent="0.4">
      <c r="I1071" s="1073">
        <f t="shared" si="216"/>
        <v>0</v>
      </c>
      <c r="J1071" s="159" t="s">
        <v>19</v>
      </c>
      <c r="K1071" s="1350" t="s">
        <v>839</v>
      </c>
      <c r="L1071" s="160"/>
      <c r="M1071" s="159">
        <v>0</v>
      </c>
      <c r="N1071" s="157">
        <v>0</v>
      </c>
      <c r="O1071" s="82">
        <f t="shared" si="215"/>
        <v>0</v>
      </c>
      <c r="P1071" s="160"/>
      <c r="Q1071" s="1071">
        <f t="shared" si="217"/>
        <v>0</v>
      </c>
    </row>
    <row r="1072" spans="9:17" ht="13.9" x14ac:dyDescent="0.4">
      <c r="I1072" s="1073">
        <f t="shared" si="216"/>
        <v>0</v>
      </c>
      <c r="J1072" s="159" t="s">
        <v>19</v>
      </c>
      <c r="K1072" s="1350" t="s">
        <v>839</v>
      </c>
      <c r="L1072" s="160"/>
      <c r="M1072" s="159">
        <v>0</v>
      </c>
      <c r="N1072" s="157">
        <v>0</v>
      </c>
      <c r="O1072" s="82">
        <f t="shared" si="215"/>
        <v>0</v>
      </c>
      <c r="P1072" s="160"/>
      <c r="Q1072" s="1071">
        <f t="shared" si="217"/>
        <v>0</v>
      </c>
    </row>
    <row r="1073" spans="9:17" ht="13.9" x14ac:dyDescent="0.4">
      <c r="I1073" s="1073">
        <f t="shared" si="216"/>
        <v>0</v>
      </c>
      <c r="J1073" s="159" t="s">
        <v>19</v>
      </c>
      <c r="K1073" s="1350" t="s">
        <v>839</v>
      </c>
      <c r="L1073" s="160"/>
      <c r="M1073" s="159">
        <v>0</v>
      </c>
      <c r="N1073" s="157">
        <v>0</v>
      </c>
      <c r="O1073" s="82">
        <f t="shared" si="215"/>
        <v>0</v>
      </c>
      <c r="P1073" s="160"/>
      <c r="Q1073" s="1071">
        <f t="shared" si="217"/>
        <v>0</v>
      </c>
    </row>
    <row r="1074" spans="9:17" ht="13.9" x14ac:dyDescent="0.4">
      <c r="I1074" s="1071"/>
      <c r="J1074" s="86" t="s">
        <v>22</v>
      </c>
      <c r="K1074" s="86"/>
      <c r="L1074" s="86"/>
      <c r="M1074" s="81"/>
      <c r="N1074" s="87"/>
      <c r="O1074" s="88">
        <f>SUM(O1060:O1073)</f>
        <v>34.154687500000001</v>
      </c>
      <c r="P1074" s="86"/>
      <c r="Q1074" s="1071"/>
    </row>
    <row r="1075" spans="9:17" ht="13.9" x14ac:dyDescent="0.4">
      <c r="I1075" s="1071"/>
      <c r="J1075" s="83"/>
      <c r="K1075" s="83"/>
      <c r="L1075" s="83"/>
      <c r="M1075" s="83"/>
      <c r="N1075" s="84"/>
      <c r="O1075" s="83"/>
      <c r="P1075" s="83"/>
      <c r="Q1075" s="1071"/>
    </row>
    <row r="1076" spans="9:17" ht="13.9" x14ac:dyDescent="0.4">
      <c r="I1076" s="1071"/>
      <c r="J1076" s="78" t="s">
        <v>20</v>
      </c>
      <c r="K1076" s="78"/>
      <c r="L1076" s="78"/>
      <c r="M1076" s="79"/>
      <c r="N1076" s="85"/>
      <c r="O1076" s="79"/>
      <c r="P1076" s="78"/>
      <c r="Q1076" s="1071"/>
    </row>
    <row r="1077" spans="9:17" ht="13.9" x14ac:dyDescent="0.4">
      <c r="I1077" s="1071"/>
      <c r="J1077" s="80" t="s">
        <v>212</v>
      </c>
      <c r="K1077" s="80" t="s">
        <v>838</v>
      </c>
      <c r="L1077" s="80" t="s">
        <v>2</v>
      </c>
      <c r="M1077" s="80" t="s">
        <v>21</v>
      </c>
      <c r="N1077" s="80" t="s">
        <v>174</v>
      </c>
      <c r="O1077" s="80" t="s">
        <v>14</v>
      </c>
      <c r="P1077" s="80" t="s">
        <v>890</v>
      </c>
      <c r="Q1077" s="1071"/>
    </row>
    <row r="1078" spans="9:17" ht="13.9" x14ac:dyDescent="0.4">
      <c r="I1078" s="1073">
        <f>IF($A$1=18,I1073+1,0)</f>
        <v>0</v>
      </c>
      <c r="J1078" s="1092" t="str">
        <f>A4_Chem_Prices!H$18</f>
        <v>Lambda-cyhalothrine</v>
      </c>
      <c r="K1078" s="1350" t="s">
        <v>839</v>
      </c>
      <c r="L1078" s="1095" t="str">
        <f>A4_Chem_Prices!I$18</f>
        <v>oz</v>
      </c>
      <c r="M1078" s="1092">
        <f>A4_Chem_Prices!J$18</f>
        <v>2.57</v>
      </c>
      <c r="N1078" s="1094">
        <v>1.6</v>
      </c>
      <c r="O1078" s="82">
        <f t="shared" ref="O1078:O1087" si="218">M1078*N1078</f>
        <v>4.1120000000000001</v>
      </c>
      <c r="P1078" s="1449">
        <f>N1078</f>
        <v>1.6</v>
      </c>
      <c r="Q1078" s="1071">
        <f>Q1060</f>
        <v>0</v>
      </c>
    </row>
    <row r="1079" spans="9:17" ht="13.9" x14ac:dyDescent="0.4">
      <c r="I1079" s="1073">
        <f t="shared" ref="I1079:I1087" si="219">IF($A$1=18,I1078+1,0)</f>
        <v>0</v>
      </c>
      <c r="J1079" s="1092" t="str">
        <f>A4_Chem_Prices!H$18</f>
        <v>Lambda-cyhalothrine</v>
      </c>
      <c r="K1079" s="1350" t="s">
        <v>839</v>
      </c>
      <c r="L1079" s="1095" t="str">
        <f>A4_Chem_Prices!I$18</f>
        <v>oz</v>
      </c>
      <c r="M1079" s="1092">
        <f>A4_Chem_Prices!J$18</f>
        <v>2.57</v>
      </c>
      <c r="N1079" s="1094">
        <v>1.6</v>
      </c>
      <c r="O1079" s="82">
        <f t="shared" si="218"/>
        <v>4.1120000000000001</v>
      </c>
      <c r="P1079" s="1449">
        <f>N1079</f>
        <v>1.6</v>
      </c>
      <c r="Q1079" s="1071">
        <f>Q1078</f>
        <v>0</v>
      </c>
    </row>
    <row r="1080" spans="9:17" ht="13.9" x14ac:dyDescent="0.4">
      <c r="I1080" s="1073">
        <f t="shared" si="219"/>
        <v>0</v>
      </c>
      <c r="J1080" s="159" t="s">
        <v>19</v>
      </c>
      <c r="K1080" s="1350" t="s">
        <v>839</v>
      </c>
      <c r="L1080" s="160"/>
      <c r="M1080" s="159">
        <v>0</v>
      </c>
      <c r="N1080" s="157">
        <v>0</v>
      </c>
      <c r="O1080" s="82">
        <f t="shared" si="218"/>
        <v>0</v>
      </c>
      <c r="P1080" s="158"/>
      <c r="Q1080" s="1071">
        <f t="shared" ref="Q1080:Q1087" si="220">Q1079</f>
        <v>0</v>
      </c>
    </row>
    <row r="1081" spans="9:17" ht="13.9" x14ac:dyDescent="0.4">
      <c r="I1081" s="1073">
        <f t="shared" si="219"/>
        <v>0</v>
      </c>
      <c r="J1081" s="159" t="s">
        <v>19</v>
      </c>
      <c r="K1081" s="1350" t="s">
        <v>839</v>
      </c>
      <c r="L1081" s="160"/>
      <c r="M1081" s="159">
        <v>0</v>
      </c>
      <c r="N1081" s="157">
        <v>0</v>
      </c>
      <c r="O1081" s="82">
        <f t="shared" si="218"/>
        <v>0</v>
      </c>
      <c r="P1081" s="158"/>
      <c r="Q1081" s="1071">
        <f t="shared" si="220"/>
        <v>0</v>
      </c>
    </row>
    <row r="1082" spans="9:17" ht="13.9" x14ac:dyDescent="0.4">
      <c r="I1082" s="1073">
        <f t="shared" si="219"/>
        <v>0</v>
      </c>
      <c r="J1082" s="159" t="s">
        <v>19</v>
      </c>
      <c r="K1082" s="1350" t="s">
        <v>839</v>
      </c>
      <c r="L1082" s="160"/>
      <c r="M1082" s="159">
        <v>0</v>
      </c>
      <c r="N1082" s="157">
        <v>0</v>
      </c>
      <c r="O1082" s="82">
        <f t="shared" si="218"/>
        <v>0</v>
      </c>
      <c r="P1082" s="158"/>
      <c r="Q1082" s="1071">
        <f t="shared" si="220"/>
        <v>0</v>
      </c>
    </row>
    <row r="1083" spans="9:17" ht="13.9" x14ac:dyDescent="0.4">
      <c r="I1083" s="1073">
        <f t="shared" si="219"/>
        <v>0</v>
      </c>
      <c r="J1083" s="159" t="s">
        <v>19</v>
      </c>
      <c r="K1083" s="1350" t="s">
        <v>839</v>
      </c>
      <c r="L1083" s="160"/>
      <c r="M1083" s="159">
        <v>0</v>
      </c>
      <c r="N1083" s="157">
        <v>0</v>
      </c>
      <c r="O1083" s="82">
        <f t="shared" si="218"/>
        <v>0</v>
      </c>
      <c r="P1083" s="158"/>
      <c r="Q1083" s="1071">
        <f t="shared" si="220"/>
        <v>0</v>
      </c>
    </row>
    <row r="1084" spans="9:17" ht="13.9" x14ac:dyDescent="0.4">
      <c r="I1084" s="1073">
        <f t="shared" si="219"/>
        <v>0</v>
      </c>
      <c r="J1084" s="159" t="s">
        <v>19</v>
      </c>
      <c r="K1084" s="1350" t="s">
        <v>839</v>
      </c>
      <c r="L1084" s="160"/>
      <c r="M1084" s="159">
        <v>0</v>
      </c>
      <c r="N1084" s="157">
        <v>0</v>
      </c>
      <c r="O1084" s="82">
        <f t="shared" si="218"/>
        <v>0</v>
      </c>
      <c r="P1084" s="158"/>
      <c r="Q1084" s="1071">
        <f t="shared" si="220"/>
        <v>0</v>
      </c>
    </row>
    <row r="1085" spans="9:17" ht="13.9" x14ac:dyDescent="0.4">
      <c r="I1085" s="1073">
        <f t="shared" si="219"/>
        <v>0</v>
      </c>
      <c r="J1085" s="159" t="s">
        <v>19</v>
      </c>
      <c r="K1085" s="1350" t="s">
        <v>839</v>
      </c>
      <c r="L1085" s="160"/>
      <c r="M1085" s="159">
        <v>0</v>
      </c>
      <c r="N1085" s="157">
        <v>0</v>
      </c>
      <c r="O1085" s="82">
        <f t="shared" si="218"/>
        <v>0</v>
      </c>
      <c r="P1085" s="158"/>
      <c r="Q1085" s="1071">
        <f t="shared" si="220"/>
        <v>0</v>
      </c>
    </row>
    <row r="1086" spans="9:17" ht="13.9" x14ac:dyDescent="0.4">
      <c r="I1086" s="1073">
        <f t="shared" si="219"/>
        <v>0</v>
      </c>
      <c r="J1086" s="159" t="s">
        <v>19</v>
      </c>
      <c r="K1086" s="1350" t="s">
        <v>839</v>
      </c>
      <c r="L1086" s="160"/>
      <c r="M1086" s="159">
        <v>0</v>
      </c>
      <c r="N1086" s="157">
        <v>0</v>
      </c>
      <c r="O1086" s="82">
        <f t="shared" si="218"/>
        <v>0</v>
      </c>
      <c r="P1086" s="158"/>
      <c r="Q1086" s="1071">
        <f t="shared" si="220"/>
        <v>0</v>
      </c>
    </row>
    <row r="1087" spans="9:17" ht="13.9" x14ac:dyDescent="0.4">
      <c r="I1087" s="1073">
        <f t="shared" si="219"/>
        <v>0</v>
      </c>
      <c r="J1087" s="159" t="s">
        <v>19</v>
      </c>
      <c r="K1087" s="1350" t="s">
        <v>839</v>
      </c>
      <c r="L1087" s="160"/>
      <c r="M1087" s="159">
        <v>0</v>
      </c>
      <c r="N1087" s="157">
        <v>0</v>
      </c>
      <c r="O1087" s="82">
        <f t="shared" si="218"/>
        <v>0</v>
      </c>
      <c r="P1087" s="158"/>
      <c r="Q1087" s="1071">
        <f t="shared" si="220"/>
        <v>0</v>
      </c>
    </row>
    <row r="1088" spans="9:17" ht="13.9" x14ac:dyDescent="0.4">
      <c r="I1088" s="1071"/>
      <c r="J1088" s="86" t="s">
        <v>22</v>
      </c>
      <c r="K1088" s="86"/>
      <c r="L1088" s="86"/>
      <c r="M1088" s="81"/>
      <c r="N1088" s="87"/>
      <c r="O1088" s="88">
        <f>SUM(O1078:O1087)</f>
        <v>8.2240000000000002</v>
      </c>
      <c r="P1088" s="86"/>
      <c r="Q1088" s="1071"/>
    </row>
    <row r="1090" spans="9:17" ht="13.9" x14ac:dyDescent="0.4">
      <c r="I1090" s="1071"/>
      <c r="J1090" s="78" t="str">
        <f>IF(OR(A2_Budget_Look_Up!$B$7=1,A2_Budget_Look_Up!$B$13=1),"Nematicide Detail", "Fungicide Detail")</f>
        <v>Fungicide Detail</v>
      </c>
      <c r="K1090" s="78"/>
      <c r="L1090" s="78"/>
      <c r="M1090" s="79"/>
      <c r="N1090" s="85"/>
      <c r="O1090" s="79"/>
      <c r="P1090" s="78"/>
      <c r="Q1090" s="1071"/>
    </row>
    <row r="1091" spans="9:17" ht="13.9" x14ac:dyDescent="0.4">
      <c r="I1091" s="1071"/>
      <c r="J1091" s="80" t="s">
        <v>212</v>
      </c>
      <c r="K1091" s="80" t="s">
        <v>838</v>
      </c>
      <c r="L1091" s="80" t="s">
        <v>2</v>
      </c>
      <c r="M1091" s="80" t="s">
        <v>21</v>
      </c>
      <c r="N1091" s="80" t="s">
        <v>174</v>
      </c>
      <c r="O1091" s="80" t="s">
        <v>14</v>
      </c>
      <c r="P1091" s="80" t="s">
        <v>890</v>
      </c>
      <c r="Q1091" s="1071"/>
    </row>
    <row r="1092" spans="9:17" ht="13.9" x14ac:dyDescent="0.4">
      <c r="I1092" s="1073">
        <f>IF($A$1=18,I1087+1,0)</f>
        <v>0</v>
      </c>
      <c r="J1092" s="1131" t="str">
        <f>A4_Chem_Prices!H$32</f>
        <v>Quadris</v>
      </c>
      <c r="K1092" s="1350" t="s">
        <v>839</v>
      </c>
      <c r="L1092" s="1093" t="str">
        <f>A4_Chem_Prices!I$32</f>
        <v>oz</v>
      </c>
      <c r="M1092" s="1092">
        <f>A4_Chem_Prices!J$32</f>
        <v>0.71750000000000003</v>
      </c>
      <c r="N1092" s="1094">
        <v>12.8</v>
      </c>
      <c r="O1092" s="82">
        <f>M1092*N1092</f>
        <v>9.1840000000000011</v>
      </c>
      <c r="P1092" s="1449">
        <f>N1092</f>
        <v>12.8</v>
      </c>
      <c r="Q1092" s="1071">
        <f>Q1087</f>
        <v>0</v>
      </c>
    </row>
    <row r="1093" spans="9:17" ht="13.9" x14ac:dyDescent="0.4">
      <c r="I1093" s="1073">
        <f>IF($A$1=18,I1092+1,0)</f>
        <v>0</v>
      </c>
      <c r="J1093" s="156" t="s">
        <v>19</v>
      </c>
      <c r="K1093" s="1350" t="s">
        <v>839</v>
      </c>
      <c r="L1093" s="158"/>
      <c r="M1093" s="159">
        <v>0</v>
      </c>
      <c r="N1093" s="157">
        <v>0</v>
      </c>
      <c r="O1093" s="82">
        <f>M1093*N1093</f>
        <v>0</v>
      </c>
      <c r="P1093" s="158"/>
      <c r="Q1093" s="1071">
        <f>Q1092</f>
        <v>0</v>
      </c>
    </row>
    <row r="1094" spans="9:17" ht="13.9" x14ac:dyDescent="0.4">
      <c r="I1094" s="1071"/>
      <c r="J1094" s="86" t="s">
        <v>22</v>
      </c>
      <c r="K1094" s="86"/>
      <c r="L1094" s="86"/>
      <c r="M1094" s="81"/>
      <c r="N1094" s="87"/>
      <c r="O1094" s="88">
        <f>SUM(O1092:O1093)</f>
        <v>9.1840000000000011</v>
      </c>
      <c r="P1094" s="86"/>
      <c r="Q1094" s="1071"/>
    </row>
    <row r="1095" spans="9:17" ht="13.9" x14ac:dyDescent="0.4">
      <c r="I1095" s="1071"/>
      <c r="J1095" s="83"/>
      <c r="K1095" s="83"/>
      <c r="L1095" s="83"/>
      <c r="M1095" s="83"/>
      <c r="N1095" s="84"/>
      <c r="O1095" s="83"/>
      <c r="P1095" s="83"/>
      <c r="Q1095" s="1071"/>
    </row>
    <row r="1096" spans="9:17" ht="13.9" x14ac:dyDescent="0.4">
      <c r="I1096" s="1071"/>
      <c r="J1096" s="78" t="str">
        <f>IF(A2_Budget_Look_Up!$B$7=1,"Growth Regulator Detail", IF(A2_Budget_Look_Up!$B$13=1,"Fungicide Detail","Other Chemical Detail"))</f>
        <v>Other Chemical Detail</v>
      </c>
      <c r="K1096" s="78"/>
      <c r="L1096" s="78"/>
      <c r="M1096" s="79"/>
      <c r="N1096" s="85"/>
      <c r="O1096" s="79"/>
      <c r="P1096" s="78"/>
      <c r="Q1096" s="1071"/>
    </row>
    <row r="1097" spans="9:17" ht="13.9" x14ac:dyDescent="0.4">
      <c r="I1097" s="1071"/>
      <c r="J1097" s="80" t="s">
        <v>212</v>
      </c>
      <c r="K1097" s="80" t="s">
        <v>838</v>
      </c>
      <c r="L1097" s="80" t="s">
        <v>2</v>
      </c>
      <c r="M1097" s="80" t="s">
        <v>21</v>
      </c>
      <c r="N1097" s="80" t="s">
        <v>174</v>
      </c>
      <c r="O1097" s="80" t="s">
        <v>14</v>
      </c>
      <c r="P1097" s="80" t="s">
        <v>890</v>
      </c>
      <c r="Q1097" s="1071"/>
    </row>
    <row r="1098" spans="9:17" ht="13.9" x14ac:dyDescent="0.4">
      <c r="I1098" s="1073">
        <f>IF($A$1=18,I1093+1,0)</f>
        <v>0</v>
      </c>
      <c r="J1098" s="156" t="s">
        <v>19</v>
      </c>
      <c r="K1098" s="1350" t="s">
        <v>839</v>
      </c>
      <c r="L1098" s="158"/>
      <c r="M1098" s="159">
        <v>0</v>
      </c>
      <c r="N1098" s="157">
        <v>0</v>
      </c>
      <c r="O1098" s="82">
        <f t="shared" ref="O1098:O1104" si="221">M1098*N1098</f>
        <v>0</v>
      </c>
      <c r="P1098" s="158"/>
      <c r="Q1098" s="1071">
        <f>Q1093</f>
        <v>0</v>
      </c>
    </row>
    <row r="1099" spans="9:17" ht="13.9" x14ac:dyDescent="0.4">
      <c r="I1099" s="1073">
        <f t="shared" ref="I1099:I1104" si="222">IF($A$1=18,I1098+1,0)</f>
        <v>0</v>
      </c>
      <c r="J1099" s="156" t="s">
        <v>19</v>
      </c>
      <c r="K1099" s="1350" t="s">
        <v>839</v>
      </c>
      <c r="L1099" s="158"/>
      <c r="M1099" s="159">
        <v>0</v>
      </c>
      <c r="N1099" s="157">
        <v>0</v>
      </c>
      <c r="O1099" s="82">
        <f t="shared" si="221"/>
        <v>0</v>
      </c>
      <c r="P1099" s="158"/>
      <c r="Q1099" s="1071">
        <f t="shared" ref="Q1099:Q1104" si="223">Q1098</f>
        <v>0</v>
      </c>
    </row>
    <row r="1100" spans="9:17" ht="13.9" x14ac:dyDescent="0.4">
      <c r="I1100" s="1073">
        <f t="shared" si="222"/>
        <v>0</v>
      </c>
      <c r="J1100" s="156" t="s">
        <v>19</v>
      </c>
      <c r="K1100" s="1350" t="s">
        <v>839</v>
      </c>
      <c r="L1100" s="158"/>
      <c r="M1100" s="159">
        <v>0</v>
      </c>
      <c r="N1100" s="157">
        <v>0</v>
      </c>
      <c r="O1100" s="82">
        <f t="shared" si="221"/>
        <v>0</v>
      </c>
      <c r="P1100" s="158"/>
      <c r="Q1100" s="1071">
        <f t="shared" si="223"/>
        <v>0</v>
      </c>
    </row>
    <row r="1101" spans="9:17" ht="13.9" x14ac:dyDescent="0.4">
      <c r="I1101" s="1073">
        <f t="shared" si="222"/>
        <v>0</v>
      </c>
      <c r="J1101" s="156" t="s">
        <v>19</v>
      </c>
      <c r="K1101" s="1350" t="s">
        <v>839</v>
      </c>
      <c r="L1101" s="158"/>
      <c r="M1101" s="159">
        <v>0</v>
      </c>
      <c r="N1101" s="157">
        <v>0</v>
      </c>
      <c r="O1101" s="82">
        <f t="shared" si="221"/>
        <v>0</v>
      </c>
      <c r="P1101" s="158"/>
      <c r="Q1101" s="1071">
        <f t="shared" si="223"/>
        <v>0</v>
      </c>
    </row>
    <row r="1102" spans="9:17" ht="13.9" x14ac:dyDescent="0.4">
      <c r="I1102" s="1073">
        <f t="shared" si="222"/>
        <v>0</v>
      </c>
      <c r="J1102" s="156" t="s">
        <v>19</v>
      </c>
      <c r="K1102" s="1350" t="s">
        <v>839</v>
      </c>
      <c r="L1102" s="158"/>
      <c r="M1102" s="159">
        <v>0</v>
      </c>
      <c r="N1102" s="157">
        <v>0</v>
      </c>
      <c r="O1102" s="82">
        <f t="shared" si="221"/>
        <v>0</v>
      </c>
      <c r="P1102" s="158"/>
      <c r="Q1102" s="1071">
        <f t="shared" si="223"/>
        <v>0</v>
      </c>
    </row>
    <row r="1103" spans="9:17" ht="13.9" x14ac:dyDescent="0.4">
      <c r="I1103" s="1073">
        <f t="shared" si="222"/>
        <v>0</v>
      </c>
      <c r="J1103" s="156" t="s">
        <v>19</v>
      </c>
      <c r="K1103" s="1350" t="s">
        <v>839</v>
      </c>
      <c r="L1103" s="158"/>
      <c r="M1103" s="159">
        <v>0</v>
      </c>
      <c r="N1103" s="157">
        <v>0</v>
      </c>
      <c r="O1103" s="82">
        <f t="shared" si="221"/>
        <v>0</v>
      </c>
      <c r="P1103" s="158"/>
      <c r="Q1103" s="1071">
        <f t="shared" si="223"/>
        <v>0</v>
      </c>
    </row>
    <row r="1104" spans="9:17" ht="13.9" x14ac:dyDescent="0.4">
      <c r="I1104" s="1073">
        <f t="shared" si="222"/>
        <v>0</v>
      </c>
      <c r="J1104" s="156" t="s">
        <v>19</v>
      </c>
      <c r="K1104" s="1350" t="s">
        <v>839</v>
      </c>
      <c r="L1104" s="158"/>
      <c r="M1104" s="159">
        <v>0</v>
      </c>
      <c r="N1104" s="157">
        <v>0</v>
      </c>
      <c r="O1104" s="82">
        <f t="shared" si="221"/>
        <v>0</v>
      </c>
      <c r="P1104" s="158"/>
      <c r="Q1104" s="1071">
        <f t="shared" si="223"/>
        <v>0</v>
      </c>
    </row>
    <row r="1105" spans="9:17" ht="13.9" x14ac:dyDescent="0.4">
      <c r="I1105" s="1071"/>
      <c r="J1105" s="86" t="s">
        <v>22</v>
      </c>
      <c r="K1105" s="86"/>
      <c r="L1105" s="86"/>
      <c r="M1105" s="81"/>
      <c r="N1105" s="87"/>
      <c r="O1105" s="88">
        <f>SUM(O1098:O1104)</f>
        <v>0</v>
      </c>
      <c r="P1105" s="86"/>
      <c r="Q1105" s="1071"/>
    </row>
    <row r="1106" spans="9:17" ht="13.9" x14ac:dyDescent="0.4">
      <c r="I1106" s="1071"/>
      <c r="J1106" s="83"/>
      <c r="K1106" s="83"/>
      <c r="L1106" s="83"/>
      <c r="M1106" s="83"/>
      <c r="N1106" s="84"/>
      <c r="O1106" s="83"/>
      <c r="P1106" s="83"/>
      <c r="Q1106" s="1071"/>
    </row>
    <row r="1107" spans="9:17" ht="13.9" x14ac:dyDescent="0.4">
      <c r="I1107" s="1071"/>
      <c r="J1107" s="78" t="str">
        <f>IF(A2_Budget_Look_Up!$B$7=1,"Defoliant Detail", "Other Chemical Detail")</f>
        <v>Other Chemical Detail</v>
      </c>
      <c r="K1107" s="78"/>
      <c r="L1107" s="78"/>
      <c r="M1107" s="79"/>
      <c r="N1107" s="85"/>
      <c r="O1107" s="79"/>
      <c r="P1107" s="78"/>
      <c r="Q1107" s="1071"/>
    </row>
    <row r="1108" spans="9:17" ht="13.9" x14ac:dyDescent="0.4">
      <c r="I1108" s="1071"/>
      <c r="J1108" s="80" t="s">
        <v>212</v>
      </c>
      <c r="K1108" s="80" t="s">
        <v>838</v>
      </c>
      <c r="L1108" s="80" t="s">
        <v>2</v>
      </c>
      <c r="M1108" s="80" t="s">
        <v>21</v>
      </c>
      <c r="N1108" s="80" t="s">
        <v>174</v>
      </c>
      <c r="O1108" s="80" t="s">
        <v>14</v>
      </c>
      <c r="P1108" s="80" t="s">
        <v>890</v>
      </c>
      <c r="Q1108" s="1071"/>
    </row>
    <row r="1109" spans="9:17" ht="13.9" x14ac:dyDescent="0.4">
      <c r="I1109" s="1073">
        <f>IF($A$1=18,I1104+1,0)</f>
        <v>0</v>
      </c>
      <c r="J1109" s="156" t="s">
        <v>19</v>
      </c>
      <c r="K1109" s="1350" t="s">
        <v>839</v>
      </c>
      <c r="L1109" s="158"/>
      <c r="M1109" s="159">
        <v>0</v>
      </c>
      <c r="N1109" s="157">
        <v>0</v>
      </c>
      <c r="O1109" s="82">
        <f t="shared" ref="O1109:O1115" si="224">M1109*N1109</f>
        <v>0</v>
      </c>
      <c r="P1109" s="158"/>
      <c r="Q1109" s="1071">
        <f>Q1104</f>
        <v>0</v>
      </c>
    </row>
    <row r="1110" spans="9:17" ht="13.9" x14ac:dyDescent="0.4">
      <c r="I1110" s="1073">
        <f t="shared" ref="I1110:I1115" si="225">IF($A$1=18,I1109+1,0)</f>
        <v>0</v>
      </c>
      <c r="J1110" s="156" t="s">
        <v>19</v>
      </c>
      <c r="K1110" s="1350" t="s">
        <v>839</v>
      </c>
      <c r="L1110" s="158"/>
      <c r="M1110" s="159">
        <v>0</v>
      </c>
      <c r="N1110" s="157">
        <v>0</v>
      </c>
      <c r="O1110" s="82">
        <f t="shared" si="224"/>
        <v>0</v>
      </c>
      <c r="P1110" s="158"/>
      <c r="Q1110" s="1071">
        <f t="shared" ref="Q1110:Q1115" si="226">Q1109</f>
        <v>0</v>
      </c>
    </row>
    <row r="1111" spans="9:17" ht="13.9" x14ac:dyDescent="0.4">
      <c r="I1111" s="1073">
        <f t="shared" si="225"/>
        <v>0</v>
      </c>
      <c r="J1111" s="156" t="s">
        <v>19</v>
      </c>
      <c r="K1111" s="1350" t="s">
        <v>839</v>
      </c>
      <c r="L1111" s="158"/>
      <c r="M1111" s="159">
        <v>0</v>
      </c>
      <c r="N1111" s="157">
        <v>0</v>
      </c>
      <c r="O1111" s="82">
        <f t="shared" si="224"/>
        <v>0</v>
      </c>
      <c r="P1111" s="158"/>
      <c r="Q1111" s="1071">
        <f t="shared" si="226"/>
        <v>0</v>
      </c>
    </row>
    <row r="1112" spans="9:17" ht="13.9" x14ac:dyDescent="0.4">
      <c r="I1112" s="1073">
        <f t="shared" si="225"/>
        <v>0</v>
      </c>
      <c r="J1112" s="156" t="s">
        <v>19</v>
      </c>
      <c r="K1112" s="1350" t="s">
        <v>839</v>
      </c>
      <c r="L1112" s="158"/>
      <c r="M1112" s="159">
        <v>0</v>
      </c>
      <c r="N1112" s="157">
        <v>0</v>
      </c>
      <c r="O1112" s="82">
        <f t="shared" si="224"/>
        <v>0</v>
      </c>
      <c r="P1112" s="158"/>
      <c r="Q1112" s="1071">
        <f t="shared" si="226"/>
        <v>0</v>
      </c>
    </row>
    <row r="1113" spans="9:17" ht="13.9" x14ac:dyDescent="0.4">
      <c r="I1113" s="1073">
        <f t="shared" si="225"/>
        <v>0</v>
      </c>
      <c r="J1113" s="156" t="s">
        <v>19</v>
      </c>
      <c r="K1113" s="1350" t="s">
        <v>839</v>
      </c>
      <c r="L1113" s="158"/>
      <c r="M1113" s="159">
        <v>0</v>
      </c>
      <c r="N1113" s="157">
        <v>0</v>
      </c>
      <c r="O1113" s="82">
        <f t="shared" si="224"/>
        <v>0</v>
      </c>
      <c r="P1113" s="158"/>
      <c r="Q1113" s="1071">
        <f t="shared" si="226"/>
        <v>0</v>
      </c>
    </row>
    <row r="1114" spans="9:17" ht="13.9" x14ac:dyDescent="0.4">
      <c r="I1114" s="1073">
        <f t="shared" si="225"/>
        <v>0</v>
      </c>
      <c r="J1114" s="156" t="s">
        <v>19</v>
      </c>
      <c r="K1114" s="1350" t="s">
        <v>839</v>
      </c>
      <c r="L1114" s="158"/>
      <c r="M1114" s="159">
        <v>0</v>
      </c>
      <c r="N1114" s="157">
        <v>0</v>
      </c>
      <c r="O1114" s="82">
        <f t="shared" si="224"/>
        <v>0</v>
      </c>
      <c r="P1114" s="158"/>
      <c r="Q1114" s="1071">
        <f t="shared" si="226"/>
        <v>0</v>
      </c>
    </row>
    <row r="1115" spans="9:17" ht="13.9" x14ac:dyDescent="0.4">
      <c r="I1115" s="1073">
        <f t="shared" si="225"/>
        <v>0</v>
      </c>
      <c r="J1115" s="156" t="s">
        <v>19</v>
      </c>
      <c r="K1115" s="1350" t="s">
        <v>839</v>
      </c>
      <c r="L1115" s="158"/>
      <c r="M1115" s="159">
        <v>0</v>
      </c>
      <c r="N1115" s="157">
        <v>0</v>
      </c>
      <c r="O1115" s="82">
        <f t="shared" si="224"/>
        <v>0</v>
      </c>
      <c r="P1115" s="158"/>
      <c r="Q1115" s="1071">
        <f t="shared" si="226"/>
        <v>0</v>
      </c>
    </row>
    <row r="1116" spans="9:17" ht="13.9" x14ac:dyDescent="0.4">
      <c r="I1116" s="1071"/>
      <c r="J1116" s="86" t="s">
        <v>22</v>
      </c>
      <c r="K1116" s="86"/>
      <c r="L1116" s="86"/>
      <c r="M1116" s="81"/>
      <c r="N1116" s="87"/>
      <c r="O1116" s="88">
        <f>SUM(O1109:O1115)</f>
        <v>0</v>
      </c>
      <c r="P1116" s="86"/>
      <c r="Q1116" s="1071"/>
    </row>
    <row r="1117" spans="9:17" ht="13.9" x14ac:dyDescent="0.4">
      <c r="I1117" s="1071"/>
      <c r="J1117" s="83"/>
      <c r="K1117" s="83"/>
      <c r="L1117" s="83"/>
      <c r="M1117" s="89"/>
      <c r="N1117" s="84"/>
      <c r="O1117" s="89"/>
      <c r="P1117" s="83"/>
      <c r="Q1117" s="1071"/>
    </row>
    <row r="1118" spans="9:17" ht="13.9" x14ac:dyDescent="0.4">
      <c r="I1118" s="1071"/>
      <c r="J1118" s="1168" t="str">
        <f>A2_Budget_Look_Up!H21</f>
        <v>RR2XtendFlex Soybeans, Furrow</v>
      </c>
      <c r="K1118" s="1168"/>
      <c r="L1118" s="1168">
        <f>A2_Budget_Look_Up!F21</f>
        <v>19</v>
      </c>
      <c r="M1118" s="1168"/>
      <c r="N1118" s="1168"/>
      <c r="O1118" s="1168"/>
      <c r="P1118" s="1168"/>
      <c r="Q1118" s="1071"/>
    </row>
    <row r="1119" spans="9:17" ht="13.9" x14ac:dyDescent="0.4">
      <c r="I1119" s="1071"/>
      <c r="J1119" s="83"/>
      <c r="K1119" s="83"/>
      <c r="L1119" s="83"/>
      <c r="M1119" s="83"/>
      <c r="N1119" s="84"/>
      <c r="O1119" s="83"/>
      <c r="P1119" s="83"/>
      <c r="Q1119" s="1071"/>
    </row>
    <row r="1120" spans="9:17" ht="13.9" x14ac:dyDescent="0.4">
      <c r="I1120" s="1071"/>
      <c r="J1120" s="78" t="s">
        <v>18</v>
      </c>
      <c r="K1120" s="78"/>
      <c r="L1120" s="78"/>
      <c r="M1120" s="79"/>
      <c r="N1120" s="85"/>
      <c r="O1120" s="79"/>
      <c r="P1120" s="78"/>
      <c r="Q1120" s="1071"/>
    </row>
    <row r="1121" spans="9:17" ht="13.9" x14ac:dyDescent="0.4">
      <c r="I1121" s="1071"/>
      <c r="J1121" s="80" t="s">
        <v>212</v>
      </c>
      <c r="K1121" s="80" t="s">
        <v>838</v>
      </c>
      <c r="L1121" s="80" t="s">
        <v>2</v>
      </c>
      <c r="M1121" s="80" t="s">
        <v>21</v>
      </c>
      <c r="N1121" s="80" t="s">
        <v>174</v>
      </c>
      <c r="O1121" s="80" t="s">
        <v>14</v>
      </c>
      <c r="P1121" s="80" t="s">
        <v>890</v>
      </c>
      <c r="Q1121" s="1071"/>
    </row>
    <row r="1122" spans="9:17" ht="13.9" x14ac:dyDescent="0.4">
      <c r="I1122" s="1073">
        <f>IF($A$1=19,1,0)</f>
        <v>0</v>
      </c>
      <c r="J1122" s="159" t="str">
        <f>A4_Chem_Prices!N$2</f>
        <v>Roundup Powermax 3</v>
      </c>
      <c r="K1122" s="1350" t="s">
        <v>839</v>
      </c>
      <c r="L1122" s="158" t="str">
        <f>A4_Chem_Prices!O$2</f>
        <v>oz</v>
      </c>
      <c r="M1122" s="159">
        <f>A4_Chem_Prices!P$2</f>
        <v>0.140625</v>
      </c>
      <c r="N1122" s="157">
        <v>32</v>
      </c>
      <c r="O1122" s="82">
        <f t="shared" ref="O1122:O1135" si="227">M1122*N1122</f>
        <v>4.5</v>
      </c>
      <c r="P1122" s="1449">
        <f>N1122</f>
        <v>32</v>
      </c>
      <c r="Q1122" s="1171">
        <f>IF(SUM(I1122:I1177)=820,L1118,0)</f>
        <v>0</v>
      </c>
    </row>
    <row r="1123" spans="9:17" ht="13.9" x14ac:dyDescent="0.4">
      <c r="I1123" s="1073">
        <f t="shared" ref="I1123:I1135" si="228">IF($A$1=19,I1122+1,0)</f>
        <v>0</v>
      </c>
      <c r="J1123" s="159" t="str">
        <f>A4_Chem_Prices!N$16</f>
        <v>Dicamba</v>
      </c>
      <c r="K1123" s="1350" t="s">
        <v>839</v>
      </c>
      <c r="L1123" s="160" t="str">
        <f>A4_Chem_Prices!O$16</f>
        <v>oz</v>
      </c>
      <c r="M1123" s="159">
        <f>A4_Chem_Prices!P$16</f>
        <v>0.26250000000000001</v>
      </c>
      <c r="N1123" s="157">
        <v>32</v>
      </c>
      <c r="O1123" s="82">
        <f t="shared" si="227"/>
        <v>8.4</v>
      </c>
      <c r="P1123" s="1449">
        <f>N1123</f>
        <v>32</v>
      </c>
      <c r="Q1123" s="1071">
        <f>Q1122</f>
        <v>0</v>
      </c>
    </row>
    <row r="1124" spans="9:17" ht="13.9" x14ac:dyDescent="0.4">
      <c r="I1124" s="1073">
        <f t="shared" si="228"/>
        <v>0</v>
      </c>
      <c r="J1124" s="159" t="str">
        <f>A4_Chem_Prices!Q$9</f>
        <v>Boundary</v>
      </c>
      <c r="K1124" s="1350" t="s">
        <v>839</v>
      </c>
      <c r="L1124" s="158" t="str">
        <f>A4_Chem_Prices!R$9</f>
        <v>oz</v>
      </c>
      <c r="M1124" s="159">
        <f>A4_Chem_Prices!S$9</f>
        <v>0.68414062499999995</v>
      </c>
      <c r="N1124" s="157">
        <v>32</v>
      </c>
      <c r="O1124" s="82">
        <f t="shared" si="227"/>
        <v>21.892499999999998</v>
      </c>
      <c r="P1124" s="1449">
        <f>N1124</f>
        <v>32</v>
      </c>
      <c r="Q1124" s="1071">
        <f t="shared" ref="Q1124:Q1135" si="229">Q1123</f>
        <v>0</v>
      </c>
    </row>
    <row r="1125" spans="9:17" ht="13.9" x14ac:dyDescent="0.4">
      <c r="I1125" s="1073">
        <f t="shared" si="228"/>
        <v>0</v>
      </c>
      <c r="J1125" s="159" t="str">
        <f>A4_Chem_Prices!N$2</f>
        <v>Roundup Powermax 3</v>
      </c>
      <c r="K1125" s="1350" t="s">
        <v>839</v>
      </c>
      <c r="L1125" s="158" t="str">
        <f>A4_Chem_Prices!O$2</f>
        <v>oz</v>
      </c>
      <c r="M1125" s="159">
        <f>A4_Chem_Prices!P$2</f>
        <v>0.140625</v>
      </c>
      <c r="N1125" s="157">
        <v>32</v>
      </c>
      <c r="O1125" s="82">
        <f t="shared" si="227"/>
        <v>4.5</v>
      </c>
      <c r="P1125" s="1449">
        <f>N1125</f>
        <v>32</v>
      </c>
      <c r="Q1125" s="1071">
        <f t="shared" si="229"/>
        <v>0</v>
      </c>
    </row>
    <row r="1126" spans="9:17" ht="13.9" x14ac:dyDescent="0.4">
      <c r="I1126" s="1073">
        <f t="shared" si="228"/>
        <v>0</v>
      </c>
      <c r="J1126" s="159" t="str">
        <f>A4_Chem_Prices!N$3</f>
        <v>2,4-D</v>
      </c>
      <c r="K1126" s="1350" t="s">
        <v>839</v>
      </c>
      <c r="L1126" s="160" t="str">
        <f>A4_Chem_Prices!O$3</f>
        <v>oz</v>
      </c>
      <c r="M1126" s="159">
        <f>A4_Chem_Prices!P$3</f>
        <v>0.2734375</v>
      </c>
      <c r="N1126" s="157">
        <v>32</v>
      </c>
      <c r="O1126" s="82">
        <f t="shared" si="227"/>
        <v>8.75</v>
      </c>
      <c r="P1126" s="160">
        <f>N1126*16</f>
        <v>512</v>
      </c>
      <c r="Q1126" s="1071">
        <f t="shared" si="229"/>
        <v>0</v>
      </c>
    </row>
    <row r="1127" spans="9:17" ht="13.9" x14ac:dyDescent="0.4">
      <c r="I1127" s="1073">
        <f t="shared" si="228"/>
        <v>0</v>
      </c>
      <c r="J1127" s="159" t="str">
        <f>A4_Chem_Prices!N$2</f>
        <v>Roundup Powermax 3</v>
      </c>
      <c r="K1127" s="1350" t="s">
        <v>839</v>
      </c>
      <c r="L1127" s="158" t="str">
        <f>A4_Chem_Prices!O$2</f>
        <v>oz</v>
      </c>
      <c r="M1127" s="159">
        <f>A4_Chem_Prices!P$2</f>
        <v>0.140625</v>
      </c>
      <c r="N1127" s="157">
        <v>32</v>
      </c>
      <c r="O1127" s="82">
        <f t="shared" si="227"/>
        <v>4.5</v>
      </c>
      <c r="P1127" s="1449">
        <f>N1127</f>
        <v>32</v>
      </c>
      <c r="Q1127" s="1071">
        <f t="shared" si="229"/>
        <v>0</v>
      </c>
    </row>
    <row r="1128" spans="9:17" ht="13.9" x14ac:dyDescent="0.4">
      <c r="I1128" s="1073">
        <f t="shared" si="228"/>
        <v>0</v>
      </c>
      <c r="J1128" s="159" t="str">
        <f>A4_Chem_Prices!N$11</f>
        <v>Zidua</v>
      </c>
      <c r="K1128" s="1350" t="s">
        <v>839</v>
      </c>
      <c r="L1128" s="160" t="str">
        <f>A4_Chem_Prices!O$11</f>
        <v>oz</v>
      </c>
      <c r="M1128" s="159">
        <f>A4_Chem_Prices!P$11</f>
        <v>5.7421875</v>
      </c>
      <c r="N1128" s="157">
        <v>3.5</v>
      </c>
      <c r="O1128" s="82">
        <f t="shared" si="227"/>
        <v>20.09765625</v>
      </c>
      <c r="P1128" s="160">
        <f>N1128*16</f>
        <v>56</v>
      </c>
      <c r="Q1128" s="1071">
        <f t="shared" si="229"/>
        <v>0</v>
      </c>
    </row>
    <row r="1129" spans="9:17" ht="13.9" x14ac:dyDescent="0.4">
      <c r="I1129" s="1073">
        <f t="shared" si="228"/>
        <v>0</v>
      </c>
      <c r="J1129" s="159" t="s">
        <v>19</v>
      </c>
      <c r="K1129" s="1350" t="s">
        <v>839</v>
      </c>
      <c r="L1129" s="160"/>
      <c r="M1129" s="159">
        <v>0</v>
      </c>
      <c r="N1129" s="157">
        <v>0</v>
      </c>
      <c r="O1129" s="82">
        <f t="shared" si="227"/>
        <v>0</v>
      </c>
      <c r="P1129" s="160"/>
      <c r="Q1129" s="1071">
        <f t="shared" si="229"/>
        <v>0</v>
      </c>
    </row>
    <row r="1130" spans="9:17" ht="13.9" x14ac:dyDescent="0.4">
      <c r="I1130" s="1073">
        <f t="shared" si="228"/>
        <v>0</v>
      </c>
      <c r="J1130" s="159" t="s">
        <v>19</v>
      </c>
      <c r="K1130" s="1350" t="s">
        <v>839</v>
      </c>
      <c r="L1130" s="160"/>
      <c r="M1130" s="159">
        <v>0</v>
      </c>
      <c r="N1130" s="157">
        <v>0</v>
      </c>
      <c r="O1130" s="82">
        <f t="shared" si="227"/>
        <v>0</v>
      </c>
      <c r="P1130" s="160"/>
      <c r="Q1130" s="1071">
        <f t="shared" si="229"/>
        <v>0</v>
      </c>
    </row>
    <row r="1131" spans="9:17" ht="13.9" x14ac:dyDescent="0.4">
      <c r="I1131" s="1073">
        <f t="shared" si="228"/>
        <v>0</v>
      </c>
      <c r="J1131" s="159" t="s">
        <v>19</v>
      </c>
      <c r="K1131" s="1350" t="s">
        <v>839</v>
      </c>
      <c r="L1131" s="160"/>
      <c r="M1131" s="159">
        <v>0</v>
      </c>
      <c r="N1131" s="157">
        <v>0</v>
      </c>
      <c r="O1131" s="82">
        <f t="shared" si="227"/>
        <v>0</v>
      </c>
      <c r="P1131" s="160"/>
      <c r="Q1131" s="1071">
        <f t="shared" si="229"/>
        <v>0</v>
      </c>
    </row>
    <row r="1132" spans="9:17" ht="13.9" x14ac:dyDescent="0.4">
      <c r="I1132" s="1073">
        <f t="shared" si="228"/>
        <v>0</v>
      </c>
      <c r="J1132" s="159" t="s">
        <v>19</v>
      </c>
      <c r="K1132" s="1350" t="s">
        <v>839</v>
      </c>
      <c r="L1132" s="160"/>
      <c r="M1132" s="159">
        <v>0</v>
      </c>
      <c r="N1132" s="157">
        <v>0</v>
      </c>
      <c r="O1132" s="82">
        <f t="shared" si="227"/>
        <v>0</v>
      </c>
      <c r="P1132" s="160"/>
      <c r="Q1132" s="1071">
        <f t="shared" si="229"/>
        <v>0</v>
      </c>
    </row>
    <row r="1133" spans="9:17" ht="13.9" x14ac:dyDescent="0.4">
      <c r="I1133" s="1073">
        <f t="shared" si="228"/>
        <v>0</v>
      </c>
      <c r="J1133" s="159" t="s">
        <v>19</v>
      </c>
      <c r="K1133" s="1350" t="s">
        <v>839</v>
      </c>
      <c r="L1133" s="160"/>
      <c r="M1133" s="159">
        <v>0</v>
      </c>
      <c r="N1133" s="157">
        <v>0</v>
      </c>
      <c r="O1133" s="82">
        <f t="shared" si="227"/>
        <v>0</v>
      </c>
      <c r="P1133" s="160"/>
      <c r="Q1133" s="1071">
        <f t="shared" si="229"/>
        <v>0</v>
      </c>
    </row>
    <row r="1134" spans="9:17" ht="13.9" x14ac:dyDescent="0.4">
      <c r="I1134" s="1073">
        <f t="shared" si="228"/>
        <v>0</v>
      </c>
      <c r="J1134" s="159" t="s">
        <v>19</v>
      </c>
      <c r="K1134" s="1350" t="s">
        <v>839</v>
      </c>
      <c r="L1134" s="160"/>
      <c r="M1134" s="159">
        <v>0</v>
      </c>
      <c r="N1134" s="157">
        <v>0</v>
      </c>
      <c r="O1134" s="82">
        <f t="shared" si="227"/>
        <v>0</v>
      </c>
      <c r="P1134" s="160"/>
      <c r="Q1134" s="1071">
        <f t="shared" si="229"/>
        <v>0</v>
      </c>
    </row>
    <row r="1135" spans="9:17" ht="13.9" x14ac:dyDescent="0.4">
      <c r="I1135" s="1073">
        <f t="shared" si="228"/>
        <v>0</v>
      </c>
      <c r="J1135" s="159" t="s">
        <v>19</v>
      </c>
      <c r="K1135" s="1350" t="s">
        <v>839</v>
      </c>
      <c r="L1135" s="160"/>
      <c r="M1135" s="159">
        <v>0</v>
      </c>
      <c r="N1135" s="157">
        <v>0</v>
      </c>
      <c r="O1135" s="82">
        <f t="shared" si="227"/>
        <v>0</v>
      </c>
      <c r="P1135" s="160"/>
      <c r="Q1135" s="1071">
        <f t="shared" si="229"/>
        <v>0</v>
      </c>
    </row>
    <row r="1136" spans="9:17" ht="13.9" x14ac:dyDescent="0.4">
      <c r="I1136" s="1071"/>
      <c r="J1136" s="86" t="s">
        <v>22</v>
      </c>
      <c r="K1136" s="86"/>
      <c r="L1136" s="86"/>
      <c r="M1136" s="81"/>
      <c r="N1136" s="87"/>
      <c r="O1136" s="88">
        <f>SUM(O1122:O1135)</f>
        <v>72.64015624999999</v>
      </c>
      <c r="P1136" s="86"/>
      <c r="Q1136" s="1071"/>
    </row>
    <row r="1138" spans="9:17" ht="13.9" x14ac:dyDescent="0.4">
      <c r="I1138" s="1071"/>
      <c r="J1138" s="78" t="s">
        <v>20</v>
      </c>
      <c r="K1138" s="78"/>
      <c r="L1138" s="78"/>
      <c r="M1138" s="79"/>
      <c r="N1138" s="85"/>
      <c r="O1138" s="79"/>
      <c r="P1138" s="78"/>
      <c r="Q1138" s="1071"/>
    </row>
    <row r="1139" spans="9:17" ht="13.9" x14ac:dyDescent="0.4">
      <c r="I1139" s="1071"/>
      <c r="J1139" s="80" t="s">
        <v>212</v>
      </c>
      <c r="K1139" s="80" t="s">
        <v>838</v>
      </c>
      <c r="L1139" s="80" t="s">
        <v>2</v>
      </c>
      <c r="M1139" s="80" t="s">
        <v>21</v>
      </c>
      <c r="N1139" s="80" t="s">
        <v>174</v>
      </c>
      <c r="O1139" s="80" t="s">
        <v>14</v>
      </c>
      <c r="P1139" s="80" t="s">
        <v>890</v>
      </c>
      <c r="Q1139" s="1071"/>
    </row>
    <row r="1140" spans="9:17" ht="13.9" x14ac:dyDescent="0.4">
      <c r="I1140" s="1073">
        <f>IF($A$1=19,I1135+1,0)</f>
        <v>0</v>
      </c>
      <c r="J1140" s="159" t="str">
        <f>A4_Chem_Prices!N$19</f>
        <v>Besiege</v>
      </c>
      <c r="K1140" s="1350" t="s">
        <v>839</v>
      </c>
      <c r="L1140" s="160" t="str">
        <f>A4_Chem_Prices!O$19</f>
        <v>oz</v>
      </c>
      <c r="M1140" s="159">
        <f>A4_Chem_Prices!P$19</f>
        <v>1.98</v>
      </c>
      <c r="N1140" s="157">
        <v>9</v>
      </c>
      <c r="O1140" s="82">
        <f t="shared" ref="O1140:O1149" si="230">M1140*N1140</f>
        <v>17.82</v>
      </c>
      <c r="P1140" s="1449">
        <f>N1140</f>
        <v>9</v>
      </c>
      <c r="Q1140" s="1071">
        <f>Q1122</f>
        <v>0</v>
      </c>
    </row>
    <row r="1141" spans="9:17" ht="13.9" x14ac:dyDescent="0.4">
      <c r="I1141" s="1073">
        <f t="shared" ref="I1141:I1149" si="231">IF($A$1=19,I1140+1,0)</f>
        <v>0</v>
      </c>
      <c r="J1141" s="159" t="s">
        <v>19</v>
      </c>
      <c r="K1141" s="1350" t="s">
        <v>839</v>
      </c>
      <c r="L1141" s="160"/>
      <c r="M1141" s="159">
        <v>0</v>
      </c>
      <c r="N1141" s="157">
        <v>0</v>
      </c>
      <c r="O1141" s="82">
        <f t="shared" si="230"/>
        <v>0</v>
      </c>
      <c r="P1141" s="158"/>
      <c r="Q1141" s="1071">
        <f>Q1140</f>
        <v>0</v>
      </c>
    </row>
    <row r="1142" spans="9:17" ht="13.9" x14ac:dyDescent="0.4">
      <c r="I1142" s="1073">
        <f t="shared" si="231"/>
        <v>0</v>
      </c>
      <c r="J1142" s="159" t="s">
        <v>19</v>
      </c>
      <c r="K1142" s="1350" t="s">
        <v>839</v>
      </c>
      <c r="L1142" s="160"/>
      <c r="M1142" s="159">
        <v>0</v>
      </c>
      <c r="N1142" s="157">
        <v>0</v>
      </c>
      <c r="O1142" s="82">
        <f t="shared" si="230"/>
        <v>0</v>
      </c>
      <c r="P1142" s="158"/>
      <c r="Q1142" s="1071">
        <f t="shared" ref="Q1142:Q1149" si="232">Q1141</f>
        <v>0</v>
      </c>
    </row>
    <row r="1143" spans="9:17" ht="13.9" x14ac:dyDescent="0.4">
      <c r="I1143" s="1073">
        <f t="shared" si="231"/>
        <v>0</v>
      </c>
      <c r="J1143" s="159" t="s">
        <v>19</v>
      </c>
      <c r="K1143" s="1350" t="s">
        <v>839</v>
      </c>
      <c r="L1143" s="160"/>
      <c r="M1143" s="159">
        <v>0</v>
      </c>
      <c r="N1143" s="157">
        <v>0</v>
      </c>
      <c r="O1143" s="82">
        <f t="shared" si="230"/>
        <v>0</v>
      </c>
      <c r="P1143" s="158"/>
      <c r="Q1143" s="1071">
        <f t="shared" si="232"/>
        <v>0</v>
      </c>
    </row>
    <row r="1144" spans="9:17" ht="13.9" x14ac:dyDescent="0.4">
      <c r="I1144" s="1073">
        <f t="shared" si="231"/>
        <v>0</v>
      </c>
      <c r="J1144" s="159" t="s">
        <v>19</v>
      </c>
      <c r="K1144" s="1350" t="s">
        <v>839</v>
      </c>
      <c r="L1144" s="160"/>
      <c r="M1144" s="159">
        <v>0</v>
      </c>
      <c r="N1144" s="157">
        <v>0</v>
      </c>
      <c r="O1144" s="82">
        <f t="shared" si="230"/>
        <v>0</v>
      </c>
      <c r="P1144" s="158"/>
      <c r="Q1144" s="1071">
        <f t="shared" si="232"/>
        <v>0</v>
      </c>
    </row>
    <row r="1145" spans="9:17" ht="13.9" x14ac:dyDescent="0.4">
      <c r="I1145" s="1073">
        <f t="shared" si="231"/>
        <v>0</v>
      </c>
      <c r="J1145" s="159" t="s">
        <v>19</v>
      </c>
      <c r="K1145" s="1350" t="s">
        <v>839</v>
      </c>
      <c r="L1145" s="160"/>
      <c r="M1145" s="159">
        <v>0</v>
      </c>
      <c r="N1145" s="157">
        <v>0</v>
      </c>
      <c r="O1145" s="82">
        <f t="shared" si="230"/>
        <v>0</v>
      </c>
      <c r="P1145" s="158"/>
      <c r="Q1145" s="1071">
        <f t="shared" si="232"/>
        <v>0</v>
      </c>
    </row>
    <row r="1146" spans="9:17" ht="13.9" x14ac:dyDescent="0.4">
      <c r="I1146" s="1073">
        <f t="shared" si="231"/>
        <v>0</v>
      </c>
      <c r="J1146" s="159" t="s">
        <v>19</v>
      </c>
      <c r="K1146" s="1350" t="s">
        <v>839</v>
      </c>
      <c r="L1146" s="160"/>
      <c r="M1146" s="159">
        <v>0</v>
      </c>
      <c r="N1146" s="157">
        <v>0</v>
      </c>
      <c r="O1146" s="82">
        <f t="shared" si="230"/>
        <v>0</v>
      </c>
      <c r="P1146" s="158"/>
      <c r="Q1146" s="1071">
        <f t="shared" si="232"/>
        <v>0</v>
      </c>
    </row>
    <row r="1147" spans="9:17" ht="13.9" x14ac:dyDescent="0.4">
      <c r="I1147" s="1073">
        <f t="shared" si="231"/>
        <v>0</v>
      </c>
      <c r="J1147" s="159" t="s">
        <v>19</v>
      </c>
      <c r="K1147" s="1350" t="s">
        <v>839</v>
      </c>
      <c r="L1147" s="160"/>
      <c r="M1147" s="159">
        <v>0</v>
      </c>
      <c r="N1147" s="157">
        <v>0</v>
      </c>
      <c r="O1147" s="82">
        <f t="shared" si="230"/>
        <v>0</v>
      </c>
      <c r="P1147" s="158"/>
      <c r="Q1147" s="1071">
        <f t="shared" si="232"/>
        <v>0</v>
      </c>
    </row>
    <row r="1148" spans="9:17" ht="13.9" x14ac:dyDescent="0.4">
      <c r="I1148" s="1073">
        <f t="shared" si="231"/>
        <v>0</v>
      </c>
      <c r="J1148" s="159" t="s">
        <v>19</v>
      </c>
      <c r="K1148" s="1350" t="s">
        <v>839</v>
      </c>
      <c r="L1148" s="160"/>
      <c r="M1148" s="159">
        <v>0</v>
      </c>
      <c r="N1148" s="157">
        <v>0</v>
      </c>
      <c r="O1148" s="82">
        <f t="shared" si="230"/>
        <v>0</v>
      </c>
      <c r="P1148" s="158"/>
      <c r="Q1148" s="1071">
        <f t="shared" si="232"/>
        <v>0</v>
      </c>
    </row>
    <row r="1149" spans="9:17" ht="13.9" x14ac:dyDescent="0.4">
      <c r="I1149" s="1073">
        <f t="shared" si="231"/>
        <v>0</v>
      </c>
      <c r="J1149" s="159" t="s">
        <v>19</v>
      </c>
      <c r="K1149" s="1350" t="s">
        <v>839</v>
      </c>
      <c r="L1149" s="160"/>
      <c r="M1149" s="159">
        <v>0</v>
      </c>
      <c r="N1149" s="157">
        <v>0</v>
      </c>
      <c r="O1149" s="82">
        <f t="shared" si="230"/>
        <v>0</v>
      </c>
      <c r="P1149" s="158"/>
      <c r="Q1149" s="1071">
        <f t="shared" si="232"/>
        <v>0</v>
      </c>
    </row>
    <row r="1150" spans="9:17" ht="13.9" x14ac:dyDescent="0.4">
      <c r="I1150" s="1071"/>
      <c r="J1150" s="86" t="s">
        <v>22</v>
      </c>
      <c r="K1150" s="86"/>
      <c r="L1150" s="86"/>
      <c r="M1150" s="81"/>
      <c r="N1150" s="87"/>
      <c r="O1150" s="88">
        <f>SUM(O1140:O1149)</f>
        <v>17.82</v>
      </c>
      <c r="P1150" s="86"/>
      <c r="Q1150" s="1071"/>
    </row>
    <row r="1151" spans="9:17" ht="13.9" x14ac:dyDescent="0.4">
      <c r="I1151" s="1071"/>
      <c r="J1151" s="83"/>
      <c r="K1151" s="83"/>
      <c r="L1151" s="83"/>
      <c r="M1151" s="83"/>
      <c r="N1151" s="84"/>
      <c r="O1151" s="83"/>
      <c r="P1151" s="83"/>
      <c r="Q1151" s="1071"/>
    </row>
    <row r="1152" spans="9:17" ht="13.9" x14ac:dyDescent="0.4">
      <c r="I1152" s="1071"/>
      <c r="J1152" s="78" t="str">
        <f>IF(OR(A2_Budget_Look_Up!$B$7=1,A2_Budget_Look_Up!$B$13=1),"Nematicide Detail", "Fungicide Detail")</f>
        <v>Fungicide Detail</v>
      </c>
      <c r="K1152" s="78"/>
      <c r="L1152" s="78"/>
      <c r="M1152" s="79"/>
      <c r="N1152" s="85"/>
      <c r="O1152" s="79"/>
      <c r="P1152" s="78"/>
      <c r="Q1152" s="1071"/>
    </row>
    <row r="1153" spans="9:17" ht="13.9" x14ac:dyDescent="0.4">
      <c r="I1153" s="1071"/>
      <c r="J1153" s="80" t="s">
        <v>212</v>
      </c>
      <c r="K1153" s="80" t="s">
        <v>838</v>
      </c>
      <c r="L1153" s="80" t="s">
        <v>2</v>
      </c>
      <c r="M1153" s="80" t="s">
        <v>21</v>
      </c>
      <c r="N1153" s="80" t="s">
        <v>174</v>
      </c>
      <c r="O1153" s="80" t="s">
        <v>14</v>
      </c>
      <c r="P1153" s="80" t="s">
        <v>890</v>
      </c>
      <c r="Q1153" s="1071"/>
    </row>
    <row r="1154" spans="9:17" ht="13.9" x14ac:dyDescent="0.4">
      <c r="I1154" s="1073">
        <f>IF($A$1=19,I1149+1,0)</f>
        <v>0</v>
      </c>
      <c r="J1154" s="156" t="str">
        <f>A4_Chem_Prices!N$32</f>
        <v>Quadris Top</v>
      </c>
      <c r="K1154" s="1350" t="s">
        <v>839</v>
      </c>
      <c r="L1154" s="158" t="str">
        <f>A4_Chem_Prices!O$32</f>
        <v>oz</v>
      </c>
      <c r="M1154" s="159">
        <f>A4_Chem_Prices!P$32</f>
        <v>1.315390625</v>
      </c>
      <c r="N1154" s="157">
        <v>10</v>
      </c>
      <c r="O1154" s="82">
        <f>M1154*N1154</f>
        <v>13.15390625</v>
      </c>
      <c r="P1154" s="1449">
        <f>N1154</f>
        <v>10</v>
      </c>
      <c r="Q1154" s="1071">
        <f>Q1149</f>
        <v>0</v>
      </c>
    </row>
    <row r="1155" spans="9:17" ht="13.9" x14ac:dyDescent="0.4">
      <c r="I1155" s="1073">
        <f>IF($A$1=19,I1154+1,0)</f>
        <v>0</v>
      </c>
      <c r="J1155" s="156" t="s">
        <v>19</v>
      </c>
      <c r="K1155" s="1350" t="s">
        <v>839</v>
      </c>
      <c r="L1155" s="158"/>
      <c r="M1155" s="159">
        <v>0</v>
      </c>
      <c r="N1155" s="157">
        <v>0</v>
      </c>
      <c r="O1155" s="82">
        <f>M1155*N1155</f>
        <v>0</v>
      </c>
      <c r="P1155" s="158"/>
      <c r="Q1155" s="1071">
        <f>Q1154</f>
        <v>0</v>
      </c>
    </row>
    <row r="1156" spans="9:17" ht="13.9" x14ac:dyDescent="0.4">
      <c r="I1156" s="1071"/>
      <c r="J1156" s="86" t="s">
        <v>22</v>
      </c>
      <c r="K1156" s="86"/>
      <c r="L1156" s="86"/>
      <c r="M1156" s="81"/>
      <c r="N1156" s="87"/>
      <c r="O1156" s="88">
        <f>SUM(O1154:O1155)</f>
        <v>13.15390625</v>
      </c>
      <c r="P1156" s="86"/>
      <c r="Q1156" s="1071"/>
    </row>
    <row r="1157" spans="9:17" ht="13.9" x14ac:dyDescent="0.4">
      <c r="I1157" s="1071"/>
      <c r="J1157" s="83"/>
      <c r="K1157" s="83"/>
      <c r="L1157" s="83"/>
      <c r="M1157" s="83"/>
      <c r="N1157" s="84"/>
      <c r="O1157" s="83"/>
      <c r="P1157" s="83"/>
      <c r="Q1157" s="1071"/>
    </row>
    <row r="1158" spans="9:17" ht="13.9" x14ac:dyDescent="0.4">
      <c r="I1158" s="1071"/>
      <c r="J1158" s="78" t="str">
        <f>IF(A2_Budget_Look_Up!$B$7=1,"Growth Regulator Detail", IF(A2_Budget_Look_Up!$B$13=1,"Fungicide Detail","Other Chemical Detail"))</f>
        <v>Other Chemical Detail</v>
      </c>
      <c r="K1158" s="78"/>
      <c r="L1158" s="78"/>
      <c r="M1158" s="79"/>
      <c r="N1158" s="85"/>
      <c r="O1158" s="79"/>
      <c r="P1158" s="78"/>
      <c r="Q1158" s="1071"/>
    </row>
    <row r="1159" spans="9:17" ht="13.9" x14ac:dyDescent="0.4">
      <c r="I1159" s="1071"/>
      <c r="J1159" s="80" t="s">
        <v>212</v>
      </c>
      <c r="K1159" s="80" t="s">
        <v>838</v>
      </c>
      <c r="L1159" s="80" t="s">
        <v>2</v>
      </c>
      <c r="M1159" s="80" t="s">
        <v>21</v>
      </c>
      <c r="N1159" s="80" t="s">
        <v>174</v>
      </c>
      <c r="O1159" s="80" t="s">
        <v>14</v>
      </c>
      <c r="P1159" s="80" t="s">
        <v>890</v>
      </c>
      <c r="Q1159" s="1071"/>
    </row>
    <row r="1160" spans="9:17" ht="13.9" x14ac:dyDescent="0.4">
      <c r="I1160" s="1073">
        <f>IF($A$1=19,I1155+1,0)</f>
        <v>0</v>
      </c>
      <c r="J1160" s="156" t="s">
        <v>19</v>
      </c>
      <c r="K1160" s="1350" t="s">
        <v>839</v>
      </c>
      <c r="L1160" s="158"/>
      <c r="M1160" s="159">
        <v>0</v>
      </c>
      <c r="N1160" s="157">
        <v>0</v>
      </c>
      <c r="O1160" s="82">
        <f t="shared" ref="O1160:O1166" si="233">M1160*N1160</f>
        <v>0</v>
      </c>
      <c r="P1160" s="158"/>
      <c r="Q1160" s="1071">
        <f>Q1155</f>
        <v>0</v>
      </c>
    </row>
    <row r="1161" spans="9:17" ht="13.9" x14ac:dyDescent="0.4">
      <c r="I1161" s="1073">
        <f t="shared" ref="I1161:I1166" si="234">IF($A$1=19,I1160+1,0)</f>
        <v>0</v>
      </c>
      <c r="J1161" s="156" t="s">
        <v>19</v>
      </c>
      <c r="K1161" s="1350" t="s">
        <v>839</v>
      </c>
      <c r="L1161" s="158"/>
      <c r="M1161" s="159">
        <v>0</v>
      </c>
      <c r="N1161" s="157">
        <v>0</v>
      </c>
      <c r="O1161" s="82">
        <f t="shared" si="233"/>
        <v>0</v>
      </c>
      <c r="P1161" s="158"/>
      <c r="Q1161" s="1071">
        <f t="shared" ref="Q1161:Q1166" si="235">Q1160</f>
        <v>0</v>
      </c>
    </row>
    <row r="1162" spans="9:17" ht="13.9" x14ac:dyDescent="0.4">
      <c r="I1162" s="1073">
        <f t="shared" si="234"/>
        <v>0</v>
      </c>
      <c r="J1162" s="156" t="s">
        <v>19</v>
      </c>
      <c r="K1162" s="1350" t="s">
        <v>839</v>
      </c>
      <c r="L1162" s="158"/>
      <c r="M1162" s="159">
        <v>0</v>
      </c>
      <c r="N1162" s="157">
        <v>0</v>
      </c>
      <c r="O1162" s="82">
        <f t="shared" si="233"/>
        <v>0</v>
      </c>
      <c r="P1162" s="158"/>
      <c r="Q1162" s="1071">
        <f t="shared" si="235"/>
        <v>0</v>
      </c>
    </row>
    <row r="1163" spans="9:17" ht="13.9" x14ac:dyDescent="0.4">
      <c r="I1163" s="1073">
        <f t="shared" si="234"/>
        <v>0</v>
      </c>
      <c r="J1163" s="156" t="s">
        <v>19</v>
      </c>
      <c r="K1163" s="1350" t="s">
        <v>839</v>
      </c>
      <c r="L1163" s="158"/>
      <c r="M1163" s="159">
        <v>0</v>
      </c>
      <c r="N1163" s="157">
        <v>0</v>
      </c>
      <c r="O1163" s="82">
        <f t="shared" si="233"/>
        <v>0</v>
      </c>
      <c r="P1163" s="158"/>
      <c r="Q1163" s="1071">
        <f t="shared" si="235"/>
        <v>0</v>
      </c>
    </row>
    <row r="1164" spans="9:17" ht="13.9" x14ac:dyDescent="0.4">
      <c r="I1164" s="1073">
        <f t="shared" si="234"/>
        <v>0</v>
      </c>
      <c r="J1164" s="156" t="s">
        <v>19</v>
      </c>
      <c r="K1164" s="1350" t="s">
        <v>839</v>
      </c>
      <c r="L1164" s="158"/>
      <c r="M1164" s="159">
        <v>0</v>
      </c>
      <c r="N1164" s="157">
        <v>0</v>
      </c>
      <c r="O1164" s="82">
        <f t="shared" si="233"/>
        <v>0</v>
      </c>
      <c r="P1164" s="158"/>
      <c r="Q1164" s="1071">
        <f t="shared" si="235"/>
        <v>0</v>
      </c>
    </row>
    <row r="1165" spans="9:17" ht="13.9" x14ac:dyDescent="0.4">
      <c r="I1165" s="1073">
        <f t="shared" si="234"/>
        <v>0</v>
      </c>
      <c r="J1165" s="156" t="s">
        <v>19</v>
      </c>
      <c r="K1165" s="1350" t="s">
        <v>839</v>
      </c>
      <c r="L1165" s="158"/>
      <c r="M1165" s="159">
        <v>0</v>
      </c>
      <c r="N1165" s="157">
        <v>0</v>
      </c>
      <c r="O1165" s="82">
        <f t="shared" si="233"/>
        <v>0</v>
      </c>
      <c r="P1165" s="158"/>
      <c r="Q1165" s="1071">
        <f t="shared" si="235"/>
        <v>0</v>
      </c>
    </row>
    <row r="1166" spans="9:17" ht="13.9" x14ac:dyDescent="0.4">
      <c r="I1166" s="1073">
        <f t="shared" si="234"/>
        <v>0</v>
      </c>
      <c r="J1166" s="156" t="s">
        <v>19</v>
      </c>
      <c r="K1166" s="1350" t="s">
        <v>839</v>
      </c>
      <c r="L1166" s="158"/>
      <c r="M1166" s="159">
        <v>0</v>
      </c>
      <c r="N1166" s="157">
        <v>0</v>
      </c>
      <c r="O1166" s="82">
        <f t="shared" si="233"/>
        <v>0</v>
      </c>
      <c r="P1166" s="158"/>
      <c r="Q1166" s="1071">
        <f t="shared" si="235"/>
        <v>0</v>
      </c>
    </row>
    <row r="1167" spans="9:17" ht="13.9" x14ac:dyDescent="0.4">
      <c r="I1167" s="1071"/>
      <c r="J1167" s="86" t="s">
        <v>22</v>
      </c>
      <c r="K1167" s="86"/>
      <c r="L1167" s="86"/>
      <c r="M1167" s="81"/>
      <c r="N1167" s="87"/>
      <c r="O1167" s="88">
        <f>SUM(O1160:O1166)</f>
        <v>0</v>
      </c>
      <c r="P1167" s="86"/>
      <c r="Q1167" s="1071"/>
    </row>
    <row r="1169" spans="9:17" ht="13.9" x14ac:dyDescent="0.4">
      <c r="I1169" s="1071"/>
      <c r="J1169" s="78" t="str">
        <f>IF(A2_Budget_Look_Up!$B$7=1,"Defoliant Detail", "Other Chemical Detail")</f>
        <v>Other Chemical Detail</v>
      </c>
      <c r="K1169" s="78"/>
      <c r="L1169" s="78"/>
      <c r="M1169" s="79"/>
      <c r="N1169" s="85"/>
      <c r="O1169" s="79"/>
      <c r="P1169" s="78"/>
      <c r="Q1169" s="1071"/>
    </row>
    <row r="1170" spans="9:17" ht="13.9" x14ac:dyDescent="0.4">
      <c r="I1170" s="1071"/>
      <c r="J1170" s="80" t="s">
        <v>212</v>
      </c>
      <c r="K1170" s="80" t="s">
        <v>838</v>
      </c>
      <c r="L1170" s="80" t="s">
        <v>2</v>
      </c>
      <c r="M1170" s="80" t="s">
        <v>21</v>
      </c>
      <c r="N1170" s="80" t="s">
        <v>174</v>
      </c>
      <c r="O1170" s="80" t="s">
        <v>14</v>
      </c>
      <c r="P1170" s="80" t="s">
        <v>890</v>
      </c>
      <c r="Q1170" s="1071"/>
    </row>
    <row r="1171" spans="9:17" ht="13.9" x14ac:dyDescent="0.4">
      <c r="I1171" s="1073">
        <f>IF($A$1=19,I1166+1,0)</f>
        <v>0</v>
      </c>
      <c r="J1171" s="156" t="s">
        <v>19</v>
      </c>
      <c r="K1171" s="1350" t="s">
        <v>839</v>
      </c>
      <c r="L1171" s="158"/>
      <c r="M1171" s="159">
        <v>0</v>
      </c>
      <c r="N1171" s="157">
        <v>0</v>
      </c>
      <c r="O1171" s="82">
        <f t="shared" ref="O1171:O1177" si="236">M1171*N1171</f>
        <v>0</v>
      </c>
      <c r="P1171" s="158"/>
      <c r="Q1171" s="1071">
        <f>Q1166</f>
        <v>0</v>
      </c>
    </row>
    <row r="1172" spans="9:17" ht="13.9" x14ac:dyDescent="0.4">
      <c r="I1172" s="1073">
        <f t="shared" ref="I1172:I1177" si="237">IF($A$1=19,I1171+1,0)</f>
        <v>0</v>
      </c>
      <c r="J1172" s="156" t="s">
        <v>19</v>
      </c>
      <c r="K1172" s="1350" t="s">
        <v>839</v>
      </c>
      <c r="L1172" s="158"/>
      <c r="M1172" s="159">
        <v>0</v>
      </c>
      <c r="N1172" s="157">
        <v>0</v>
      </c>
      <c r="O1172" s="82">
        <f t="shared" si="236"/>
        <v>0</v>
      </c>
      <c r="P1172" s="158"/>
      <c r="Q1172" s="1071">
        <f t="shared" ref="Q1172:Q1177" si="238">Q1171</f>
        <v>0</v>
      </c>
    </row>
    <row r="1173" spans="9:17" ht="13.9" x14ac:dyDescent="0.4">
      <c r="I1173" s="1073">
        <f t="shared" si="237"/>
        <v>0</v>
      </c>
      <c r="J1173" s="156" t="s">
        <v>19</v>
      </c>
      <c r="K1173" s="1350" t="s">
        <v>839</v>
      </c>
      <c r="L1173" s="158"/>
      <c r="M1173" s="159">
        <v>0</v>
      </c>
      <c r="N1173" s="157">
        <v>0</v>
      </c>
      <c r="O1173" s="82">
        <f t="shared" si="236"/>
        <v>0</v>
      </c>
      <c r="P1173" s="158"/>
      <c r="Q1173" s="1071">
        <f t="shared" si="238"/>
        <v>0</v>
      </c>
    </row>
    <row r="1174" spans="9:17" ht="13.9" x14ac:dyDescent="0.4">
      <c r="I1174" s="1073">
        <f t="shared" si="237"/>
        <v>0</v>
      </c>
      <c r="J1174" s="156" t="s">
        <v>19</v>
      </c>
      <c r="K1174" s="1350" t="s">
        <v>839</v>
      </c>
      <c r="L1174" s="158"/>
      <c r="M1174" s="159">
        <v>0</v>
      </c>
      <c r="N1174" s="157">
        <v>0</v>
      </c>
      <c r="O1174" s="82">
        <f t="shared" si="236"/>
        <v>0</v>
      </c>
      <c r="P1174" s="158"/>
      <c r="Q1174" s="1071">
        <f t="shared" si="238"/>
        <v>0</v>
      </c>
    </row>
    <row r="1175" spans="9:17" ht="13.9" x14ac:dyDescent="0.4">
      <c r="I1175" s="1073">
        <f t="shared" si="237"/>
        <v>0</v>
      </c>
      <c r="J1175" s="156" t="s">
        <v>19</v>
      </c>
      <c r="K1175" s="1350" t="s">
        <v>839</v>
      </c>
      <c r="L1175" s="158"/>
      <c r="M1175" s="159">
        <v>0</v>
      </c>
      <c r="N1175" s="157">
        <v>0</v>
      </c>
      <c r="O1175" s="82">
        <f t="shared" si="236"/>
        <v>0</v>
      </c>
      <c r="P1175" s="158"/>
      <c r="Q1175" s="1071">
        <f t="shared" si="238"/>
        <v>0</v>
      </c>
    </row>
    <row r="1176" spans="9:17" ht="13.9" x14ac:dyDescent="0.4">
      <c r="I1176" s="1073">
        <f t="shared" si="237"/>
        <v>0</v>
      </c>
      <c r="J1176" s="156" t="s">
        <v>19</v>
      </c>
      <c r="K1176" s="1350" t="s">
        <v>839</v>
      </c>
      <c r="L1176" s="158"/>
      <c r="M1176" s="159">
        <v>0</v>
      </c>
      <c r="N1176" s="157">
        <v>0</v>
      </c>
      <c r="O1176" s="82">
        <f t="shared" si="236"/>
        <v>0</v>
      </c>
      <c r="P1176" s="158"/>
      <c r="Q1176" s="1071">
        <f t="shared" si="238"/>
        <v>0</v>
      </c>
    </row>
    <row r="1177" spans="9:17" ht="13.9" x14ac:dyDescent="0.4">
      <c r="I1177" s="1073">
        <f t="shared" si="237"/>
        <v>0</v>
      </c>
      <c r="J1177" s="156" t="s">
        <v>19</v>
      </c>
      <c r="K1177" s="1350" t="s">
        <v>839</v>
      </c>
      <c r="L1177" s="158"/>
      <c r="M1177" s="159">
        <v>0</v>
      </c>
      <c r="N1177" s="157">
        <v>0</v>
      </c>
      <c r="O1177" s="82">
        <f t="shared" si="236"/>
        <v>0</v>
      </c>
      <c r="P1177" s="158"/>
      <c r="Q1177" s="1071">
        <f t="shared" si="238"/>
        <v>0</v>
      </c>
    </row>
    <row r="1178" spans="9:17" ht="13.9" x14ac:dyDescent="0.4">
      <c r="I1178" s="1071"/>
      <c r="J1178" s="86" t="s">
        <v>22</v>
      </c>
      <c r="K1178" s="86"/>
      <c r="L1178" s="86"/>
      <c r="M1178" s="81"/>
      <c r="N1178" s="87"/>
      <c r="O1178" s="88">
        <f>SUM(O1171:O1177)</f>
        <v>0</v>
      </c>
      <c r="P1178" s="86"/>
      <c r="Q1178" s="1071"/>
    </row>
    <row r="1179" spans="9:17" ht="13.9" x14ac:dyDescent="0.4">
      <c r="I1179" s="1071"/>
      <c r="J1179" s="83"/>
      <c r="K1179" s="83"/>
      <c r="L1179" s="83"/>
      <c r="M1179" s="89"/>
      <c r="N1179" s="84"/>
      <c r="O1179" s="89"/>
      <c r="P1179" s="83"/>
      <c r="Q1179" s="1071"/>
    </row>
    <row r="1180" spans="9:17" ht="13.9" x14ac:dyDescent="0.4">
      <c r="I1180" s="1071"/>
      <c r="J1180" s="1168" t="str">
        <f>A2_Budget_Look_Up!H22</f>
        <v>RR2XtendFlex Soybeans, Pivot</v>
      </c>
      <c r="K1180" s="1168"/>
      <c r="L1180" s="1168">
        <f>A2_Budget_Look_Up!F22</f>
        <v>20</v>
      </c>
      <c r="M1180" s="1168"/>
      <c r="N1180" s="1168"/>
      <c r="O1180" s="1168"/>
      <c r="P1180" s="1168"/>
      <c r="Q1180" s="1071"/>
    </row>
    <row r="1181" spans="9:17" ht="13.9" x14ac:dyDescent="0.4">
      <c r="I1181" s="1071"/>
      <c r="J1181" s="83"/>
      <c r="K1181" s="83"/>
      <c r="L1181" s="83"/>
      <c r="M1181" s="83"/>
      <c r="N1181" s="84"/>
      <c r="O1181" s="83"/>
      <c r="P1181" s="83"/>
      <c r="Q1181" s="1071"/>
    </row>
    <row r="1182" spans="9:17" ht="13.9" x14ac:dyDescent="0.4">
      <c r="I1182" s="1071"/>
      <c r="J1182" s="78" t="s">
        <v>18</v>
      </c>
      <c r="K1182" s="78"/>
      <c r="L1182" s="78"/>
      <c r="M1182" s="79"/>
      <c r="N1182" s="85"/>
      <c r="O1182" s="79"/>
      <c r="P1182" s="78"/>
      <c r="Q1182" s="1071"/>
    </row>
    <row r="1183" spans="9:17" ht="13.9" x14ac:dyDescent="0.4">
      <c r="I1183" s="1071"/>
      <c r="J1183" s="80" t="s">
        <v>212</v>
      </c>
      <c r="K1183" s="80" t="s">
        <v>838</v>
      </c>
      <c r="L1183" s="80" t="s">
        <v>2</v>
      </c>
      <c r="M1183" s="80" t="s">
        <v>21</v>
      </c>
      <c r="N1183" s="80" t="s">
        <v>174</v>
      </c>
      <c r="O1183" s="80" t="s">
        <v>14</v>
      </c>
      <c r="P1183" s="80" t="s">
        <v>890</v>
      </c>
      <c r="Q1183" s="1071"/>
    </row>
    <row r="1184" spans="9:17" ht="13.9" x14ac:dyDescent="0.4">
      <c r="I1184" s="1073">
        <f>IF($A$1=20,1,0)</f>
        <v>0</v>
      </c>
      <c r="J1184" s="159" t="str">
        <f>A4_Chem_Prices!N$2</f>
        <v>Roundup Powermax 3</v>
      </c>
      <c r="K1184" s="1350" t="s">
        <v>839</v>
      </c>
      <c r="L1184" s="158" t="str">
        <f>A4_Chem_Prices!O$2</f>
        <v>oz</v>
      </c>
      <c r="M1184" s="159">
        <f>A4_Chem_Prices!P$2</f>
        <v>0.140625</v>
      </c>
      <c r="N1184" s="157">
        <v>32</v>
      </c>
      <c r="O1184" s="82">
        <f t="shared" ref="O1184:O1197" si="239">M1184*N1184</f>
        <v>4.5</v>
      </c>
      <c r="P1184" s="1449">
        <f>N1184</f>
        <v>32</v>
      </c>
      <c r="Q1184" s="1171">
        <f>IF(SUM(I1184:I1239)=820,L1180,0)</f>
        <v>0</v>
      </c>
    </row>
    <row r="1185" spans="9:17" ht="13.9" x14ac:dyDescent="0.4">
      <c r="I1185" s="1073">
        <f t="shared" ref="I1185:I1197" si="240">IF($A$1=20,I1184+1,0)</f>
        <v>0</v>
      </c>
      <c r="J1185" s="159" t="str">
        <f>A4_Chem_Prices!N$16</f>
        <v>Dicamba</v>
      </c>
      <c r="K1185" s="1350" t="s">
        <v>839</v>
      </c>
      <c r="L1185" s="160" t="str">
        <f>A4_Chem_Prices!O$16</f>
        <v>oz</v>
      </c>
      <c r="M1185" s="159">
        <f>A4_Chem_Prices!P$16</f>
        <v>0.26250000000000001</v>
      </c>
      <c r="N1185" s="157">
        <v>32</v>
      </c>
      <c r="O1185" s="82">
        <f t="shared" si="239"/>
        <v>8.4</v>
      </c>
      <c r="P1185" s="1449">
        <f>N1185</f>
        <v>32</v>
      </c>
      <c r="Q1185" s="1071">
        <f>Q1184</f>
        <v>0</v>
      </c>
    </row>
    <row r="1186" spans="9:17" ht="13.9" x14ac:dyDescent="0.4">
      <c r="I1186" s="1073">
        <f t="shared" si="240"/>
        <v>0</v>
      </c>
      <c r="J1186" s="159" t="str">
        <f>A4_Chem_Prices!Q$9</f>
        <v>Boundary</v>
      </c>
      <c r="K1186" s="1350" t="s">
        <v>839</v>
      </c>
      <c r="L1186" s="158" t="str">
        <f>A4_Chem_Prices!R$9</f>
        <v>oz</v>
      </c>
      <c r="M1186" s="159">
        <f>A4_Chem_Prices!S$9</f>
        <v>0.68414062499999995</v>
      </c>
      <c r="N1186" s="157">
        <v>32</v>
      </c>
      <c r="O1186" s="82">
        <f t="shared" si="239"/>
        <v>21.892499999999998</v>
      </c>
      <c r="P1186" s="1449">
        <f>N1186</f>
        <v>32</v>
      </c>
      <c r="Q1186" s="1071">
        <f t="shared" ref="Q1186:Q1197" si="241">Q1185</f>
        <v>0</v>
      </c>
    </row>
    <row r="1187" spans="9:17" ht="13.9" x14ac:dyDescent="0.4">
      <c r="I1187" s="1073">
        <f t="shared" si="240"/>
        <v>0</v>
      </c>
      <c r="J1187" s="159" t="str">
        <f>A4_Chem_Prices!N$2</f>
        <v>Roundup Powermax 3</v>
      </c>
      <c r="K1187" s="1350" t="s">
        <v>839</v>
      </c>
      <c r="L1187" s="158" t="str">
        <f>A4_Chem_Prices!O$2</f>
        <v>oz</v>
      </c>
      <c r="M1187" s="159">
        <f>A4_Chem_Prices!P$2</f>
        <v>0.140625</v>
      </c>
      <c r="N1187" s="157">
        <v>32</v>
      </c>
      <c r="O1187" s="82">
        <f t="shared" si="239"/>
        <v>4.5</v>
      </c>
      <c r="P1187" s="1449">
        <f>N1187</f>
        <v>32</v>
      </c>
      <c r="Q1187" s="1071">
        <f t="shared" si="241"/>
        <v>0</v>
      </c>
    </row>
    <row r="1188" spans="9:17" ht="13.9" x14ac:dyDescent="0.4">
      <c r="I1188" s="1073">
        <f t="shared" si="240"/>
        <v>0</v>
      </c>
      <c r="J1188" s="159" t="str">
        <f>A4_Chem_Prices!N$3</f>
        <v>2,4-D</v>
      </c>
      <c r="K1188" s="1350" t="s">
        <v>839</v>
      </c>
      <c r="L1188" s="160" t="str">
        <f>A4_Chem_Prices!O$3</f>
        <v>oz</v>
      </c>
      <c r="M1188" s="159">
        <f>A4_Chem_Prices!P$3</f>
        <v>0.2734375</v>
      </c>
      <c r="N1188" s="157">
        <v>32</v>
      </c>
      <c r="O1188" s="82">
        <f t="shared" si="239"/>
        <v>8.75</v>
      </c>
      <c r="P1188" s="160">
        <f>N1188*16</f>
        <v>512</v>
      </c>
      <c r="Q1188" s="1071">
        <f t="shared" si="241"/>
        <v>0</v>
      </c>
    </row>
    <row r="1189" spans="9:17" ht="13.9" x14ac:dyDescent="0.4">
      <c r="I1189" s="1073">
        <f t="shared" si="240"/>
        <v>0</v>
      </c>
      <c r="J1189" s="159" t="str">
        <f>A4_Chem_Prices!N$2</f>
        <v>Roundup Powermax 3</v>
      </c>
      <c r="K1189" s="1350" t="s">
        <v>839</v>
      </c>
      <c r="L1189" s="158" t="str">
        <f>A4_Chem_Prices!O$2</f>
        <v>oz</v>
      </c>
      <c r="M1189" s="159">
        <f>A4_Chem_Prices!P$2</f>
        <v>0.140625</v>
      </c>
      <c r="N1189" s="157">
        <v>32</v>
      </c>
      <c r="O1189" s="82">
        <f t="shared" si="239"/>
        <v>4.5</v>
      </c>
      <c r="P1189" s="1449">
        <f>N1189</f>
        <v>32</v>
      </c>
      <c r="Q1189" s="1071">
        <f t="shared" si="241"/>
        <v>0</v>
      </c>
    </row>
    <row r="1190" spans="9:17" ht="13.9" x14ac:dyDescent="0.4">
      <c r="I1190" s="1073">
        <f t="shared" si="240"/>
        <v>0</v>
      </c>
      <c r="J1190" s="159" t="str">
        <f>A4_Chem_Prices!N$11</f>
        <v>Zidua</v>
      </c>
      <c r="K1190" s="1350" t="s">
        <v>839</v>
      </c>
      <c r="L1190" s="160" t="str">
        <f>A4_Chem_Prices!O$11</f>
        <v>oz</v>
      </c>
      <c r="M1190" s="159">
        <f>A4_Chem_Prices!P$11</f>
        <v>5.7421875</v>
      </c>
      <c r="N1190" s="157">
        <v>3.5</v>
      </c>
      <c r="O1190" s="82">
        <f t="shared" si="239"/>
        <v>20.09765625</v>
      </c>
      <c r="P1190" s="160">
        <f>N1190*16</f>
        <v>56</v>
      </c>
      <c r="Q1190" s="1071">
        <f t="shared" si="241"/>
        <v>0</v>
      </c>
    </row>
    <row r="1191" spans="9:17" ht="13.9" x14ac:dyDescent="0.4">
      <c r="I1191" s="1073">
        <f t="shared" si="240"/>
        <v>0</v>
      </c>
      <c r="J1191" s="159" t="s">
        <v>19</v>
      </c>
      <c r="K1191" s="1350" t="s">
        <v>839</v>
      </c>
      <c r="L1191" s="160"/>
      <c r="M1191" s="159">
        <v>0</v>
      </c>
      <c r="N1191" s="157">
        <v>0</v>
      </c>
      <c r="O1191" s="82">
        <f t="shared" si="239"/>
        <v>0</v>
      </c>
      <c r="P1191" s="160"/>
      <c r="Q1191" s="1071">
        <f t="shared" si="241"/>
        <v>0</v>
      </c>
    </row>
    <row r="1192" spans="9:17" ht="13.9" x14ac:dyDescent="0.4">
      <c r="I1192" s="1073">
        <f t="shared" si="240"/>
        <v>0</v>
      </c>
      <c r="J1192" s="159" t="s">
        <v>19</v>
      </c>
      <c r="K1192" s="1350" t="s">
        <v>839</v>
      </c>
      <c r="L1192" s="160"/>
      <c r="M1192" s="159">
        <v>0</v>
      </c>
      <c r="N1192" s="157">
        <v>0</v>
      </c>
      <c r="O1192" s="82">
        <f t="shared" si="239"/>
        <v>0</v>
      </c>
      <c r="P1192" s="160"/>
      <c r="Q1192" s="1071">
        <f t="shared" si="241"/>
        <v>0</v>
      </c>
    </row>
    <row r="1193" spans="9:17" ht="13.9" x14ac:dyDescent="0.4">
      <c r="I1193" s="1073">
        <f t="shared" si="240"/>
        <v>0</v>
      </c>
      <c r="J1193" s="159" t="s">
        <v>19</v>
      </c>
      <c r="K1193" s="1350" t="s">
        <v>839</v>
      </c>
      <c r="L1193" s="160"/>
      <c r="M1193" s="159">
        <v>0</v>
      </c>
      <c r="N1193" s="157">
        <v>0</v>
      </c>
      <c r="O1193" s="82">
        <f t="shared" si="239"/>
        <v>0</v>
      </c>
      <c r="P1193" s="160"/>
      <c r="Q1193" s="1071">
        <f t="shared" si="241"/>
        <v>0</v>
      </c>
    </row>
    <row r="1194" spans="9:17" ht="13.9" x14ac:dyDescent="0.4">
      <c r="I1194" s="1073">
        <f t="shared" si="240"/>
        <v>0</v>
      </c>
      <c r="J1194" s="159" t="s">
        <v>19</v>
      </c>
      <c r="K1194" s="1350" t="s">
        <v>839</v>
      </c>
      <c r="L1194" s="160"/>
      <c r="M1194" s="159">
        <v>0</v>
      </c>
      <c r="N1194" s="157">
        <v>0</v>
      </c>
      <c r="O1194" s="82">
        <f t="shared" si="239"/>
        <v>0</v>
      </c>
      <c r="P1194" s="160"/>
      <c r="Q1194" s="1071">
        <f t="shared" si="241"/>
        <v>0</v>
      </c>
    </row>
    <row r="1195" spans="9:17" ht="13.9" x14ac:dyDescent="0.4">
      <c r="I1195" s="1073">
        <f t="shared" si="240"/>
        <v>0</v>
      </c>
      <c r="J1195" s="159" t="s">
        <v>19</v>
      </c>
      <c r="K1195" s="1350" t="s">
        <v>839</v>
      </c>
      <c r="L1195" s="160"/>
      <c r="M1195" s="159">
        <v>0</v>
      </c>
      <c r="N1195" s="157">
        <v>0</v>
      </c>
      <c r="O1195" s="82">
        <f t="shared" si="239"/>
        <v>0</v>
      </c>
      <c r="P1195" s="160"/>
      <c r="Q1195" s="1071">
        <f t="shared" si="241"/>
        <v>0</v>
      </c>
    </row>
    <row r="1196" spans="9:17" ht="13.9" x14ac:dyDescent="0.4">
      <c r="I1196" s="1073">
        <f t="shared" si="240"/>
        <v>0</v>
      </c>
      <c r="J1196" s="159" t="s">
        <v>19</v>
      </c>
      <c r="K1196" s="1350" t="s">
        <v>839</v>
      </c>
      <c r="L1196" s="160"/>
      <c r="M1196" s="159">
        <v>0</v>
      </c>
      <c r="N1196" s="157">
        <v>0</v>
      </c>
      <c r="O1196" s="82">
        <f t="shared" si="239"/>
        <v>0</v>
      </c>
      <c r="P1196" s="160"/>
      <c r="Q1196" s="1071">
        <f t="shared" si="241"/>
        <v>0</v>
      </c>
    </row>
    <row r="1197" spans="9:17" ht="13.9" x14ac:dyDescent="0.4">
      <c r="I1197" s="1073">
        <f t="shared" si="240"/>
        <v>0</v>
      </c>
      <c r="J1197" s="159" t="s">
        <v>19</v>
      </c>
      <c r="K1197" s="1350" t="s">
        <v>839</v>
      </c>
      <c r="L1197" s="160"/>
      <c r="M1197" s="159">
        <v>0</v>
      </c>
      <c r="N1197" s="157">
        <v>0</v>
      </c>
      <c r="O1197" s="82">
        <f t="shared" si="239"/>
        <v>0</v>
      </c>
      <c r="P1197" s="160"/>
      <c r="Q1197" s="1071">
        <f t="shared" si="241"/>
        <v>0</v>
      </c>
    </row>
    <row r="1198" spans="9:17" ht="13.9" x14ac:dyDescent="0.4">
      <c r="I1198" s="1071"/>
      <c r="J1198" s="86" t="s">
        <v>22</v>
      </c>
      <c r="K1198" s="86"/>
      <c r="L1198" s="86"/>
      <c r="M1198" s="81"/>
      <c r="N1198" s="87"/>
      <c r="O1198" s="88">
        <f>SUM(O1184:O1197)</f>
        <v>72.64015624999999</v>
      </c>
      <c r="P1198" s="86"/>
      <c r="Q1198" s="1071"/>
    </row>
    <row r="1199" spans="9:17" ht="13.9" x14ac:dyDescent="0.4">
      <c r="I1199" s="1071"/>
      <c r="O1199" s="83"/>
      <c r="P1199" s="83"/>
      <c r="Q1199" s="1071"/>
    </row>
    <row r="1200" spans="9:17" ht="13.9" x14ac:dyDescent="0.4">
      <c r="I1200" s="1071"/>
      <c r="J1200" s="78" t="s">
        <v>20</v>
      </c>
      <c r="K1200" s="78"/>
      <c r="L1200" s="78"/>
      <c r="M1200" s="79"/>
      <c r="N1200" s="85"/>
      <c r="O1200" s="79"/>
      <c r="P1200" s="78"/>
      <c r="Q1200" s="1071"/>
    </row>
    <row r="1201" spans="9:17" ht="13.9" x14ac:dyDescent="0.4">
      <c r="I1201" s="1071"/>
      <c r="J1201" s="80" t="s">
        <v>212</v>
      </c>
      <c r="K1201" s="80" t="s">
        <v>838</v>
      </c>
      <c r="L1201" s="80" t="s">
        <v>2</v>
      </c>
      <c r="M1201" s="80" t="s">
        <v>21</v>
      </c>
      <c r="N1201" s="80" t="s">
        <v>174</v>
      </c>
      <c r="O1201" s="80" t="s">
        <v>14</v>
      </c>
      <c r="P1201" s="80" t="s">
        <v>890</v>
      </c>
      <c r="Q1201" s="1071"/>
    </row>
    <row r="1202" spans="9:17" ht="13.9" x14ac:dyDescent="0.4">
      <c r="I1202" s="1073">
        <f>IF($A$1=20,I1197+1,0)</f>
        <v>0</v>
      </c>
      <c r="J1202" s="159" t="str">
        <f>A4_Chem_Prices!N$19</f>
        <v>Besiege</v>
      </c>
      <c r="K1202" s="1350" t="s">
        <v>839</v>
      </c>
      <c r="L1202" s="160" t="str">
        <f>A4_Chem_Prices!O$19</f>
        <v>oz</v>
      </c>
      <c r="M1202" s="159">
        <f>A4_Chem_Prices!P$19</f>
        <v>1.98</v>
      </c>
      <c r="N1202" s="157">
        <v>9</v>
      </c>
      <c r="O1202" s="82">
        <f t="shared" ref="O1202:O1211" si="242">M1202*N1202</f>
        <v>17.82</v>
      </c>
      <c r="P1202" s="1449">
        <f>N1202</f>
        <v>9</v>
      </c>
      <c r="Q1202" s="1071">
        <f>Q1184</f>
        <v>0</v>
      </c>
    </row>
    <row r="1203" spans="9:17" ht="13.9" x14ac:dyDescent="0.4">
      <c r="I1203" s="1073">
        <f t="shared" ref="I1203:I1211" si="243">IF($A$1=20,I1202+1,0)</f>
        <v>0</v>
      </c>
      <c r="J1203" s="159" t="s">
        <v>19</v>
      </c>
      <c r="K1203" s="1350" t="s">
        <v>839</v>
      </c>
      <c r="L1203" s="160"/>
      <c r="M1203" s="159">
        <v>0</v>
      </c>
      <c r="N1203" s="157">
        <v>0</v>
      </c>
      <c r="O1203" s="82">
        <f t="shared" si="242"/>
        <v>0</v>
      </c>
      <c r="P1203" s="158"/>
      <c r="Q1203" s="1071">
        <f>Q1202</f>
        <v>0</v>
      </c>
    </row>
    <row r="1204" spans="9:17" ht="13.9" x14ac:dyDescent="0.4">
      <c r="I1204" s="1073">
        <f t="shared" si="243"/>
        <v>0</v>
      </c>
      <c r="J1204" s="159" t="s">
        <v>19</v>
      </c>
      <c r="K1204" s="1350" t="s">
        <v>839</v>
      </c>
      <c r="L1204" s="160"/>
      <c r="M1204" s="159">
        <v>0</v>
      </c>
      <c r="N1204" s="157">
        <v>0</v>
      </c>
      <c r="O1204" s="82">
        <f t="shared" si="242"/>
        <v>0</v>
      </c>
      <c r="P1204" s="158"/>
      <c r="Q1204" s="1071">
        <f t="shared" ref="Q1204:Q1211" si="244">Q1203</f>
        <v>0</v>
      </c>
    </row>
    <row r="1205" spans="9:17" ht="13.9" x14ac:dyDescent="0.4">
      <c r="I1205" s="1073">
        <f t="shared" si="243"/>
        <v>0</v>
      </c>
      <c r="J1205" s="159" t="s">
        <v>19</v>
      </c>
      <c r="K1205" s="1350" t="s">
        <v>839</v>
      </c>
      <c r="L1205" s="160"/>
      <c r="M1205" s="159">
        <v>0</v>
      </c>
      <c r="N1205" s="157">
        <v>0</v>
      </c>
      <c r="O1205" s="82">
        <f t="shared" si="242"/>
        <v>0</v>
      </c>
      <c r="P1205" s="158"/>
      <c r="Q1205" s="1071">
        <f t="shared" si="244"/>
        <v>0</v>
      </c>
    </row>
    <row r="1206" spans="9:17" ht="13.9" x14ac:dyDescent="0.4">
      <c r="I1206" s="1073">
        <f t="shared" si="243"/>
        <v>0</v>
      </c>
      <c r="J1206" s="159" t="s">
        <v>19</v>
      </c>
      <c r="K1206" s="1350" t="s">
        <v>839</v>
      </c>
      <c r="L1206" s="160"/>
      <c r="M1206" s="159">
        <v>0</v>
      </c>
      <c r="N1206" s="157">
        <v>0</v>
      </c>
      <c r="O1206" s="82">
        <f t="shared" si="242"/>
        <v>0</v>
      </c>
      <c r="P1206" s="158"/>
      <c r="Q1206" s="1071">
        <f t="shared" si="244"/>
        <v>0</v>
      </c>
    </row>
    <row r="1207" spans="9:17" ht="13.9" x14ac:dyDescent="0.4">
      <c r="I1207" s="1073">
        <f t="shared" si="243"/>
        <v>0</v>
      </c>
      <c r="J1207" s="159" t="s">
        <v>19</v>
      </c>
      <c r="K1207" s="1350" t="s">
        <v>839</v>
      </c>
      <c r="L1207" s="160"/>
      <c r="M1207" s="159">
        <v>0</v>
      </c>
      <c r="N1207" s="157">
        <v>0</v>
      </c>
      <c r="O1207" s="82">
        <f t="shared" si="242"/>
        <v>0</v>
      </c>
      <c r="P1207" s="158"/>
      <c r="Q1207" s="1071">
        <f t="shared" si="244"/>
        <v>0</v>
      </c>
    </row>
    <row r="1208" spans="9:17" ht="13.9" x14ac:dyDescent="0.4">
      <c r="I1208" s="1073">
        <f t="shared" si="243"/>
        <v>0</v>
      </c>
      <c r="J1208" s="159" t="s">
        <v>19</v>
      </c>
      <c r="K1208" s="1350" t="s">
        <v>839</v>
      </c>
      <c r="L1208" s="160"/>
      <c r="M1208" s="159">
        <v>0</v>
      </c>
      <c r="N1208" s="157">
        <v>0</v>
      </c>
      <c r="O1208" s="82">
        <f t="shared" si="242"/>
        <v>0</v>
      </c>
      <c r="P1208" s="158"/>
      <c r="Q1208" s="1071">
        <f t="shared" si="244"/>
        <v>0</v>
      </c>
    </row>
    <row r="1209" spans="9:17" ht="13.9" x14ac:dyDescent="0.4">
      <c r="I1209" s="1073">
        <f t="shared" si="243"/>
        <v>0</v>
      </c>
      <c r="J1209" s="159" t="s">
        <v>19</v>
      </c>
      <c r="K1209" s="1350" t="s">
        <v>839</v>
      </c>
      <c r="L1209" s="160"/>
      <c r="M1209" s="159">
        <v>0</v>
      </c>
      <c r="N1209" s="157">
        <v>0</v>
      </c>
      <c r="O1209" s="82">
        <f t="shared" si="242"/>
        <v>0</v>
      </c>
      <c r="P1209" s="158"/>
      <c r="Q1209" s="1071">
        <f t="shared" si="244"/>
        <v>0</v>
      </c>
    </row>
    <row r="1210" spans="9:17" ht="13.9" x14ac:dyDescent="0.4">
      <c r="I1210" s="1073">
        <f t="shared" si="243"/>
        <v>0</v>
      </c>
      <c r="J1210" s="159" t="s">
        <v>19</v>
      </c>
      <c r="K1210" s="1350" t="s">
        <v>839</v>
      </c>
      <c r="L1210" s="160"/>
      <c r="M1210" s="159">
        <v>0</v>
      </c>
      <c r="N1210" s="157">
        <v>0</v>
      </c>
      <c r="O1210" s="82">
        <f t="shared" si="242"/>
        <v>0</v>
      </c>
      <c r="P1210" s="158"/>
      <c r="Q1210" s="1071">
        <f t="shared" si="244"/>
        <v>0</v>
      </c>
    </row>
    <row r="1211" spans="9:17" ht="13.9" x14ac:dyDescent="0.4">
      <c r="I1211" s="1073">
        <f t="shared" si="243"/>
        <v>0</v>
      </c>
      <c r="J1211" s="159" t="s">
        <v>19</v>
      </c>
      <c r="K1211" s="1350" t="s">
        <v>839</v>
      </c>
      <c r="L1211" s="160"/>
      <c r="M1211" s="159">
        <v>0</v>
      </c>
      <c r="N1211" s="157">
        <v>0</v>
      </c>
      <c r="O1211" s="82">
        <f t="shared" si="242"/>
        <v>0</v>
      </c>
      <c r="P1211" s="158"/>
      <c r="Q1211" s="1071">
        <f t="shared" si="244"/>
        <v>0</v>
      </c>
    </row>
    <row r="1212" spans="9:17" ht="13.9" x14ac:dyDescent="0.4">
      <c r="I1212" s="1071"/>
      <c r="J1212" s="86" t="s">
        <v>22</v>
      </c>
      <c r="K1212" s="86"/>
      <c r="L1212" s="86"/>
      <c r="M1212" s="81"/>
      <c r="N1212" s="87"/>
      <c r="O1212" s="88">
        <f>SUM(O1202:O1211)</f>
        <v>17.82</v>
      </c>
      <c r="P1212" s="86"/>
      <c r="Q1212" s="1071"/>
    </row>
    <row r="1213" spans="9:17" ht="13.9" x14ac:dyDescent="0.4">
      <c r="I1213" s="1071"/>
      <c r="J1213" s="83"/>
      <c r="K1213" s="83"/>
      <c r="L1213" s="83"/>
      <c r="M1213" s="83"/>
      <c r="N1213" s="84"/>
      <c r="O1213" s="83"/>
      <c r="P1213" s="83"/>
      <c r="Q1213" s="1071"/>
    </row>
    <row r="1214" spans="9:17" ht="13.9" x14ac:dyDescent="0.4">
      <c r="I1214" s="1071"/>
      <c r="J1214" s="78" t="str">
        <f>IF(OR(A2_Budget_Look_Up!$B$7=1,A2_Budget_Look_Up!$B$13=1),"Nematicide Detail", "Fungicide Detail")</f>
        <v>Fungicide Detail</v>
      </c>
      <c r="K1214" s="78"/>
      <c r="L1214" s="78"/>
      <c r="M1214" s="79"/>
      <c r="N1214" s="85"/>
      <c r="O1214" s="79"/>
      <c r="P1214" s="78"/>
      <c r="Q1214" s="1071"/>
    </row>
    <row r="1215" spans="9:17" ht="13.9" x14ac:dyDescent="0.4">
      <c r="I1215" s="1071"/>
      <c r="J1215" s="80" t="s">
        <v>212</v>
      </c>
      <c r="K1215" s="80" t="s">
        <v>838</v>
      </c>
      <c r="L1215" s="80" t="s">
        <v>2</v>
      </c>
      <c r="M1215" s="80" t="s">
        <v>21</v>
      </c>
      <c r="N1215" s="80" t="s">
        <v>174</v>
      </c>
      <c r="O1215" s="80" t="s">
        <v>14</v>
      </c>
      <c r="P1215" s="80" t="s">
        <v>890</v>
      </c>
      <c r="Q1215" s="1071"/>
    </row>
    <row r="1216" spans="9:17" ht="13.9" x14ac:dyDescent="0.4">
      <c r="I1216" s="1073">
        <f>IF($A$1=20,I1211+1,0)</f>
        <v>0</v>
      </c>
      <c r="J1216" s="156" t="str">
        <f>A4_Chem_Prices!N$32</f>
        <v>Quadris Top</v>
      </c>
      <c r="K1216" s="1350" t="s">
        <v>839</v>
      </c>
      <c r="L1216" s="158" t="str">
        <f>A4_Chem_Prices!O$32</f>
        <v>oz</v>
      </c>
      <c r="M1216" s="159">
        <f>A4_Chem_Prices!P$32</f>
        <v>1.315390625</v>
      </c>
      <c r="N1216" s="157">
        <v>10</v>
      </c>
      <c r="O1216" s="82">
        <f>M1216*N1216</f>
        <v>13.15390625</v>
      </c>
      <c r="P1216" s="1449">
        <f>N1216</f>
        <v>10</v>
      </c>
      <c r="Q1216" s="1071">
        <f>Q1211</f>
        <v>0</v>
      </c>
    </row>
    <row r="1217" spans="9:17" ht="13.9" x14ac:dyDescent="0.4">
      <c r="I1217" s="1073">
        <f>IF($A$1=20,I1216+1,0)</f>
        <v>0</v>
      </c>
      <c r="J1217" s="156" t="s">
        <v>19</v>
      </c>
      <c r="K1217" s="1350" t="s">
        <v>839</v>
      </c>
      <c r="L1217" s="158"/>
      <c r="M1217" s="159">
        <v>0</v>
      </c>
      <c r="N1217" s="157">
        <v>0</v>
      </c>
      <c r="O1217" s="82">
        <f>M1217*N1217</f>
        <v>0</v>
      </c>
      <c r="P1217" s="158"/>
      <c r="Q1217" s="1071">
        <f>Q1216</f>
        <v>0</v>
      </c>
    </row>
    <row r="1218" spans="9:17" ht="13.9" x14ac:dyDescent="0.4">
      <c r="I1218" s="1071"/>
      <c r="J1218" s="86" t="s">
        <v>22</v>
      </c>
      <c r="K1218" s="86"/>
      <c r="L1218" s="86"/>
      <c r="M1218" s="81"/>
      <c r="N1218" s="87"/>
      <c r="O1218" s="88">
        <f>SUM(O1216:O1217)</f>
        <v>13.15390625</v>
      </c>
      <c r="P1218" s="86"/>
      <c r="Q1218" s="1071"/>
    </row>
    <row r="1219" spans="9:17" ht="13.9" x14ac:dyDescent="0.4">
      <c r="I1219" s="1071"/>
      <c r="J1219" s="83"/>
      <c r="K1219" s="83"/>
      <c r="L1219" s="83"/>
      <c r="M1219" s="83"/>
      <c r="N1219" s="84"/>
      <c r="O1219" s="83"/>
      <c r="P1219" s="83"/>
      <c r="Q1219" s="1071"/>
    </row>
    <row r="1220" spans="9:17" ht="13.9" x14ac:dyDescent="0.4">
      <c r="I1220" s="1071"/>
      <c r="J1220" s="78" t="str">
        <f>IF(A2_Budget_Look_Up!$B$7=1,"Growth Regulator Detail", IF(A2_Budget_Look_Up!$B$13=1,"Fungicide Detail","Other Chemical Detail"))</f>
        <v>Other Chemical Detail</v>
      </c>
      <c r="K1220" s="78"/>
      <c r="L1220" s="78"/>
      <c r="M1220" s="79"/>
      <c r="N1220" s="85"/>
      <c r="O1220" s="79"/>
      <c r="P1220" s="78"/>
      <c r="Q1220" s="1071"/>
    </row>
    <row r="1221" spans="9:17" ht="13.9" x14ac:dyDescent="0.4">
      <c r="I1221" s="1071"/>
      <c r="J1221" s="80" t="s">
        <v>212</v>
      </c>
      <c r="K1221" s="80" t="s">
        <v>838</v>
      </c>
      <c r="L1221" s="80" t="s">
        <v>2</v>
      </c>
      <c r="M1221" s="80" t="s">
        <v>21</v>
      </c>
      <c r="N1221" s="80" t="s">
        <v>174</v>
      </c>
      <c r="O1221" s="80" t="s">
        <v>14</v>
      </c>
      <c r="P1221" s="80" t="s">
        <v>890</v>
      </c>
      <c r="Q1221" s="1071"/>
    </row>
    <row r="1222" spans="9:17" ht="13.9" x14ac:dyDescent="0.4">
      <c r="I1222" s="1073">
        <f>IF($A$1=20,I1217+1,0)</f>
        <v>0</v>
      </c>
      <c r="J1222" s="156" t="s">
        <v>19</v>
      </c>
      <c r="K1222" s="1350" t="s">
        <v>839</v>
      </c>
      <c r="L1222" s="158"/>
      <c r="M1222" s="159">
        <v>0</v>
      </c>
      <c r="N1222" s="157">
        <v>0</v>
      </c>
      <c r="O1222" s="82">
        <f t="shared" ref="O1222:O1228" si="245">M1222*N1222</f>
        <v>0</v>
      </c>
      <c r="P1222" s="158"/>
      <c r="Q1222" s="1071">
        <f>Q1217</f>
        <v>0</v>
      </c>
    </row>
    <row r="1223" spans="9:17" ht="13.9" x14ac:dyDescent="0.4">
      <c r="I1223" s="1073">
        <f t="shared" ref="I1223:I1228" si="246">IF($A$1=20,I1222+1,0)</f>
        <v>0</v>
      </c>
      <c r="J1223" s="156" t="s">
        <v>19</v>
      </c>
      <c r="K1223" s="1350" t="s">
        <v>839</v>
      </c>
      <c r="L1223" s="158"/>
      <c r="M1223" s="159">
        <v>0</v>
      </c>
      <c r="N1223" s="157">
        <v>0</v>
      </c>
      <c r="O1223" s="82">
        <f t="shared" si="245"/>
        <v>0</v>
      </c>
      <c r="P1223" s="158"/>
      <c r="Q1223" s="1071">
        <f t="shared" ref="Q1223:Q1228" si="247">Q1222</f>
        <v>0</v>
      </c>
    </row>
    <row r="1224" spans="9:17" ht="13.9" x14ac:dyDescent="0.4">
      <c r="I1224" s="1073">
        <f t="shared" si="246"/>
        <v>0</v>
      </c>
      <c r="J1224" s="156" t="s">
        <v>19</v>
      </c>
      <c r="K1224" s="1350" t="s">
        <v>839</v>
      </c>
      <c r="L1224" s="158"/>
      <c r="M1224" s="159">
        <v>0</v>
      </c>
      <c r="N1224" s="157">
        <v>0</v>
      </c>
      <c r="O1224" s="82">
        <f t="shared" si="245"/>
        <v>0</v>
      </c>
      <c r="P1224" s="158"/>
      <c r="Q1224" s="1071">
        <f t="shared" si="247"/>
        <v>0</v>
      </c>
    </row>
    <row r="1225" spans="9:17" ht="13.9" x14ac:dyDescent="0.4">
      <c r="I1225" s="1073">
        <f t="shared" si="246"/>
        <v>0</v>
      </c>
      <c r="J1225" s="156" t="s">
        <v>19</v>
      </c>
      <c r="K1225" s="1350" t="s">
        <v>839</v>
      </c>
      <c r="L1225" s="158"/>
      <c r="M1225" s="159">
        <v>0</v>
      </c>
      <c r="N1225" s="157">
        <v>0</v>
      </c>
      <c r="O1225" s="82">
        <f t="shared" si="245"/>
        <v>0</v>
      </c>
      <c r="P1225" s="158"/>
      <c r="Q1225" s="1071">
        <f t="shared" si="247"/>
        <v>0</v>
      </c>
    </row>
    <row r="1226" spans="9:17" ht="13.9" x14ac:dyDescent="0.4">
      <c r="I1226" s="1073">
        <f t="shared" si="246"/>
        <v>0</v>
      </c>
      <c r="J1226" s="156" t="s">
        <v>19</v>
      </c>
      <c r="K1226" s="1350" t="s">
        <v>839</v>
      </c>
      <c r="L1226" s="158"/>
      <c r="M1226" s="159">
        <v>0</v>
      </c>
      <c r="N1226" s="157">
        <v>0</v>
      </c>
      <c r="O1226" s="82">
        <f t="shared" si="245"/>
        <v>0</v>
      </c>
      <c r="P1226" s="158"/>
      <c r="Q1226" s="1071">
        <f t="shared" si="247"/>
        <v>0</v>
      </c>
    </row>
    <row r="1227" spans="9:17" ht="13.9" x14ac:dyDescent="0.4">
      <c r="I1227" s="1073">
        <f t="shared" si="246"/>
        <v>0</v>
      </c>
      <c r="J1227" s="156" t="s">
        <v>19</v>
      </c>
      <c r="K1227" s="1350" t="s">
        <v>839</v>
      </c>
      <c r="L1227" s="158"/>
      <c r="M1227" s="159">
        <v>0</v>
      </c>
      <c r="N1227" s="157">
        <v>0</v>
      </c>
      <c r="O1227" s="82">
        <f t="shared" si="245"/>
        <v>0</v>
      </c>
      <c r="P1227" s="158"/>
      <c r="Q1227" s="1071">
        <f t="shared" si="247"/>
        <v>0</v>
      </c>
    </row>
    <row r="1228" spans="9:17" ht="13.9" x14ac:dyDescent="0.4">
      <c r="I1228" s="1073">
        <f t="shared" si="246"/>
        <v>0</v>
      </c>
      <c r="J1228" s="156" t="s">
        <v>19</v>
      </c>
      <c r="K1228" s="1350" t="s">
        <v>839</v>
      </c>
      <c r="L1228" s="158"/>
      <c r="M1228" s="159">
        <v>0</v>
      </c>
      <c r="N1228" s="157">
        <v>0</v>
      </c>
      <c r="O1228" s="82">
        <f t="shared" si="245"/>
        <v>0</v>
      </c>
      <c r="P1228" s="158"/>
      <c r="Q1228" s="1071">
        <f t="shared" si="247"/>
        <v>0</v>
      </c>
    </row>
    <row r="1229" spans="9:17" ht="13.9" x14ac:dyDescent="0.4">
      <c r="I1229" s="1071"/>
      <c r="J1229" s="86" t="s">
        <v>22</v>
      </c>
      <c r="K1229" s="86"/>
      <c r="L1229" s="86"/>
      <c r="M1229" s="81"/>
      <c r="N1229" s="87"/>
      <c r="O1229" s="88">
        <f>SUM(O1222:O1228)</f>
        <v>0</v>
      </c>
      <c r="P1229" s="86"/>
      <c r="Q1229" s="1071"/>
    </row>
    <row r="1230" spans="9:17" ht="13.9" x14ac:dyDescent="0.4">
      <c r="I1230" s="1071"/>
      <c r="J1230" s="83"/>
      <c r="K1230" s="83"/>
      <c r="L1230" s="83"/>
      <c r="M1230" s="83"/>
      <c r="N1230" s="84"/>
      <c r="O1230" s="83"/>
      <c r="P1230" s="83"/>
      <c r="Q1230" s="1071"/>
    </row>
    <row r="1231" spans="9:17" ht="13.9" x14ac:dyDescent="0.4">
      <c r="I1231" s="1071"/>
      <c r="J1231" s="78" t="str">
        <f>IF(A2_Budget_Look_Up!$B$7=1,"Defoliant Detail", "Other Chemical Detail")</f>
        <v>Other Chemical Detail</v>
      </c>
      <c r="K1231" s="78"/>
      <c r="L1231" s="78"/>
      <c r="M1231" s="79"/>
      <c r="N1231" s="85"/>
      <c r="O1231" s="79"/>
      <c r="P1231" s="78"/>
      <c r="Q1231" s="1071"/>
    </row>
    <row r="1232" spans="9:17" ht="13.9" x14ac:dyDescent="0.4">
      <c r="I1232" s="1071"/>
      <c r="J1232" s="80" t="s">
        <v>212</v>
      </c>
      <c r="K1232" s="80" t="s">
        <v>838</v>
      </c>
      <c r="L1232" s="80" t="s">
        <v>2</v>
      </c>
      <c r="M1232" s="80" t="s">
        <v>21</v>
      </c>
      <c r="N1232" s="80" t="s">
        <v>174</v>
      </c>
      <c r="O1232" s="80" t="s">
        <v>14</v>
      </c>
      <c r="P1232" s="80" t="s">
        <v>890</v>
      </c>
      <c r="Q1232" s="1071"/>
    </row>
    <row r="1233" spans="9:17" ht="13.9" x14ac:dyDescent="0.4">
      <c r="I1233" s="1073">
        <f>IF($A$1=20,I1228+1,0)</f>
        <v>0</v>
      </c>
      <c r="J1233" s="156" t="s">
        <v>19</v>
      </c>
      <c r="K1233" s="1350" t="s">
        <v>839</v>
      </c>
      <c r="L1233" s="158"/>
      <c r="M1233" s="159">
        <v>0</v>
      </c>
      <c r="N1233" s="157">
        <v>0</v>
      </c>
      <c r="O1233" s="82">
        <f t="shared" ref="O1233:O1239" si="248">M1233*N1233</f>
        <v>0</v>
      </c>
      <c r="P1233" s="158"/>
      <c r="Q1233" s="1071">
        <f>Q1228</f>
        <v>0</v>
      </c>
    </row>
    <row r="1234" spans="9:17" ht="13.9" x14ac:dyDescent="0.4">
      <c r="I1234" s="1073">
        <f t="shared" ref="I1234:I1239" si="249">IF($A$1=20,I1233+1,0)</f>
        <v>0</v>
      </c>
      <c r="J1234" s="156" t="s">
        <v>19</v>
      </c>
      <c r="K1234" s="1350" t="s">
        <v>839</v>
      </c>
      <c r="L1234" s="158"/>
      <c r="M1234" s="159">
        <v>0</v>
      </c>
      <c r="N1234" s="157">
        <v>0</v>
      </c>
      <c r="O1234" s="82">
        <f t="shared" si="248"/>
        <v>0</v>
      </c>
      <c r="P1234" s="158"/>
      <c r="Q1234" s="1071">
        <f t="shared" ref="Q1234:Q1239" si="250">Q1233</f>
        <v>0</v>
      </c>
    </row>
    <row r="1235" spans="9:17" ht="13.9" x14ac:dyDescent="0.4">
      <c r="I1235" s="1073">
        <f t="shared" si="249"/>
        <v>0</v>
      </c>
      <c r="J1235" s="156" t="s">
        <v>19</v>
      </c>
      <c r="K1235" s="1350" t="s">
        <v>839</v>
      </c>
      <c r="L1235" s="158"/>
      <c r="M1235" s="159">
        <v>0</v>
      </c>
      <c r="N1235" s="157">
        <v>0</v>
      </c>
      <c r="O1235" s="82">
        <f t="shared" si="248"/>
        <v>0</v>
      </c>
      <c r="P1235" s="158"/>
      <c r="Q1235" s="1071">
        <f t="shared" si="250"/>
        <v>0</v>
      </c>
    </row>
    <row r="1236" spans="9:17" ht="13.9" x14ac:dyDescent="0.4">
      <c r="I1236" s="1073">
        <f t="shared" si="249"/>
        <v>0</v>
      </c>
      <c r="J1236" s="156" t="s">
        <v>19</v>
      </c>
      <c r="K1236" s="1350" t="s">
        <v>839</v>
      </c>
      <c r="L1236" s="158"/>
      <c r="M1236" s="159">
        <v>0</v>
      </c>
      <c r="N1236" s="157">
        <v>0</v>
      </c>
      <c r="O1236" s="82">
        <f t="shared" si="248"/>
        <v>0</v>
      </c>
      <c r="P1236" s="158"/>
      <c r="Q1236" s="1071">
        <f t="shared" si="250"/>
        <v>0</v>
      </c>
    </row>
    <row r="1237" spans="9:17" ht="13.9" x14ac:dyDescent="0.4">
      <c r="I1237" s="1073">
        <f t="shared" si="249"/>
        <v>0</v>
      </c>
      <c r="J1237" s="156" t="s">
        <v>19</v>
      </c>
      <c r="K1237" s="1350" t="s">
        <v>839</v>
      </c>
      <c r="L1237" s="158"/>
      <c r="M1237" s="159">
        <v>0</v>
      </c>
      <c r="N1237" s="157">
        <v>0</v>
      </c>
      <c r="O1237" s="82">
        <f t="shared" si="248"/>
        <v>0</v>
      </c>
      <c r="P1237" s="158"/>
      <c r="Q1237" s="1071">
        <f t="shared" si="250"/>
        <v>0</v>
      </c>
    </row>
    <row r="1238" spans="9:17" ht="13.9" x14ac:dyDescent="0.4">
      <c r="I1238" s="1073">
        <f t="shared" si="249"/>
        <v>0</v>
      </c>
      <c r="J1238" s="156" t="s">
        <v>19</v>
      </c>
      <c r="K1238" s="1350" t="s">
        <v>839</v>
      </c>
      <c r="L1238" s="158"/>
      <c r="M1238" s="159">
        <v>0</v>
      </c>
      <c r="N1238" s="157">
        <v>0</v>
      </c>
      <c r="O1238" s="82">
        <f t="shared" si="248"/>
        <v>0</v>
      </c>
      <c r="P1238" s="158"/>
      <c r="Q1238" s="1071">
        <f t="shared" si="250"/>
        <v>0</v>
      </c>
    </row>
    <row r="1239" spans="9:17" ht="13.9" x14ac:dyDescent="0.4">
      <c r="I1239" s="1073">
        <f t="shared" si="249"/>
        <v>0</v>
      </c>
      <c r="J1239" s="156" t="s">
        <v>19</v>
      </c>
      <c r="K1239" s="1350" t="s">
        <v>839</v>
      </c>
      <c r="L1239" s="158"/>
      <c r="M1239" s="159">
        <v>0</v>
      </c>
      <c r="N1239" s="157">
        <v>0</v>
      </c>
      <c r="O1239" s="82">
        <f t="shared" si="248"/>
        <v>0</v>
      </c>
      <c r="P1239" s="158"/>
      <c r="Q1239" s="1071">
        <f t="shared" si="250"/>
        <v>0</v>
      </c>
    </row>
    <row r="1240" spans="9:17" ht="13.9" x14ac:dyDescent="0.4">
      <c r="I1240" s="1071"/>
      <c r="J1240" s="86" t="s">
        <v>22</v>
      </c>
      <c r="K1240" s="86"/>
      <c r="L1240" s="86"/>
      <c r="M1240" s="81"/>
      <c r="N1240" s="87"/>
      <c r="O1240" s="88">
        <f>SUM(O1233:O1239)</f>
        <v>0</v>
      </c>
      <c r="P1240" s="86"/>
      <c r="Q1240" s="1071"/>
    </row>
    <row r="1241" spans="9:17" ht="13.9" x14ac:dyDescent="0.4">
      <c r="I1241" s="1071"/>
      <c r="J1241" s="83"/>
      <c r="K1241" s="83"/>
      <c r="L1241" s="83"/>
      <c r="M1241" s="89"/>
      <c r="N1241" s="84"/>
      <c r="O1241" s="89"/>
      <c r="P1241" s="83"/>
      <c r="Q1241" s="1071"/>
    </row>
    <row r="1242" spans="9:17" ht="13.9" x14ac:dyDescent="0.4">
      <c r="I1242" s="1071"/>
      <c r="J1242" s="1168" t="str">
        <f>A2_Budget_Look_Up!H23</f>
        <v>RR2XtendFlex Soybeans, No Irrigation</v>
      </c>
      <c r="K1242" s="1168"/>
      <c r="L1242" s="1168">
        <f>A2_Budget_Look_Up!F23</f>
        <v>21</v>
      </c>
      <c r="M1242" s="1168"/>
      <c r="N1242" s="1168"/>
      <c r="O1242" s="1168"/>
      <c r="P1242" s="1168"/>
      <c r="Q1242" s="1071"/>
    </row>
    <row r="1243" spans="9:17" ht="13.9" x14ac:dyDescent="0.4">
      <c r="I1243" s="1071"/>
      <c r="J1243" s="83"/>
      <c r="K1243" s="83"/>
      <c r="L1243" s="83"/>
      <c r="M1243" s="83"/>
      <c r="N1243" s="84"/>
      <c r="O1243" s="83"/>
      <c r="P1243" s="83"/>
      <c r="Q1243" s="1071"/>
    </row>
    <row r="1244" spans="9:17" ht="13.9" x14ac:dyDescent="0.4">
      <c r="I1244" s="1071"/>
      <c r="J1244" s="78" t="s">
        <v>18</v>
      </c>
      <c r="K1244" s="78"/>
      <c r="L1244" s="78"/>
      <c r="M1244" s="79"/>
      <c r="N1244" s="85"/>
      <c r="O1244" s="79"/>
      <c r="P1244" s="78"/>
      <c r="Q1244" s="1071"/>
    </row>
    <row r="1245" spans="9:17" ht="13.9" x14ac:dyDescent="0.4">
      <c r="I1245" s="1071"/>
      <c r="J1245" s="80" t="s">
        <v>212</v>
      </c>
      <c r="K1245" s="80" t="s">
        <v>838</v>
      </c>
      <c r="L1245" s="80" t="s">
        <v>2</v>
      </c>
      <c r="M1245" s="80" t="s">
        <v>21</v>
      </c>
      <c r="N1245" s="80" t="s">
        <v>174</v>
      </c>
      <c r="O1245" s="80" t="s">
        <v>14</v>
      </c>
      <c r="P1245" s="80" t="s">
        <v>890</v>
      </c>
      <c r="Q1245" s="1071"/>
    </row>
    <row r="1246" spans="9:17" ht="13.9" x14ac:dyDescent="0.4">
      <c r="I1246" s="1073">
        <f>IF($A$1=21,1,0)</f>
        <v>0</v>
      </c>
      <c r="J1246" s="159" t="str">
        <f>A4_Chem_Prices!N$2</f>
        <v>Roundup Powermax 3</v>
      </c>
      <c r="K1246" s="1350" t="s">
        <v>839</v>
      </c>
      <c r="L1246" s="158" t="str">
        <f>A4_Chem_Prices!O$2</f>
        <v>oz</v>
      </c>
      <c r="M1246" s="159">
        <f>A4_Chem_Prices!P$2</f>
        <v>0.140625</v>
      </c>
      <c r="N1246" s="157">
        <v>32</v>
      </c>
      <c r="O1246" s="82">
        <f t="shared" ref="O1246:O1259" si="251">M1246*N1246</f>
        <v>4.5</v>
      </c>
      <c r="P1246" s="1449">
        <f>N1246</f>
        <v>32</v>
      </c>
      <c r="Q1246" s="1171">
        <f>IF(SUM(I1246:I1301)=820,L1242,0)</f>
        <v>0</v>
      </c>
    </row>
    <row r="1247" spans="9:17" ht="13.9" x14ac:dyDescent="0.4">
      <c r="I1247" s="1073">
        <f t="shared" ref="I1247:I1259" si="252">IF($A$1=21,I1246+1,0)</f>
        <v>0</v>
      </c>
      <c r="J1247" s="159" t="str">
        <f>A4_Chem_Prices!N$16</f>
        <v>Dicamba</v>
      </c>
      <c r="K1247" s="1350" t="s">
        <v>839</v>
      </c>
      <c r="L1247" s="160" t="str">
        <f>A4_Chem_Prices!O$16</f>
        <v>oz</v>
      </c>
      <c r="M1247" s="159">
        <f>A4_Chem_Prices!P$16</f>
        <v>0.26250000000000001</v>
      </c>
      <c r="N1247" s="157">
        <v>32</v>
      </c>
      <c r="O1247" s="82">
        <f t="shared" si="251"/>
        <v>8.4</v>
      </c>
      <c r="P1247" s="1449">
        <f>N1247</f>
        <v>32</v>
      </c>
      <c r="Q1247" s="1071">
        <f>Q1246</f>
        <v>0</v>
      </c>
    </row>
    <row r="1248" spans="9:17" ht="13.9" x14ac:dyDescent="0.4">
      <c r="I1248" s="1073">
        <f t="shared" si="252"/>
        <v>0</v>
      </c>
      <c r="J1248" s="159" t="str">
        <f>A4_Chem_Prices!Q$9</f>
        <v>Boundary</v>
      </c>
      <c r="K1248" s="1350" t="s">
        <v>839</v>
      </c>
      <c r="L1248" s="158" t="str">
        <f>A4_Chem_Prices!R$9</f>
        <v>oz</v>
      </c>
      <c r="M1248" s="159">
        <f>A4_Chem_Prices!S$9</f>
        <v>0.68414062499999995</v>
      </c>
      <c r="N1248" s="157">
        <v>32</v>
      </c>
      <c r="O1248" s="82">
        <f t="shared" si="251"/>
        <v>21.892499999999998</v>
      </c>
      <c r="P1248" s="1449">
        <f>N1248</f>
        <v>32</v>
      </c>
      <c r="Q1248" s="1071">
        <f t="shared" ref="Q1248:Q1259" si="253">Q1247</f>
        <v>0</v>
      </c>
    </row>
    <row r="1249" spans="9:17" ht="13.9" x14ac:dyDescent="0.4">
      <c r="I1249" s="1073">
        <f t="shared" si="252"/>
        <v>0</v>
      </c>
      <c r="J1249" s="159" t="str">
        <f>A4_Chem_Prices!N$2</f>
        <v>Roundup Powermax 3</v>
      </c>
      <c r="K1249" s="1350" t="s">
        <v>839</v>
      </c>
      <c r="L1249" s="158" t="str">
        <f>A4_Chem_Prices!O$2</f>
        <v>oz</v>
      </c>
      <c r="M1249" s="159">
        <f>A4_Chem_Prices!P$2</f>
        <v>0.140625</v>
      </c>
      <c r="N1249" s="157">
        <v>32</v>
      </c>
      <c r="O1249" s="82">
        <f t="shared" si="251"/>
        <v>4.5</v>
      </c>
      <c r="P1249" s="1449">
        <f>N1249</f>
        <v>32</v>
      </c>
      <c r="Q1249" s="1071">
        <f t="shared" si="253"/>
        <v>0</v>
      </c>
    </row>
    <row r="1250" spans="9:17" ht="13.9" x14ac:dyDescent="0.4">
      <c r="I1250" s="1073">
        <f t="shared" si="252"/>
        <v>0</v>
      </c>
      <c r="J1250" s="159" t="str">
        <f>A4_Chem_Prices!N$3</f>
        <v>2,4-D</v>
      </c>
      <c r="K1250" s="1350" t="s">
        <v>839</v>
      </c>
      <c r="L1250" s="160" t="str">
        <f>A4_Chem_Prices!O$3</f>
        <v>oz</v>
      </c>
      <c r="M1250" s="159">
        <f>A4_Chem_Prices!P$3</f>
        <v>0.2734375</v>
      </c>
      <c r="N1250" s="157">
        <v>32</v>
      </c>
      <c r="O1250" s="82">
        <f t="shared" si="251"/>
        <v>8.75</v>
      </c>
      <c r="P1250" s="160">
        <f>N1250*16</f>
        <v>512</v>
      </c>
      <c r="Q1250" s="1071">
        <f t="shared" si="253"/>
        <v>0</v>
      </c>
    </row>
    <row r="1251" spans="9:17" ht="13.9" x14ac:dyDescent="0.4">
      <c r="I1251" s="1073">
        <f t="shared" si="252"/>
        <v>0</v>
      </c>
      <c r="J1251" s="159" t="str">
        <f>A4_Chem_Prices!N$2</f>
        <v>Roundup Powermax 3</v>
      </c>
      <c r="K1251" s="1350" t="s">
        <v>839</v>
      </c>
      <c r="L1251" s="158" t="str">
        <f>A4_Chem_Prices!O$2</f>
        <v>oz</v>
      </c>
      <c r="M1251" s="159">
        <f>A4_Chem_Prices!P$2</f>
        <v>0.140625</v>
      </c>
      <c r="N1251" s="157">
        <v>32</v>
      </c>
      <c r="O1251" s="82">
        <f t="shared" si="251"/>
        <v>4.5</v>
      </c>
      <c r="P1251" s="1449">
        <f>N1251</f>
        <v>32</v>
      </c>
      <c r="Q1251" s="1071">
        <f t="shared" si="253"/>
        <v>0</v>
      </c>
    </row>
    <row r="1252" spans="9:17" ht="13.9" x14ac:dyDescent="0.4">
      <c r="I1252" s="1073">
        <f t="shared" si="252"/>
        <v>0</v>
      </c>
      <c r="J1252" s="159" t="str">
        <f>A4_Chem_Prices!N$11</f>
        <v>Zidua</v>
      </c>
      <c r="K1252" s="1350" t="s">
        <v>839</v>
      </c>
      <c r="L1252" s="160" t="str">
        <f>A4_Chem_Prices!O$11</f>
        <v>oz</v>
      </c>
      <c r="M1252" s="159">
        <f>A4_Chem_Prices!P$11</f>
        <v>5.7421875</v>
      </c>
      <c r="N1252" s="157">
        <v>3.5</v>
      </c>
      <c r="O1252" s="82">
        <f t="shared" si="251"/>
        <v>20.09765625</v>
      </c>
      <c r="P1252" s="160">
        <f>N1252*16</f>
        <v>56</v>
      </c>
      <c r="Q1252" s="1071">
        <f t="shared" si="253"/>
        <v>0</v>
      </c>
    </row>
    <row r="1253" spans="9:17" ht="13.9" x14ac:dyDescent="0.4">
      <c r="I1253" s="1073">
        <f t="shared" si="252"/>
        <v>0</v>
      </c>
      <c r="J1253" s="159" t="s">
        <v>19</v>
      </c>
      <c r="K1253" s="1350" t="s">
        <v>839</v>
      </c>
      <c r="L1253" s="160"/>
      <c r="M1253" s="159">
        <v>0</v>
      </c>
      <c r="N1253" s="157">
        <v>0</v>
      </c>
      <c r="O1253" s="82">
        <f t="shared" si="251"/>
        <v>0</v>
      </c>
      <c r="P1253" s="160"/>
      <c r="Q1253" s="1071">
        <f t="shared" si="253"/>
        <v>0</v>
      </c>
    </row>
    <row r="1254" spans="9:17" ht="13.9" x14ac:dyDescent="0.4">
      <c r="I1254" s="1073">
        <f t="shared" si="252"/>
        <v>0</v>
      </c>
      <c r="J1254" s="159" t="s">
        <v>19</v>
      </c>
      <c r="K1254" s="1350" t="s">
        <v>839</v>
      </c>
      <c r="L1254" s="160"/>
      <c r="M1254" s="159">
        <v>0</v>
      </c>
      <c r="N1254" s="157">
        <v>0</v>
      </c>
      <c r="O1254" s="82">
        <f t="shared" si="251"/>
        <v>0</v>
      </c>
      <c r="P1254" s="160"/>
      <c r="Q1254" s="1071">
        <f t="shared" si="253"/>
        <v>0</v>
      </c>
    </row>
    <row r="1255" spans="9:17" ht="13.9" x14ac:dyDescent="0.4">
      <c r="I1255" s="1073">
        <f t="shared" si="252"/>
        <v>0</v>
      </c>
      <c r="J1255" s="159" t="s">
        <v>19</v>
      </c>
      <c r="K1255" s="1350" t="s">
        <v>839</v>
      </c>
      <c r="L1255" s="160"/>
      <c r="M1255" s="159">
        <v>0</v>
      </c>
      <c r="N1255" s="157">
        <v>0</v>
      </c>
      <c r="O1255" s="82">
        <f t="shared" si="251"/>
        <v>0</v>
      </c>
      <c r="P1255" s="160"/>
      <c r="Q1255" s="1071">
        <f t="shared" si="253"/>
        <v>0</v>
      </c>
    </row>
    <row r="1256" spans="9:17" ht="13.9" x14ac:dyDescent="0.4">
      <c r="I1256" s="1073">
        <f t="shared" si="252"/>
        <v>0</v>
      </c>
      <c r="J1256" s="159" t="s">
        <v>19</v>
      </c>
      <c r="K1256" s="1350" t="s">
        <v>839</v>
      </c>
      <c r="L1256" s="160"/>
      <c r="M1256" s="159">
        <v>0</v>
      </c>
      <c r="N1256" s="157">
        <v>0</v>
      </c>
      <c r="O1256" s="82">
        <f t="shared" si="251"/>
        <v>0</v>
      </c>
      <c r="P1256" s="160"/>
      <c r="Q1256" s="1071">
        <f t="shared" si="253"/>
        <v>0</v>
      </c>
    </row>
    <row r="1257" spans="9:17" ht="13.9" x14ac:dyDescent="0.4">
      <c r="I1257" s="1073">
        <f t="shared" si="252"/>
        <v>0</v>
      </c>
      <c r="J1257" s="159" t="s">
        <v>19</v>
      </c>
      <c r="K1257" s="1350" t="s">
        <v>839</v>
      </c>
      <c r="L1257" s="160"/>
      <c r="M1257" s="159">
        <v>0</v>
      </c>
      <c r="N1257" s="157">
        <v>0</v>
      </c>
      <c r="O1257" s="82">
        <f t="shared" si="251"/>
        <v>0</v>
      </c>
      <c r="P1257" s="160"/>
      <c r="Q1257" s="1071">
        <f t="shared" si="253"/>
        <v>0</v>
      </c>
    </row>
    <row r="1258" spans="9:17" ht="13.9" x14ac:dyDescent="0.4">
      <c r="I1258" s="1073">
        <f t="shared" si="252"/>
        <v>0</v>
      </c>
      <c r="J1258" s="159" t="s">
        <v>19</v>
      </c>
      <c r="K1258" s="1350" t="s">
        <v>839</v>
      </c>
      <c r="L1258" s="160"/>
      <c r="M1258" s="159">
        <v>0</v>
      </c>
      <c r="N1258" s="157">
        <v>0</v>
      </c>
      <c r="O1258" s="82">
        <f t="shared" si="251"/>
        <v>0</v>
      </c>
      <c r="P1258" s="160"/>
      <c r="Q1258" s="1071">
        <f t="shared" si="253"/>
        <v>0</v>
      </c>
    </row>
    <row r="1259" spans="9:17" ht="13.9" x14ac:dyDescent="0.4">
      <c r="I1259" s="1073">
        <f t="shared" si="252"/>
        <v>0</v>
      </c>
      <c r="J1259" s="159" t="s">
        <v>19</v>
      </c>
      <c r="K1259" s="1350" t="s">
        <v>839</v>
      </c>
      <c r="L1259" s="160"/>
      <c r="M1259" s="159">
        <v>0</v>
      </c>
      <c r="N1259" s="157">
        <v>0</v>
      </c>
      <c r="O1259" s="82">
        <f t="shared" si="251"/>
        <v>0</v>
      </c>
      <c r="P1259" s="160"/>
      <c r="Q1259" s="1071">
        <f t="shared" si="253"/>
        <v>0</v>
      </c>
    </row>
    <row r="1260" spans="9:17" ht="13.9" x14ac:dyDescent="0.4">
      <c r="I1260" s="1071"/>
      <c r="J1260" s="86" t="s">
        <v>22</v>
      </c>
      <c r="K1260" s="86"/>
      <c r="L1260" s="86"/>
      <c r="M1260" s="81"/>
      <c r="N1260" s="87"/>
      <c r="O1260" s="88">
        <f>SUM(O1246:O1259)</f>
        <v>72.64015624999999</v>
      </c>
      <c r="P1260" s="86"/>
      <c r="Q1260" s="1071"/>
    </row>
    <row r="1261" spans="9:17" ht="13.9" x14ac:dyDescent="0.4">
      <c r="I1261" s="1071"/>
      <c r="O1261" s="83"/>
      <c r="P1261" s="83"/>
      <c r="Q1261" s="1071"/>
    </row>
    <row r="1262" spans="9:17" ht="13.9" x14ac:dyDescent="0.4">
      <c r="I1262" s="1071"/>
      <c r="J1262" s="78" t="s">
        <v>20</v>
      </c>
      <c r="K1262" s="78"/>
      <c r="L1262" s="78"/>
      <c r="M1262" s="79"/>
      <c r="N1262" s="85"/>
      <c r="O1262" s="79"/>
      <c r="P1262" s="78"/>
      <c r="Q1262" s="1071"/>
    </row>
    <row r="1263" spans="9:17" ht="13.9" x14ac:dyDescent="0.4">
      <c r="I1263" s="1071"/>
      <c r="J1263" s="80" t="s">
        <v>212</v>
      </c>
      <c r="K1263" s="80" t="s">
        <v>838</v>
      </c>
      <c r="L1263" s="80" t="s">
        <v>2</v>
      </c>
      <c r="M1263" s="80" t="s">
        <v>21</v>
      </c>
      <c r="N1263" s="80" t="s">
        <v>174</v>
      </c>
      <c r="O1263" s="80" t="s">
        <v>14</v>
      </c>
      <c r="P1263" s="80" t="s">
        <v>890</v>
      </c>
      <c r="Q1263" s="1071"/>
    </row>
    <row r="1264" spans="9:17" ht="13.9" x14ac:dyDescent="0.4">
      <c r="I1264" s="1073">
        <f>IF($A$1=21,I1259+1,0)</f>
        <v>0</v>
      </c>
      <c r="J1264" s="159" t="str">
        <f>A4_Chem_Prices!N$19</f>
        <v>Besiege</v>
      </c>
      <c r="K1264" s="1350" t="s">
        <v>839</v>
      </c>
      <c r="L1264" s="160" t="str">
        <f>A4_Chem_Prices!O$19</f>
        <v>oz</v>
      </c>
      <c r="M1264" s="159">
        <f>A4_Chem_Prices!P$19</f>
        <v>1.98</v>
      </c>
      <c r="N1264" s="157">
        <v>9</v>
      </c>
      <c r="O1264" s="82">
        <f t="shared" ref="O1264:O1273" si="254">M1264*N1264</f>
        <v>17.82</v>
      </c>
      <c r="P1264" s="1449">
        <f>N1264</f>
        <v>9</v>
      </c>
      <c r="Q1264" s="1071">
        <f>Q1246</f>
        <v>0</v>
      </c>
    </row>
    <row r="1265" spans="9:17" ht="13.9" x14ac:dyDescent="0.4">
      <c r="I1265" s="1073">
        <f t="shared" ref="I1265:I1273" si="255">IF($A$1=21,I1264+1,0)</f>
        <v>0</v>
      </c>
      <c r="J1265" s="159" t="s">
        <v>19</v>
      </c>
      <c r="K1265" s="1350" t="s">
        <v>839</v>
      </c>
      <c r="L1265" s="160"/>
      <c r="M1265" s="159">
        <v>0</v>
      </c>
      <c r="N1265" s="157">
        <v>0</v>
      </c>
      <c r="O1265" s="82">
        <f t="shared" si="254"/>
        <v>0</v>
      </c>
      <c r="P1265" s="158"/>
      <c r="Q1265" s="1071">
        <f>Q1264</f>
        <v>0</v>
      </c>
    </row>
    <row r="1266" spans="9:17" ht="13.9" x14ac:dyDescent="0.4">
      <c r="I1266" s="1073">
        <f t="shared" si="255"/>
        <v>0</v>
      </c>
      <c r="J1266" s="159" t="s">
        <v>19</v>
      </c>
      <c r="K1266" s="1350" t="s">
        <v>839</v>
      </c>
      <c r="L1266" s="160"/>
      <c r="M1266" s="159">
        <v>0</v>
      </c>
      <c r="N1266" s="157">
        <v>0</v>
      </c>
      <c r="O1266" s="82">
        <f t="shared" si="254"/>
        <v>0</v>
      </c>
      <c r="P1266" s="158"/>
      <c r="Q1266" s="1071">
        <f t="shared" ref="Q1266:Q1273" si="256">Q1265</f>
        <v>0</v>
      </c>
    </row>
    <row r="1267" spans="9:17" ht="13.9" x14ac:dyDescent="0.4">
      <c r="I1267" s="1073">
        <f t="shared" si="255"/>
        <v>0</v>
      </c>
      <c r="J1267" s="159" t="s">
        <v>19</v>
      </c>
      <c r="K1267" s="1350" t="s">
        <v>839</v>
      </c>
      <c r="L1267" s="160"/>
      <c r="M1267" s="159">
        <v>0</v>
      </c>
      <c r="N1267" s="157">
        <v>0</v>
      </c>
      <c r="O1267" s="82">
        <f t="shared" si="254"/>
        <v>0</v>
      </c>
      <c r="P1267" s="158"/>
      <c r="Q1267" s="1071">
        <f t="shared" si="256"/>
        <v>0</v>
      </c>
    </row>
    <row r="1268" spans="9:17" ht="13.9" x14ac:dyDescent="0.4">
      <c r="I1268" s="1073">
        <f t="shared" si="255"/>
        <v>0</v>
      </c>
      <c r="J1268" s="159" t="s">
        <v>19</v>
      </c>
      <c r="K1268" s="1350" t="s">
        <v>839</v>
      </c>
      <c r="L1268" s="160"/>
      <c r="M1268" s="159">
        <v>0</v>
      </c>
      <c r="N1268" s="157">
        <v>0</v>
      </c>
      <c r="O1268" s="82">
        <f t="shared" si="254"/>
        <v>0</v>
      </c>
      <c r="P1268" s="158"/>
      <c r="Q1268" s="1071">
        <f t="shared" si="256"/>
        <v>0</v>
      </c>
    </row>
    <row r="1269" spans="9:17" ht="13.9" x14ac:dyDescent="0.4">
      <c r="I1269" s="1073">
        <f t="shared" si="255"/>
        <v>0</v>
      </c>
      <c r="J1269" s="159" t="s">
        <v>19</v>
      </c>
      <c r="K1269" s="1350" t="s">
        <v>839</v>
      </c>
      <c r="L1269" s="160"/>
      <c r="M1269" s="159">
        <v>0</v>
      </c>
      <c r="N1269" s="157">
        <v>0</v>
      </c>
      <c r="O1269" s="82">
        <f t="shared" si="254"/>
        <v>0</v>
      </c>
      <c r="P1269" s="158"/>
      <c r="Q1269" s="1071">
        <f t="shared" si="256"/>
        <v>0</v>
      </c>
    </row>
    <row r="1270" spans="9:17" ht="13.9" x14ac:dyDescent="0.4">
      <c r="I1270" s="1073">
        <f t="shared" si="255"/>
        <v>0</v>
      </c>
      <c r="J1270" s="159" t="s">
        <v>19</v>
      </c>
      <c r="K1270" s="1350" t="s">
        <v>839</v>
      </c>
      <c r="L1270" s="160"/>
      <c r="M1270" s="159">
        <v>0</v>
      </c>
      <c r="N1270" s="157">
        <v>0</v>
      </c>
      <c r="O1270" s="82">
        <f t="shared" si="254"/>
        <v>0</v>
      </c>
      <c r="P1270" s="158"/>
      <c r="Q1270" s="1071">
        <f t="shared" si="256"/>
        <v>0</v>
      </c>
    </row>
    <row r="1271" spans="9:17" ht="13.9" x14ac:dyDescent="0.4">
      <c r="I1271" s="1073">
        <f t="shared" si="255"/>
        <v>0</v>
      </c>
      <c r="J1271" s="159" t="s">
        <v>19</v>
      </c>
      <c r="K1271" s="1350" t="s">
        <v>839</v>
      </c>
      <c r="L1271" s="160"/>
      <c r="M1271" s="159">
        <v>0</v>
      </c>
      <c r="N1271" s="157">
        <v>0</v>
      </c>
      <c r="O1271" s="82">
        <f t="shared" si="254"/>
        <v>0</v>
      </c>
      <c r="P1271" s="158"/>
      <c r="Q1271" s="1071">
        <f t="shared" si="256"/>
        <v>0</v>
      </c>
    </row>
    <row r="1272" spans="9:17" ht="13.9" x14ac:dyDescent="0.4">
      <c r="I1272" s="1073">
        <f t="shared" si="255"/>
        <v>0</v>
      </c>
      <c r="J1272" s="159" t="s">
        <v>19</v>
      </c>
      <c r="K1272" s="1350" t="s">
        <v>839</v>
      </c>
      <c r="L1272" s="160"/>
      <c r="M1272" s="159">
        <v>0</v>
      </c>
      <c r="N1272" s="157">
        <v>0</v>
      </c>
      <c r="O1272" s="82">
        <f t="shared" si="254"/>
        <v>0</v>
      </c>
      <c r="P1272" s="158"/>
      <c r="Q1272" s="1071">
        <f t="shared" si="256"/>
        <v>0</v>
      </c>
    </row>
    <row r="1273" spans="9:17" ht="13.9" x14ac:dyDescent="0.4">
      <c r="I1273" s="1073">
        <f t="shared" si="255"/>
        <v>0</v>
      </c>
      <c r="J1273" s="159" t="s">
        <v>19</v>
      </c>
      <c r="K1273" s="1350" t="s">
        <v>839</v>
      </c>
      <c r="L1273" s="160"/>
      <c r="M1273" s="159">
        <v>0</v>
      </c>
      <c r="N1273" s="157">
        <v>0</v>
      </c>
      <c r="O1273" s="82">
        <f t="shared" si="254"/>
        <v>0</v>
      </c>
      <c r="P1273" s="158"/>
      <c r="Q1273" s="1071">
        <f t="shared" si="256"/>
        <v>0</v>
      </c>
    </row>
    <row r="1274" spans="9:17" ht="13.9" x14ac:dyDescent="0.4">
      <c r="I1274" s="1071"/>
      <c r="J1274" s="86" t="s">
        <v>22</v>
      </c>
      <c r="K1274" s="86"/>
      <c r="L1274" s="86"/>
      <c r="M1274" s="81"/>
      <c r="N1274" s="87"/>
      <c r="O1274" s="88">
        <f>SUM(O1264:O1273)</f>
        <v>17.82</v>
      </c>
      <c r="P1274" s="86"/>
      <c r="Q1274" s="1071"/>
    </row>
    <row r="1275" spans="9:17" ht="13.9" x14ac:dyDescent="0.4">
      <c r="I1275" s="1071"/>
      <c r="J1275" s="83"/>
      <c r="K1275" s="83"/>
      <c r="L1275" s="83"/>
      <c r="M1275" s="83"/>
      <c r="N1275" s="84"/>
      <c r="O1275" s="83"/>
      <c r="P1275" s="83"/>
      <c r="Q1275" s="1071"/>
    </row>
    <row r="1276" spans="9:17" ht="13.9" x14ac:dyDescent="0.4">
      <c r="I1276" s="1071"/>
      <c r="J1276" s="78" t="str">
        <f>IF(OR(A2_Budget_Look_Up!$B$7=1,A2_Budget_Look_Up!$B$13=1),"Nematicide Detail", "Fungicide Detail")</f>
        <v>Fungicide Detail</v>
      </c>
      <c r="K1276" s="78"/>
      <c r="L1276" s="78"/>
      <c r="M1276" s="79"/>
      <c r="N1276" s="85"/>
      <c r="O1276" s="79"/>
      <c r="P1276" s="78"/>
      <c r="Q1276" s="1071"/>
    </row>
    <row r="1277" spans="9:17" ht="13.9" x14ac:dyDescent="0.4">
      <c r="I1277" s="1071"/>
      <c r="J1277" s="80" t="s">
        <v>212</v>
      </c>
      <c r="K1277" s="80" t="s">
        <v>838</v>
      </c>
      <c r="L1277" s="80" t="s">
        <v>2</v>
      </c>
      <c r="M1277" s="80" t="s">
        <v>21</v>
      </c>
      <c r="N1277" s="80" t="s">
        <v>174</v>
      </c>
      <c r="O1277" s="80" t="s">
        <v>14</v>
      </c>
      <c r="P1277" s="80" t="s">
        <v>890</v>
      </c>
      <c r="Q1277" s="1071"/>
    </row>
    <row r="1278" spans="9:17" ht="13.9" x14ac:dyDescent="0.4">
      <c r="I1278" s="1073">
        <f>IF($A$1=21,I1273+1,0)</f>
        <v>0</v>
      </c>
      <c r="J1278" s="156" t="str">
        <f>A4_Chem_Prices!N$32</f>
        <v>Quadris Top</v>
      </c>
      <c r="K1278" s="1350" t="s">
        <v>839</v>
      </c>
      <c r="L1278" s="158" t="str">
        <f>A4_Chem_Prices!O$32</f>
        <v>oz</v>
      </c>
      <c r="M1278" s="159">
        <f>A4_Chem_Prices!P$32</f>
        <v>1.315390625</v>
      </c>
      <c r="N1278" s="157">
        <v>10</v>
      </c>
      <c r="O1278" s="82">
        <f>M1278*N1278</f>
        <v>13.15390625</v>
      </c>
      <c r="P1278" s="1449">
        <f>N1278</f>
        <v>10</v>
      </c>
      <c r="Q1278" s="1071">
        <f>Q1273</f>
        <v>0</v>
      </c>
    </row>
    <row r="1279" spans="9:17" ht="13.9" x14ac:dyDescent="0.4">
      <c r="I1279" s="1073">
        <f>IF($A$1=21,I1278+1,0)</f>
        <v>0</v>
      </c>
      <c r="J1279" s="156" t="s">
        <v>19</v>
      </c>
      <c r="K1279" s="1350" t="s">
        <v>839</v>
      </c>
      <c r="L1279" s="158"/>
      <c r="M1279" s="159">
        <v>0</v>
      </c>
      <c r="N1279" s="157">
        <v>0</v>
      </c>
      <c r="O1279" s="82">
        <f>M1279*N1279</f>
        <v>0</v>
      </c>
      <c r="P1279" s="158"/>
      <c r="Q1279" s="1071">
        <f>Q1278</f>
        <v>0</v>
      </c>
    </row>
    <row r="1280" spans="9:17" ht="13.9" x14ac:dyDescent="0.4">
      <c r="I1280" s="1071"/>
      <c r="J1280" s="86" t="s">
        <v>22</v>
      </c>
      <c r="K1280" s="86"/>
      <c r="L1280" s="86"/>
      <c r="M1280" s="81"/>
      <c r="N1280" s="87"/>
      <c r="O1280" s="88">
        <f>SUM(O1278:O1279)</f>
        <v>13.15390625</v>
      </c>
      <c r="P1280" s="86"/>
      <c r="Q1280" s="1071"/>
    </row>
    <row r="1281" spans="9:17" ht="13.9" x14ac:dyDescent="0.4">
      <c r="J1281" s="83"/>
      <c r="K1281" s="83"/>
      <c r="L1281" s="83"/>
      <c r="M1281" s="83"/>
      <c r="N1281" s="84"/>
    </row>
    <row r="1282" spans="9:17" ht="13.9" x14ac:dyDescent="0.4">
      <c r="I1282" s="1071"/>
      <c r="J1282" s="78" t="str">
        <f>IF(A2_Budget_Look_Up!$B$7=1,"Growth Regulator Detail", IF(A2_Budget_Look_Up!$B$13=1,"Fungicide Detail","Other Chemical Detail"))</f>
        <v>Other Chemical Detail</v>
      </c>
      <c r="K1282" s="78"/>
      <c r="L1282" s="78"/>
      <c r="M1282" s="79"/>
      <c r="N1282" s="85"/>
      <c r="O1282" s="79"/>
      <c r="P1282" s="78"/>
      <c r="Q1282" s="1071"/>
    </row>
    <row r="1283" spans="9:17" ht="13.9" x14ac:dyDescent="0.4">
      <c r="I1283" s="1071"/>
      <c r="J1283" s="80" t="s">
        <v>212</v>
      </c>
      <c r="K1283" s="80" t="s">
        <v>838</v>
      </c>
      <c r="L1283" s="80" t="s">
        <v>2</v>
      </c>
      <c r="M1283" s="80" t="s">
        <v>21</v>
      </c>
      <c r="N1283" s="80" t="s">
        <v>174</v>
      </c>
      <c r="O1283" s="80" t="s">
        <v>14</v>
      </c>
      <c r="P1283" s="80" t="s">
        <v>890</v>
      </c>
      <c r="Q1283" s="1071"/>
    </row>
    <row r="1284" spans="9:17" ht="13.9" x14ac:dyDescent="0.4">
      <c r="I1284" s="1073">
        <f>IF($A$1=21,I1279+1,0)</f>
        <v>0</v>
      </c>
      <c r="J1284" s="156" t="s">
        <v>19</v>
      </c>
      <c r="K1284" s="1350" t="s">
        <v>839</v>
      </c>
      <c r="L1284" s="158"/>
      <c r="M1284" s="159">
        <v>0</v>
      </c>
      <c r="N1284" s="157">
        <v>0</v>
      </c>
      <c r="O1284" s="82">
        <f t="shared" ref="O1284:O1290" si="257">M1284*N1284</f>
        <v>0</v>
      </c>
      <c r="P1284" s="158"/>
      <c r="Q1284" s="1071">
        <f>Q1279</f>
        <v>0</v>
      </c>
    </row>
    <row r="1285" spans="9:17" ht="13.9" x14ac:dyDescent="0.4">
      <c r="I1285" s="1073">
        <f t="shared" ref="I1285:I1290" si="258">IF($A$1=21,I1284+1,0)</f>
        <v>0</v>
      </c>
      <c r="J1285" s="156" t="s">
        <v>19</v>
      </c>
      <c r="K1285" s="1350" t="s">
        <v>839</v>
      </c>
      <c r="L1285" s="158"/>
      <c r="M1285" s="159">
        <v>0</v>
      </c>
      <c r="N1285" s="157">
        <v>0</v>
      </c>
      <c r="O1285" s="82">
        <f t="shared" si="257"/>
        <v>0</v>
      </c>
      <c r="P1285" s="158"/>
      <c r="Q1285" s="1071">
        <f t="shared" ref="Q1285:Q1290" si="259">Q1284</f>
        <v>0</v>
      </c>
    </row>
    <row r="1286" spans="9:17" ht="13.9" x14ac:dyDescent="0.4">
      <c r="I1286" s="1073">
        <f t="shared" si="258"/>
        <v>0</v>
      </c>
      <c r="J1286" s="156" t="s">
        <v>19</v>
      </c>
      <c r="K1286" s="1350" t="s">
        <v>839</v>
      </c>
      <c r="L1286" s="158"/>
      <c r="M1286" s="159">
        <v>0</v>
      </c>
      <c r="N1286" s="157">
        <v>0</v>
      </c>
      <c r="O1286" s="82">
        <f t="shared" si="257"/>
        <v>0</v>
      </c>
      <c r="P1286" s="158"/>
      <c r="Q1286" s="1071">
        <f t="shared" si="259"/>
        <v>0</v>
      </c>
    </row>
    <row r="1287" spans="9:17" ht="13.9" x14ac:dyDescent="0.4">
      <c r="I1287" s="1073">
        <f t="shared" si="258"/>
        <v>0</v>
      </c>
      <c r="J1287" s="156" t="s">
        <v>19</v>
      </c>
      <c r="K1287" s="1350" t="s">
        <v>839</v>
      </c>
      <c r="L1287" s="158"/>
      <c r="M1287" s="159">
        <v>0</v>
      </c>
      <c r="N1287" s="157">
        <v>0</v>
      </c>
      <c r="O1287" s="82">
        <f t="shared" si="257"/>
        <v>0</v>
      </c>
      <c r="P1287" s="158"/>
      <c r="Q1287" s="1071">
        <f t="shared" si="259"/>
        <v>0</v>
      </c>
    </row>
    <row r="1288" spans="9:17" ht="13.9" x14ac:dyDescent="0.4">
      <c r="I1288" s="1073">
        <f t="shared" si="258"/>
        <v>0</v>
      </c>
      <c r="J1288" s="156" t="s">
        <v>19</v>
      </c>
      <c r="K1288" s="1350" t="s">
        <v>839</v>
      </c>
      <c r="L1288" s="158"/>
      <c r="M1288" s="159">
        <v>0</v>
      </c>
      <c r="N1288" s="157">
        <v>0</v>
      </c>
      <c r="O1288" s="82">
        <f t="shared" si="257"/>
        <v>0</v>
      </c>
      <c r="P1288" s="158"/>
      <c r="Q1288" s="1071">
        <f t="shared" si="259"/>
        <v>0</v>
      </c>
    </row>
    <row r="1289" spans="9:17" ht="13.9" x14ac:dyDescent="0.4">
      <c r="I1289" s="1073">
        <f t="shared" si="258"/>
        <v>0</v>
      </c>
      <c r="J1289" s="156" t="s">
        <v>19</v>
      </c>
      <c r="K1289" s="1350" t="s">
        <v>839</v>
      </c>
      <c r="L1289" s="158"/>
      <c r="M1289" s="159">
        <v>0</v>
      </c>
      <c r="N1289" s="157">
        <v>0</v>
      </c>
      <c r="O1289" s="82">
        <f t="shared" si="257"/>
        <v>0</v>
      </c>
      <c r="P1289" s="158"/>
      <c r="Q1289" s="1071">
        <f t="shared" si="259"/>
        <v>0</v>
      </c>
    </row>
    <row r="1290" spans="9:17" ht="13.9" x14ac:dyDescent="0.4">
      <c r="I1290" s="1073">
        <f t="shared" si="258"/>
        <v>0</v>
      </c>
      <c r="J1290" s="156" t="s">
        <v>19</v>
      </c>
      <c r="K1290" s="1350" t="s">
        <v>839</v>
      </c>
      <c r="L1290" s="158"/>
      <c r="M1290" s="159">
        <v>0</v>
      </c>
      <c r="N1290" s="157">
        <v>0</v>
      </c>
      <c r="O1290" s="82">
        <f t="shared" si="257"/>
        <v>0</v>
      </c>
      <c r="P1290" s="158"/>
      <c r="Q1290" s="1071">
        <f t="shared" si="259"/>
        <v>0</v>
      </c>
    </row>
    <row r="1291" spans="9:17" ht="13.9" x14ac:dyDescent="0.4">
      <c r="I1291" s="1071"/>
      <c r="J1291" s="86" t="s">
        <v>22</v>
      </c>
      <c r="K1291" s="86"/>
      <c r="L1291" s="86"/>
      <c r="M1291" s="81"/>
      <c r="N1291" s="87"/>
      <c r="O1291" s="88">
        <f>SUM(O1284:O1290)</f>
        <v>0</v>
      </c>
      <c r="P1291" s="86"/>
      <c r="Q1291" s="1071"/>
    </row>
    <row r="1292" spans="9:17" ht="13.9" x14ac:dyDescent="0.4">
      <c r="I1292" s="1071"/>
      <c r="J1292" s="83"/>
      <c r="K1292" s="83"/>
      <c r="L1292" s="83"/>
      <c r="M1292" s="83"/>
      <c r="N1292" s="84"/>
      <c r="O1292" s="83"/>
      <c r="P1292" s="83"/>
      <c r="Q1292" s="1071"/>
    </row>
    <row r="1293" spans="9:17" ht="13.9" x14ac:dyDescent="0.4">
      <c r="I1293" s="1071"/>
      <c r="J1293" s="78" t="str">
        <f>IF(A2_Budget_Look_Up!$B$7=1,"Defoliant Detail", "Other Chemical Detail")</f>
        <v>Other Chemical Detail</v>
      </c>
      <c r="K1293" s="78"/>
      <c r="L1293" s="78"/>
      <c r="M1293" s="79"/>
      <c r="N1293" s="85"/>
      <c r="O1293" s="79"/>
      <c r="P1293" s="78"/>
      <c r="Q1293" s="1071"/>
    </row>
    <row r="1294" spans="9:17" ht="13.9" x14ac:dyDescent="0.4">
      <c r="I1294" s="1071"/>
      <c r="J1294" s="80" t="s">
        <v>212</v>
      </c>
      <c r="K1294" s="80" t="s">
        <v>838</v>
      </c>
      <c r="L1294" s="80" t="s">
        <v>2</v>
      </c>
      <c r="M1294" s="80" t="s">
        <v>21</v>
      </c>
      <c r="N1294" s="80" t="s">
        <v>174</v>
      </c>
      <c r="O1294" s="80" t="s">
        <v>14</v>
      </c>
      <c r="P1294" s="80" t="s">
        <v>890</v>
      </c>
      <c r="Q1294" s="1071"/>
    </row>
    <row r="1295" spans="9:17" ht="13.9" x14ac:dyDescent="0.4">
      <c r="I1295" s="1073">
        <f>IF($A$1=21,I1290+1,0)</f>
        <v>0</v>
      </c>
      <c r="J1295" s="156" t="s">
        <v>19</v>
      </c>
      <c r="K1295" s="1350" t="s">
        <v>839</v>
      </c>
      <c r="L1295" s="158"/>
      <c r="M1295" s="159">
        <v>0</v>
      </c>
      <c r="N1295" s="157">
        <v>0</v>
      </c>
      <c r="O1295" s="82">
        <f t="shared" ref="O1295:O1301" si="260">M1295*N1295</f>
        <v>0</v>
      </c>
      <c r="P1295" s="158"/>
      <c r="Q1295" s="1071">
        <f>Q1290</f>
        <v>0</v>
      </c>
    </row>
    <row r="1296" spans="9:17" ht="13.9" x14ac:dyDescent="0.4">
      <c r="I1296" s="1073">
        <f t="shared" ref="I1296:I1301" si="261">IF($A$1=21,I1295+1,0)</f>
        <v>0</v>
      </c>
      <c r="J1296" s="156" t="s">
        <v>19</v>
      </c>
      <c r="K1296" s="1350" t="s">
        <v>839</v>
      </c>
      <c r="L1296" s="158"/>
      <c r="M1296" s="159">
        <v>0</v>
      </c>
      <c r="N1296" s="157">
        <v>0</v>
      </c>
      <c r="O1296" s="82">
        <f t="shared" si="260"/>
        <v>0</v>
      </c>
      <c r="P1296" s="158"/>
      <c r="Q1296" s="1071">
        <f t="shared" ref="Q1296:Q1301" si="262">Q1295</f>
        <v>0</v>
      </c>
    </row>
    <row r="1297" spans="9:17" ht="13.9" x14ac:dyDescent="0.4">
      <c r="I1297" s="1073">
        <f t="shared" si="261"/>
        <v>0</v>
      </c>
      <c r="J1297" s="156" t="s">
        <v>19</v>
      </c>
      <c r="K1297" s="1350" t="s">
        <v>839</v>
      </c>
      <c r="L1297" s="158"/>
      <c r="M1297" s="159">
        <v>0</v>
      </c>
      <c r="N1297" s="157">
        <v>0</v>
      </c>
      <c r="O1297" s="82">
        <f t="shared" si="260"/>
        <v>0</v>
      </c>
      <c r="P1297" s="158"/>
      <c r="Q1297" s="1071">
        <f t="shared" si="262"/>
        <v>0</v>
      </c>
    </row>
    <row r="1298" spans="9:17" ht="13.9" x14ac:dyDescent="0.4">
      <c r="I1298" s="1073">
        <f t="shared" si="261"/>
        <v>0</v>
      </c>
      <c r="J1298" s="156" t="s">
        <v>19</v>
      </c>
      <c r="K1298" s="1350" t="s">
        <v>839</v>
      </c>
      <c r="L1298" s="158"/>
      <c r="M1298" s="159">
        <v>0</v>
      </c>
      <c r="N1298" s="157">
        <v>0</v>
      </c>
      <c r="O1298" s="82">
        <f t="shared" si="260"/>
        <v>0</v>
      </c>
      <c r="P1298" s="158"/>
      <c r="Q1298" s="1071">
        <f t="shared" si="262"/>
        <v>0</v>
      </c>
    </row>
    <row r="1299" spans="9:17" ht="13.9" x14ac:dyDescent="0.4">
      <c r="I1299" s="1073">
        <f t="shared" si="261"/>
        <v>0</v>
      </c>
      <c r="J1299" s="156" t="s">
        <v>19</v>
      </c>
      <c r="K1299" s="1350" t="s">
        <v>839</v>
      </c>
      <c r="L1299" s="158"/>
      <c r="M1299" s="159">
        <v>0</v>
      </c>
      <c r="N1299" s="157">
        <v>0</v>
      </c>
      <c r="O1299" s="82">
        <f t="shared" si="260"/>
        <v>0</v>
      </c>
      <c r="P1299" s="158"/>
      <c r="Q1299" s="1071">
        <f t="shared" si="262"/>
        <v>0</v>
      </c>
    </row>
    <row r="1300" spans="9:17" ht="13.9" x14ac:dyDescent="0.4">
      <c r="I1300" s="1073">
        <f t="shared" si="261"/>
        <v>0</v>
      </c>
      <c r="J1300" s="156" t="s">
        <v>19</v>
      </c>
      <c r="K1300" s="1350" t="s">
        <v>839</v>
      </c>
      <c r="L1300" s="158"/>
      <c r="M1300" s="159">
        <v>0</v>
      </c>
      <c r="N1300" s="157">
        <v>0</v>
      </c>
      <c r="O1300" s="82">
        <f t="shared" si="260"/>
        <v>0</v>
      </c>
      <c r="P1300" s="158"/>
      <c r="Q1300" s="1071">
        <f t="shared" si="262"/>
        <v>0</v>
      </c>
    </row>
    <row r="1301" spans="9:17" ht="13.9" x14ac:dyDescent="0.4">
      <c r="I1301" s="1073">
        <f t="shared" si="261"/>
        <v>0</v>
      </c>
      <c r="J1301" s="156" t="s">
        <v>19</v>
      </c>
      <c r="K1301" s="1350" t="s">
        <v>839</v>
      </c>
      <c r="L1301" s="158"/>
      <c r="M1301" s="159">
        <v>0</v>
      </c>
      <c r="N1301" s="157">
        <v>0</v>
      </c>
      <c r="O1301" s="82">
        <f t="shared" si="260"/>
        <v>0</v>
      </c>
      <c r="P1301" s="158"/>
      <c r="Q1301" s="1071">
        <f t="shared" si="262"/>
        <v>0</v>
      </c>
    </row>
    <row r="1302" spans="9:17" ht="13.9" x14ac:dyDescent="0.4">
      <c r="I1302" s="1071"/>
      <c r="J1302" s="86" t="s">
        <v>22</v>
      </c>
      <c r="K1302" s="86"/>
      <c r="L1302" s="86"/>
      <c r="M1302" s="81"/>
      <c r="N1302" s="87"/>
      <c r="O1302" s="88">
        <f>SUM(O1295:O1301)</f>
        <v>0</v>
      </c>
      <c r="P1302" s="86"/>
      <c r="Q1302" s="1071"/>
    </row>
    <row r="1303" spans="9:17" ht="13.9" x14ac:dyDescent="0.4">
      <c r="I1303" s="1071"/>
      <c r="J1303" s="83"/>
      <c r="K1303" s="83"/>
      <c r="L1303" s="83"/>
      <c r="M1303" s="89"/>
      <c r="N1303" s="84"/>
      <c r="O1303" s="89"/>
      <c r="P1303" s="83"/>
      <c r="Q1303" s="1071"/>
    </row>
    <row r="1304" spans="9:17" ht="13.9" x14ac:dyDescent="0.4">
      <c r="I1304" s="1071"/>
      <c r="J1304" s="1168" t="str">
        <f>A2_Budget_Look_Up!H24</f>
        <v>RR2XtendFlex Soybeans, Flood</v>
      </c>
      <c r="K1304" s="1168"/>
      <c r="L1304" s="1168">
        <f>A2_Budget_Look_Up!F24</f>
        <v>22</v>
      </c>
      <c r="M1304" s="1168"/>
      <c r="N1304" s="1168"/>
      <c r="O1304" s="1168"/>
      <c r="P1304" s="1168"/>
      <c r="Q1304" s="1071"/>
    </row>
    <row r="1305" spans="9:17" ht="13.9" x14ac:dyDescent="0.4">
      <c r="I1305" s="1071"/>
      <c r="J1305" s="83"/>
      <c r="K1305" s="83"/>
      <c r="L1305" s="83"/>
      <c r="M1305" s="83"/>
      <c r="N1305" s="84"/>
      <c r="O1305" s="83"/>
      <c r="P1305" s="83"/>
      <c r="Q1305" s="1071"/>
    </row>
    <row r="1306" spans="9:17" ht="13.9" x14ac:dyDescent="0.4">
      <c r="I1306" s="1071"/>
      <c r="J1306" s="78" t="s">
        <v>18</v>
      </c>
      <c r="K1306" s="78"/>
      <c r="L1306" s="78"/>
      <c r="M1306" s="79"/>
      <c r="N1306" s="85"/>
      <c r="O1306" s="79"/>
      <c r="P1306" s="78"/>
      <c r="Q1306" s="1071"/>
    </row>
    <row r="1307" spans="9:17" ht="13.9" x14ac:dyDescent="0.4">
      <c r="I1307" s="1071"/>
      <c r="J1307" s="80" t="s">
        <v>212</v>
      </c>
      <c r="K1307" s="80" t="s">
        <v>838</v>
      </c>
      <c r="L1307" s="80" t="s">
        <v>2</v>
      </c>
      <c r="M1307" s="80" t="s">
        <v>21</v>
      </c>
      <c r="N1307" s="80" t="s">
        <v>174</v>
      </c>
      <c r="O1307" s="80" t="s">
        <v>14</v>
      </c>
      <c r="P1307" s="80" t="s">
        <v>890</v>
      </c>
      <c r="Q1307" s="1071"/>
    </row>
    <row r="1308" spans="9:17" ht="13.9" x14ac:dyDescent="0.4">
      <c r="I1308" s="1073">
        <f>IF($A$1=22,1,0)</f>
        <v>0</v>
      </c>
      <c r="J1308" s="159" t="str">
        <f>A4_Chem_Prices!N$2</f>
        <v>Roundup Powermax 3</v>
      </c>
      <c r="K1308" s="1350" t="s">
        <v>839</v>
      </c>
      <c r="L1308" s="158" t="str">
        <f>A4_Chem_Prices!O$2</f>
        <v>oz</v>
      </c>
      <c r="M1308" s="159">
        <f>A4_Chem_Prices!P$2</f>
        <v>0.140625</v>
      </c>
      <c r="N1308" s="157">
        <v>32</v>
      </c>
      <c r="O1308" s="82">
        <f t="shared" ref="O1308:O1321" si="263">M1308*N1308</f>
        <v>4.5</v>
      </c>
      <c r="P1308" s="1449">
        <f t="shared" ref="P1308:P1314" si="264">N1308</f>
        <v>32</v>
      </c>
      <c r="Q1308" s="1171">
        <f>IF(SUM(I1308:I1363)=820,L1304,0)</f>
        <v>0</v>
      </c>
    </row>
    <row r="1309" spans="9:17" ht="13.9" x14ac:dyDescent="0.4">
      <c r="I1309" s="1073">
        <f t="shared" ref="I1309:I1321" si="265">IF($A$1=22,I1308+1,0)</f>
        <v>0</v>
      </c>
      <c r="J1309" s="159" t="str">
        <f>A4_Chem_Prices!N$16</f>
        <v>Dicamba</v>
      </c>
      <c r="K1309" s="1350" t="s">
        <v>839</v>
      </c>
      <c r="L1309" s="160" t="str">
        <f>A4_Chem_Prices!O$16</f>
        <v>oz</v>
      </c>
      <c r="M1309" s="159">
        <f>A4_Chem_Prices!P$16</f>
        <v>0.26250000000000001</v>
      </c>
      <c r="N1309" s="157">
        <v>32</v>
      </c>
      <c r="O1309" s="82">
        <f t="shared" si="263"/>
        <v>8.4</v>
      </c>
      <c r="P1309" s="1449">
        <f t="shared" si="264"/>
        <v>32</v>
      </c>
      <c r="Q1309" s="1071">
        <f>Q1308</f>
        <v>0</v>
      </c>
    </row>
    <row r="1310" spans="9:17" ht="13.9" x14ac:dyDescent="0.4">
      <c r="I1310" s="1073">
        <f t="shared" si="265"/>
        <v>0</v>
      </c>
      <c r="J1310" s="159" t="str">
        <f>A4_Chem_Prices!Q$9</f>
        <v>Boundary</v>
      </c>
      <c r="K1310" s="1350" t="s">
        <v>839</v>
      </c>
      <c r="L1310" s="158" t="str">
        <f>A4_Chem_Prices!R$9</f>
        <v>oz</v>
      </c>
      <c r="M1310" s="159">
        <f>A4_Chem_Prices!S$9</f>
        <v>0.68414062499999995</v>
      </c>
      <c r="N1310" s="157">
        <v>32</v>
      </c>
      <c r="O1310" s="82">
        <f t="shared" si="263"/>
        <v>21.892499999999998</v>
      </c>
      <c r="P1310" s="1449">
        <f t="shared" si="264"/>
        <v>32</v>
      </c>
      <c r="Q1310" s="1071">
        <f t="shared" ref="Q1310:Q1321" si="266">Q1309</f>
        <v>0</v>
      </c>
    </row>
    <row r="1311" spans="9:17" ht="13.9" x14ac:dyDescent="0.4">
      <c r="I1311" s="1073">
        <f t="shared" si="265"/>
        <v>0</v>
      </c>
      <c r="J1311" s="159" t="str">
        <f>A4_Chem_Prices!N$2</f>
        <v>Roundup Powermax 3</v>
      </c>
      <c r="K1311" s="1350" t="s">
        <v>839</v>
      </c>
      <c r="L1311" s="158" t="str">
        <f>A4_Chem_Prices!O$2</f>
        <v>oz</v>
      </c>
      <c r="M1311" s="159">
        <f>A4_Chem_Prices!P$2</f>
        <v>0.140625</v>
      </c>
      <c r="N1311" s="157">
        <v>32</v>
      </c>
      <c r="O1311" s="82">
        <f t="shared" si="263"/>
        <v>4.5</v>
      </c>
      <c r="P1311" s="1449">
        <f t="shared" si="264"/>
        <v>32</v>
      </c>
      <c r="Q1311" s="1071">
        <f t="shared" si="266"/>
        <v>0</v>
      </c>
    </row>
    <row r="1312" spans="9:17" ht="13.9" x14ac:dyDescent="0.4">
      <c r="I1312" s="1073">
        <f t="shared" si="265"/>
        <v>0</v>
      </c>
      <c r="J1312" s="159" t="str">
        <f>A4_Chem_Prices!N$3</f>
        <v>2,4-D</v>
      </c>
      <c r="K1312" s="1350" t="s">
        <v>839</v>
      </c>
      <c r="L1312" s="160" t="str">
        <f>A4_Chem_Prices!O$3</f>
        <v>oz</v>
      </c>
      <c r="M1312" s="159">
        <f>A4_Chem_Prices!P$3</f>
        <v>0.2734375</v>
      </c>
      <c r="N1312" s="157">
        <v>32</v>
      </c>
      <c r="O1312" s="82">
        <f t="shared" si="263"/>
        <v>8.75</v>
      </c>
      <c r="P1312" s="160">
        <f t="shared" si="264"/>
        <v>32</v>
      </c>
      <c r="Q1312" s="1071">
        <f t="shared" si="266"/>
        <v>0</v>
      </c>
    </row>
    <row r="1313" spans="9:17" ht="13.9" x14ac:dyDescent="0.4">
      <c r="I1313" s="1073">
        <f t="shared" si="265"/>
        <v>0</v>
      </c>
      <c r="J1313" s="159" t="str">
        <f>A4_Chem_Prices!N$2</f>
        <v>Roundup Powermax 3</v>
      </c>
      <c r="K1313" s="1350" t="s">
        <v>839</v>
      </c>
      <c r="L1313" s="158" t="str">
        <f>A4_Chem_Prices!O$2</f>
        <v>oz</v>
      </c>
      <c r="M1313" s="159">
        <f>A4_Chem_Prices!P$2</f>
        <v>0.140625</v>
      </c>
      <c r="N1313" s="157">
        <v>32</v>
      </c>
      <c r="O1313" s="82">
        <f t="shared" si="263"/>
        <v>4.5</v>
      </c>
      <c r="P1313" s="1449">
        <f t="shared" si="264"/>
        <v>32</v>
      </c>
      <c r="Q1313" s="1071">
        <f t="shared" si="266"/>
        <v>0</v>
      </c>
    </row>
    <row r="1314" spans="9:17" ht="13.9" x14ac:dyDescent="0.4">
      <c r="I1314" s="1073">
        <f t="shared" si="265"/>
        <v>0</v>
      </c>
      <c r="J1314" s="159" t="str">
        <f>A4_Chem_Prices!N$11</f>
        <v>Zidua</v>
      </c>
      <c r="K1314" s="1350" t="s">
        <v>839</v>
      </c>
      <c r="L1314" s="160" t="str">
        <f>A4_Chem_Prices!O$11</f>
        <v>oz</v>
      </c>
      <c r="M1314" s="159">
        <f>A4_Chem_Prices!P$11</f>
        <v>5.7421875</v>
      </c>
      <c r="N1314" s="157">
        <v>3.5</v>
      </c>
      <c r="O1314" s="82">
        <f t="shared" si="263"/>
        <v>20.09765625</v>
      </c>
      <c r="P1314" s="160">
        <f t="shared" si="264"/>
        <v>3.5</v>
      </c>
      <c r="Q1314" s="1071">
        <f t="shared" si="266"/>
        <v>0</v>
      </c>
    </row>
    <row r="1315" spans="9:17" ht="13.9" x14ac:dyDescent="0.4">
      <c r="I1315" s="1073">
        <f t="shared" si="265"/>
        <v>0</v>
      </c>
      <c r="J1315" s="159" t="s">
        <v>19</v>
      </c>
      <c r="K1315" s="1350" t="s">
        <v>839</v>
      </c>
      <c r="L1315" s="160"/>
      <c r="M1315" s="159">
        <v>0</v>
      </c>
      <c r="N1315" s="157">
        <v>0</v>
      </c>
      <c r="O1315" s="82">
        <f t="shared" si="263"/>
        <v>0</v>
      </c>
      <c r="P1315" s="160"/>
      <c r="Q1315" s="1071">
        <f t="shared" si="266"/>
        <v>0</v>
      </c>
    </row>
    <row r="1316" spans="9:17" ht="13.9" x14ac:dyDescent="0.4">
      <c r="I1316" s="1073">
        <f t="shared" si="265"/>
        <v>0</v>
      </c>
      <c r="J1316" s="159" t="s">
        <v>19</v>
      </c>
      <c r="K1316" s="1350" t="s">
        <v>839</v>
      </c>
      <c r="L1316" s="160"/>
      <c r="M1316" s="159">
        <v>0</v>
      </c>
      <c r="N1316" s="157">
        <v>0</v>
      </c>
      <c r="O1316" s="82">
        <f t="shared" si="263"/>
        <v>0</v>
      </c>
      <c r="P1316" s="160"/>
      <c r="Q1316" s="1071">
        <f t="shared" si="266"/>
        <v>0</v>
      </c>
    </row>
    <row r="1317" spans="9:17" ht="13.9" x14ac:dyDescent="0.4">
      <c r="I1317" s="1073">
        <f t="shared" si="265"/>
        <v>0</v>
      </c>
      <c r="J1317" s="159" t="s">
        <v>19</v>
      </c>
      <c r="K1317" s="1350" t="s">
        <v>839</v>
      </c>
      <c r="L1317" s="160"/>
      <c r="M1317" s="159">
        <v>0</v>
      </c>
      <c r="N1317" s="157">
        <v>0</v>
      </c>
      <c r="O1317" s="82">
        <f t="shared" si="263"/>
        <v>0</v>
      </c>
      <c r="P1317" s="160"/>
      <c r="Q1317" s="1071">
        <f t="shared" si="266"/>
        <v>0</v>
      </c>
    </row>
    <row r="1318" spans="9:17" ht="13.9" x14ac:dyDescent="0.4">
      <c r="I1318" s="1073">
        <f t="shared" si="265"/>
        <v>0</v>
      </c>
      <c r="J1318" s="159" t="s">
        <v>19</v>
      </c>
      <c r="K1318" s="1350" t="s">
        <v>839</v>
      </c>
      <c r="L1318" s="160"/>
      <c r="M1318" s="159">
        <v>0</v>
      </c>
      <c r="N1318" s="157">
        <v>0</v>
      </c>
      <c r="O1318" s="82">
        <f t="shared" si="263"/>
        <v>0</v>
      </c>
      <c r="P1318" s="160"/>
      <c r="Q1318" s="1071">
        <f t="shared" si="266"/>
        <v>0</v>
      </c>
    </row>
    <row r="1319" spans="9:17" ht="13.9" x14ac:dyDescent="0.4">
      <c r="I1319" s="1073">
        <f t="shared" si="265"/>
        <v>0</v>
      </c>
      <c r="J1319" s="159" t="s">
        <v>19</v>
      </c>
      <c r="K1319" s="1350" t="s">
        <v>839</v>
      </c>
      <c r="L1319" s="160"/>
      <c r="M1319" s="159">
        <v>0</v>
      </c>
      <c r="N1319" s="157">
        <v>0</v>
      </c>
      <c r="O1319" s="82">
        <f t="shared" si="263"/>
        <v>0</v>
      </c>
      <c r="P1319" s="160"/>
      <c r="Q1319" s="1071">
        <f t="shared" si="266"/>
        <v>0</v>
      </c>
    </row>
    <row r="1320" spans="9:17" ht="13.9" x14ac:dyDescent="0.4">
      <c r="I1320" s="1073">
        <f t="shared" si="265"/>
        <v>0</v>
      </c>
      <c r="J1320" s="159" t="s">
        <v>19</v>
      </c>
      <c r="K1320" s="1350" t="s">
        <v>839</v>
      </c>
      <c r="L1320" s="160"/>
      <c r="M1320" s="159">
        <v>0</v>
      </c>
      <c r="N1320" s="157">
        <v>0</v>
      </c>
      <c r="O1320" s="82">
        <f t="shared" si="263"/>
        <v>0</v>
      </c>
      <c r="P1320" s="160"/>
      <c r="Q1320" s="1071">
        <f t="shared" si="266"/>
        <v>0</v>
      </c>
    </row>
    <row r="1321" spans="9:17" ht="13.9" x14ac:dyDescent="0.4">
      <c r="I1321" s="1073">
        <f t="shared" si="265"/>
        <v>0</v>
      </c>
      <c r="J1321" s="159" t="s">
        <v>19</v>
      </c>
      <c r="K1321" s="1350" t="s">
        <v>839</v>
      </c>
      <c r="L1321" s="160"/>
      <c r="M1321" s="159">
        <v>0</v>
      </c>
      <c r="N1321" s="157">
        <v>0</v>
      </c>
      <c r="O1321" s="82">
        <f t="shared" si="263"/>
        <v>0</v>
      </c>
      <c r="P1321" s="160"/>
      <c r="Q1321" s="1071">
        <f t="shared" si="266"/>
        <v>0</v>
      </c>
    </row>
    <row r="1322" spans="9:17" ht="13.9" x14ac:dyDescent="0.4">
      <c r="I1322" s="1071"/>
      <c r="J1322" s="86" t="s">
        <v>22</v>
      </c>
      <c r="K1322" s="86"/>
      <c r="L1322" s="86"/>
      <c r="M1322" s="81"/>
      <c r="N1322" s="87"/>
      <c r="O1322" s="88">
        <f>SUM(O1308:O1321)</f>
        <v>72.64015624999999</v>
      </c>
      <c r="P1322" s="86"/>
      <c r="Q1322" s="1071"/>
    </row>
    <row r="1323" spans="9:17" ht="13.9" x14ac:dyDescent="0.4">
      <c r="I1323" s="1071"/>
      <c r="O1323" s="83"/>
      <c r="P1323" s="83"/>
      <c r="Q1323" s="1071"/>
    </row>
    <row r="1324" spans="9:17" ht="13.9" x14ac:dyDescent="0.4">
      <c r="I1324" s="1071"/>
      <c r="J1324" s="78" t="s">
        <v>20</v>
      </c>
      <c r="K1324" s="78"/>
      <c r="L1324" s="78"/>
      <c r="M1324" s="79"/>
      <c r="N1324" s="85"/>
      <c r="O1324" s="79"/>
      <c r="P1324" s="78"/>
      <c r="Q1324" s="1071"/>
    </row>
    <row r="1325" spans="9:17" ht="13.9" x14ac:dyDescent="0.4">
      <c r="I1325" s="1071"/>
      <c r="J1325" s="80" t="s">
        <v>212</v>
      </c>
      <c r="K1325" s="80" t="s">
        <v>838</v>
      </c>
      <c r="L1325" s="80" t="s">
        <v>2</v>
      </c>
      <c r="M1325" s="80" t="s">
        <v>21</v>
      </c>
      <c r="N1325" s="80" t="s">
        <v>174</v>
      </c>
      <c r="O1325" s="80" t="s">
        <v>14</v>
      </c>
      <c r="P1325" s="80" t="s">
        <v>890</v>
      </c>
      <c r="Q1325" s="1071"/>
    </row>
    <row r="1326" spans="9:17" ht="13.9" x14ac:dyDescent="0.4">
      <c r="I1326" s="1073">
        <f>IF($A$1=22,I1321+1,0)</f>
        <v>0</v>
      </c>
      <c r="J1326" s="159" t="str">
        <f>A4_Chem_Prices!N$19</f>
        <v>Besiege</v>
      </c>
      <c r="K1326" s="1350" t="s">
        <v>839</v>
      </c>
      <c r="L1326" s="160" t="str">
        <f>A4_Chem_Prices!O$19</f>
        <v>oz</v>
      </c>
      <c r="M1326" s="159">
        <f>A4_Chem_Prices!P$19</f>
        <v>1.98</v>
      </c>
      <c r="N1326" s="157">
        <v>9</v>
      </c>
      <c r="O1326" s="82">
        <f t="shared" ref="O1326:O1335" si="267">M1326*N1326</f>
        <v>17.82</v>
      </c>
      <c r="P1326" s="1449">
        <f>N1326</f>
        <v>9</v>
      </c>
      <c r="Q1326" s="1071">
        <f>Q1308</f>
        <v>0</v>
      </c>
    </row>
    <row r="1327" spans="9:17" ht="13.9" x14ac:dyDescent="0.4">
      <c r="I1327" s="1073">
        <f t="shared" ref="I1327:I1335" si="268">IF($A$1=22,I1326+1,0)</f>
        <v>0</v>
      </c>
      <c r="J1327" s="159" t="s">
        <v>19</v>
      </c>
      <c r="K1327" s="1350" t="s">
        <v>839</v>
      </c>
      <c r="L1327" s="160"/>
      <c r="M1327" s="159">
        <v>0</v>
      </c>
      <c r="N1327" s="157">
        <v>0</v>
      </c>
      <c r="O1327" s="82">
        <f t="shared" si="267"/>
        <v>0</v>
      </c>
      <c r="P1327" s="158"/>
      <c r="Q1327" s="1071">
        <f>Q1326</f>
        <v>0</v>
      </c>
    </row>
    <row r="1328" spans="9:17" ht="13.9" x14ac:dyDescent="0.4">
      <c r="I1328" s="1073">
        <f t="shared" si="268"/>
        <v>0</v>
      </c>
      <c r="J1328" s="159" t="s">
        <v>19</v>
      </c>
      <c r="K1328" s="1350" t="s">
        <v>839</v>
      </c>
      <c r="L1328" s="160"/>
      <c r="M1328" s="159">
        <v>0</v>
      </c>
      <c r="N1328" s="157">
        <v>0</v>
      </c>
      <c r="O1328" s="82">
        <f t="shared" si="267"/>
        <v>0</v>
      </c>
      <c r="P1328" s="158"/>
      <c r="Q1328" s="1071">
        <f t="shared" ref="Q1328:Q1335" si="269">Q1327</f>
        <v>0</v>
      </c>
    </row>
    <row r="1329" spans="9:17" ht="13.9" x14ac:dyDescent="0.4">
      <c r="I1329" s="1073">
        <f t="shared" si="268"/>
        <v>0</v>
      </c>
      <c r="J1329" s="159" t="s">
        <v>19</v>
      </c>
      <c r="K1329" s="1350" t="s">
        <v>839</v>
      </c>
      <c r="L1329" s="160"/>
      <c r="M1329" s="159">
        <v>0</v>
      </c>
      <c r="N1329" s="157">
        <v>0</v>
      </c>
      <c r="O1329" s="82">
        <f t="shared" si="267"/>
        <v>0</v>
      </c>
      <c r="P1329" s="158"/>
      <c r="Q1329" s="1071">
        <f t="shared" si="269"/>
        <v>0</v>
      </c>
    </row>
    <row r="1330" spans="9:17" ht="13.9" x14ac:dyDescent="0.4">
      <c r="I1330" s="1073">
        <f t="shared" si="268"/>
        <v>0</v>
      </c>
      <c r="J1330" s="159" t="s">
        <v>19</v>
      </c>
      <c r="K1330" s="1350" t="s">
        <v>839</v>
      </c>
      <c r="L1330" s="160"/>
      <c r="M1330" s="159">
        <v>0</v>
      </c>
      <c r="N1330" s="157">
        <v>0</v>
      </c>
      <c r="O1330" s="82">
        <f t="shared" si="267"/>
        <v>0</v>
      </c>
      <c r="P1330" s="158"/>
      <c r="Q1330" s="1071">
        <f t="shared" si="269"/>
        <v>0</v>
      </c>
    </row>
    <row r="1331" spans="9:17" ht="13.9" x14ac:dyDescent="0.4">
      <c r="I1331" s="1073">
        <f t="shared" si="268"/>
        <v>0</v>
      </c>
      <c r="J1331" s="159" t="s">
        <v>19</v>
      </c>
      <c r="K1331" s="1350" t="s">
        <v>839</v>
      </c>
      <c r="L1331" s="160"/>
      <c r="M1331" s="159">
        <v>0</v>
      </c>
      <c r="N1331" s="157">
        <v>0</v>
      </c>
      <c r="O1331" s="82">
        <f t="shared" si="267"/>
        <v>0</v>
      </c>
      <c r="P1331" s="158"/>
      <c r="Q1331" s="1071">
        <f t="shared" si="269"/>
        <v>0</v>
      </c>
    </row>
    <row r="1332" spans="9:17" ht="13.9" x14ac:dyDescent="0.4">
      <c r="I1332" s="1073">
        <f t="shared" si="268"/>
        <v>0</v>
      </c>
      <c r="J1332" s="159" t="s">
        <v>19</v>
      </c>
      <c r="K1332" s="1350" t="s">
        <v>839</v>
      </c>
      <c r="L1332" s="160"/>
      <c r="M1332" s="159">
        <v>0</v>
      </c>
      <c r="N1332" s="157">
        <v>0</v>
      </c>
      <c r="O1332" s="82">
        <f t="shared" si="267"/>
        <v>0</v>
      </c>
      <c r="P1332" s="158"/>
      <c r="Q1332" s="1071">
        <f t="shared" si="269"/>
        <v>0</v>
      </c>
    </row>
    <row r="1333" spans="9:17" ht="13.9" x14ac:dyDescent="0.4">
      <c r="I1333" s="1073">
        <f t="shared" si="268"/>
        <v>0</v>
      </c>
      <c r="J1333" s="159" t="s">
        <v>19</v>
      </c>
      <c r="K1333" s="1350" t="s">
        <v>839</v>
      </c>
      <c r="L1333" s="160"/>
      <c r="M1333" s="159">
        <v>0</v>
      </c>
      <c r="N1333" s="157">
        <v>0</v>
      </c>
      <c r="O1333" s="82">
        <f t="shared" si="267"/>
        <v>0</v>
      </c>
      <c r="P1333" s="158"/>
      <c r="Q1333" s="1071">
        <f t="shared" si="269"/>
        <v>0</v>
      </c>
    </row>
    <row r="1334" spans="9:17" ht="13.9" x14ac:dyDescent="0.4">
      <c r="I1334" s="1073">
        <f t="shared" si="268"/>
        <v>0</v>
      </c>
      <c r="J1334" s="159" t="s">
        <v>19</v>
      </c>
      <c r="K1334" s="1350" t="s">
        <v>839</v>
      </c>
      <c r="L1334" s="160"/>
      <c r="M1334" s="159">
        <v>0</v>
      </c>
      <c r="N1334" s="157">
        <v>0</v>
      </c>
      <c r="O1334" s="82">
        <f t="shared" si="267"/>
        <v>0</v>
      </c>
      <c r="P1334" s="158"/>
      <c r="Q1334" s="1071">
        <f t="shared" si="269"/>
        <v>0</v>
      </c>
    </row>
    <row r="1335" spans="9:17" ht="13.9" x14ac:dyDescent="0.4">
      <c r="I1335" s="1073">
        <f t="shared" si="268"/>
        <v>0</v>
      </c>
      <c r="J1335" s="159" t="s">
        <v>19</v>
      </c>
      <c r="K1335" s="1350" t="s">
        <v>839</v>
      </c>
      <c r="L1335" s="160"/>
      <c r="M1335" s="159">
        <v>0</v>
      </c>
      <c r="N1335" s="157">
        <v>0</v>
      </c>
      <c r="O1335" s="82">
        <f t="shared" si="267"/>
        <v>0</v>
      </c>
      <c r="P1335" s="158"/>
      <c r="Q1335" s="1071">
        <f t="shared" si="269"/>
        <v>0</v>
      </c>
    </row>
    <row r="1336" spans="9:17" ht="13.9" x14ac:dyDescent="0.4">
      <c r="I1336" s="1071"/>
      <c r="J1336" s="86" t="s">
        <v>22</v>
      </c>
      <c r="K1336" s="86"/>
      <c r="L1336" s="86"/>
      <c r="M1336" s="81"/>
      <c r="N1336" s="87"/>
      <c r="O1336" s="88">
        <f>SUM(O1326:O1335)</f>
        <v>17.82</v>
      </c>
      <c r="P1336" s="86"/>
      <c r="Q1336" s="1071"/>
    </row>
    <row r="1337" spans="9:17" ht="13.9" x14ac:dyDescent="0.4">
      <c r="I1337" s="1071"/>
      <c r="J1337" s="83"/>
      <c r="K1337" s="83"/>
      <c r="L1337" s="83"/>
      <c r="M1337" s="83"/>
      <c r="N1337" s="84"/>
      <c r="O1337" s="83"/>
      <c r="P1337" s="83"/>
      <c r="Q1337" s="1071"/>
    </row>
    <row r="1338" spans="9:17" ht="13.9" x14ac:dyDescent="0.4">
      <c r="I1338" s="1071"/>
      <c r="J1338" s="78" t="str">
        <f>IF(OR(A2_Budget_Look_Up!$B$7=1,A2_Budget_Look_Up!$B$13=1),"Nematicide Detail", "Fungicide Detail")</f>
        <v>Fungicide Detail</v>
      </c>
      <c r="K1338" s="78"/>
      <c r="L1338" s="78"/>
      <c r="M1338" s="79"/>
      <c r="N1338" s="85"/>
      <c r="O1338" s="79"/>
      <c r="P1338" s="78"/>
      <c r="Q1338" s="1071"/>
    </row>
    <row r="1339" spans="9:17" ht="13.9" x14ac:dyDescent="0.4">
      <c r="I1339" s="1071"/>
      <c r="J1339" s="80" t="s">
        <v>212</v>
      </c>
      <c r="K1339" s="80" t="s">
        <v>838</v>
      </c>
      <c r="L1339" s="80" t="s">
        <v>2</v>
      </c>
      <c r="M1339" s="80" t="s">
        <v>21</v>
      </c>
      <c r="N1339" s="80" t="s">
        <v>174</v>
      </c>
      <c r="O1339" s="80" t="s">
        <v>14</v>
      </c>
      <c r="P1339" s="80" t="s">
        <v>890</v>
      </c>
      <c r="Q1339" s="1071"/>
    </row>
    <row r="1340" spans="9:17" ht="13.9" x14ac:dyDescent="0.4">
      <c r="I1340" s="1073">
        <f>IF($A$1=22,I1335+1,0)</f>
        <v>0</v>
      </c>
      <c r="J1340" s="156" t="str">
        <f>A4_Chem_Prices!N$32</f>
        <v>Quadris Top</v>
      </c>
      <c r="K1340" s="1350" t="s">
        <v>839</v>
      </c>
      <c r="L1340" s="158" t="str">
        <f>A4_Chem_Prices!O$32</f>
        <v>oz</v>
      </c>
      <c r="M1340" s="159">
        <f>A4_Chem_Prices!P$32</f>
        <v>1.315390625</v>
      </c>
      <c r="N1340" s="157">
        <v>10</v>
      </c>
      <c r="O1340" s="82">
        <f>M1340*N1340</f>
        <v>13.15390625</v>
      </c>
      <c r="P1340" s="1449">
        <f>N1340</f>
        <v>10</v>
      </c>
      <c r="Q1340" s="1071">
        <f>Q1335</f>
        <v>0</v>
      </c>
    </row>
    <row r="1341" spans="9:17" ht="13.9" x14ac:dyDescent="0.4">
      <c r="I1341" s="1073">
        <f>IF($A$1=22,I1340+1,0)</f>
        <v>0</v>
      </c>
      <c r="J1341" s="156" t="s">
        <v>19</v>
      </c>
      <c r="K1341" s="1350" t="s">
        <v>839</v>
      </c>
      <c r="L1341" s="158"/>
      <c r="M1341" s="159">
        <v>0</v>
      </c>
      <c r="N1341" s="157">
        <v>0</v>
      </c>
      <c r="O1341" s="82">
        <f>M1341*N1341</f>
        <v>0</v>
      </c>
      <c r="P1341" s="158"/>
      <c r="Q1341" s="1071">
        <f>Q1340</f>
        <v>0</v>
      </c>
    </row>
    <row r="1342" spans="9:17" ht="13.9" x14ac:dyDescent="0.4">
      <c r="I1342" s="1071"/>
      <c r="J1342" s="86" t="s">
        <v>22</v>
      </c>
      <c r="K1342" s="86"/>
      <c r="L1342" s="86"/>
      <c r="M1342" s="81"/>
      <c r="N1342" s="87"/>
      <c r="O1342" s="88">
        <f>SUM(O1340:O1341)</f>
        <v>13.15390625</v>
      </c>
      <c r="P1342" s="86"/>
      <c r="Q1342" s="1071"/>
    </row>
    <row r="1343" spans="9:17" ht="13.9" x14ac:dyDescent="0.4">
      <c r="I1343" s="1071"/>
      <c r="J1343" s="83"/>
      <c r="K1343" s="83"/>
      <c r="L1343" s="83"/>
      <c r="M1343" s="83"/>
      <c r="N1343" s="84"/>
      <c r="O1343" s="83"/>
      <c r="P1343" s="83"/>
      <c r="Q1343" s="1071"/>
    </row>
    <row r="1344" spans="9:17" ht="13.9" x14ac:dyDescent="0.4">
      <c r="I1344" s="1071"/>
      <c r="J1344" s="78" t="str">
        <f>IF(A2_Budget_Look_Up!$B$7=1,"Growth Regulator Detail", IF(A2_Budget_Look_Up!$B$13=1,"Fungicide Detail","Other Chemical Detail"))</f>
        <v>Other Chemical Detail</v>
      </c>
      <c r="K1344" s="78"/>
      <c r="L1344" s="78"/>
      <c r="M1344" s="79"/>
      <c r="N1344" s="85"/>
      <c r="O1344" s="79"/>
      <c r="P1344" s="78"/>
      <c r="Q1344" s="1071"/>
    </row>
    <row r="1345" spans="9:17" ht="13.9" x14ac:dyDescent="0.4">
      <c r="I1345" s="1071"/>
      <c r="J1345" s="80" t="s">
        <v>212</v>
      </c>
      <c r="K1345" s="80" t="s">
        <v>838</v>
      </c>
      <c r="L1345" s="80" t="s">
        <v>2</v>
      </c>
      <c r="M1345" s="80" t="s">
        <v>21</v>
      </c>
      <c r="N1345" s="80" t="s">
        <v>174</v>
      </c>
      <c r="O1345" s="80" t="s">
        <v>14</v>
      </c>
      <c r="P1345" s="80" t="s">
        <v>890</v>
      </c>
      <c r="Q1345" s="1071"/>
    </row>
    <row r="1346" spans="9:17" ht="13.9" x14ac:dyDescent="0.4">
      <c r="I1346" s="1073">
        <f>IF($A$1=22,I1341+1,0)</f>
        <v>0</v>
      </c>
      <c r="J1346" s="156" t="s">
        <v>19</v>
      </c>
      <c r="K1346" s="1350" t="s">
        <v>839</v>
      </c>
      <c r="L1346" s="158"/>
      <c r="M1346" s="159">
        <v>0</v>
      </c>
      <c r="N1346" s="157">
        <v>0</v>
      </c>
      <c r="O1346" s="82">
        <f t="shared" ref="O1346:O1352" si="270">M1346*N1346</f>
        <v>0</v>
      </c>
      <c r="P1346" s="158"/>
      <c r="Q1346" s="1071">
        <f>Q1341</f>
        <v>0</v>
      </c>
    </row>
    <row r="1347" spans="9:17" ht="13.9" x14ac:dyDescent="0.4">
      <c r="I1347" s="1073">
        <f t="shared" ref="I1347:I1352" si="271">IF($A$1=22,I1346+1,0)</f>
        <v>0</v>
      </c>
      <c r="J1347" s="156" t="s">
        <v>19</v>
      </c>
      <c r="K1347" s="1350" t="s">
        <v>839</v>
      </c>
      <c r="L1347" s="158"/>
      <c r="M1347" s="159">
        <v>0</v>
      </c>
      <c r="N1347" s="157">
        <v>0</v>
      </c>
      <c r="O1347" s="82">
        <f t="shared" si="270"/>
        <v>0</v>
      </c>
      <c r="P1347" s="158"/>
      <c r="Q1347" s="1071">
        <f t="shared" ref="Q1347:Q1352" si="272">Q1346</f>
        <v>0</v>
      </c>
    </row>
    <row r="1348" spans="9:17" ht="13.9" x14ac:dyDescent="0.4">
      <c r="I1348" s="1073">
        <f t="shared" si="271"/>
        <v>0</v>
      </c>
      <c r="J1348" s="156" t="s">
        <v>19</v>
      </c>
      <c r="K1348" s="1350" t="s">
        <v>839</v>
      </c>
      <c r="L1348" s="158"/>
      <c r="M1348" s="159">
        <v>0</v>
      </c>
      <c r="N1348" s="157">
        <v>0</v>
      </c>
      <c r="O1348" s="82">
        <f t="shared" si="270"/>
        <v>0</v>
      </c>
      <c r="P1348" s="158"/>
      <c r="Q1348" s="1071">
        <f t="shared" si="272"/>
        <v>0</v>
      </c>
    </row>
    <row r="1349" spans="9:17" ht="13.9" x14ac:dyDescent="0.4">
      <c r="I1349" s="1073">
        <f t="shared" si="271"/>
        <v>0</v>
      </c>
      <c r="J1349" s="156" t="s">
        <v>19</v>
      </c>
      <c r="K1349" s="1350" t="s">
        <v>839</v>
      </c>
      <c r="L1349" s="158"/>
      <c r="M1349" s="159">
        <v>0</v>
      </c>
      <c r="N1349" s="157">
        <v>0</v>
      </c>
      <c r="O1349" s="82">
        <f t="shared" si="270"/>
        <v>0</v>
      </c>
      <c r="P1349" s="158"/>
      <c r="Q1349" s="1071">
        <f t="shared" si="272"/>
        <v>0</v>
      </c>
    </row>
    <row r="1350" spans="9:17" ht="13.9" x14ac:dyDescent="0.4">
      <c r="I1350" s="1073">
        <f t="shared" si="271"/>
        <v>0</v>
      </c>
      <c r="J1350" s="156" t="s">
        <v>19</v>
      </c>
      <c r="K1350" s="1350" t="s">
        <v>839</v>
      </c>
      <c r="L1350" s="158"/>
      <c r="M1350" s="159">
        <v>0</v>
      </c>
      <c r="N1350" s="157">
        <v>0</v>
      </c>
      <c r="O1350" s="82">
        <f t="shared" si="270"/>
        <v>0</v>
      </c>
      <c r="P1350" s="158"/>
      <c r="Q1350" s="1071">
        <f t="shared" si="272"/>
        <v>0</v>
      </c>
    </row>
    <row r="1351" spans="9:17" ht="13.9" x14ac:dyDescent="0.4">
      <c r="I1351" s="1073">
        <f t="shared" si="271"/>
        <v>0</v>
      </c>
      <c r="J1351" s="156" t="s">
        <v>19</v>
      </c>
      <c r="K1351" s="1350" t="s">
        <v>839</v>
      </c>
      <c r="L1351" s="158"/>
      <c r="M1351" s="159">
        <v>0</v>
      </c>
      <c r="N1351" s="157">
        <v>0</v>
      </c>
      <c r="O1351" s="82">
        <f t="shared" si="270"/>
        <v>0</v>
      </c>
      <c r="P1351" s="158"/>
      <c r="Q1351" s="1071">
        <f t="shared" si="272"/>
        <v>0</v>
      </c>
    </row>
    <row r="1352" spans="9:17" ht="13.9" x14ac:dyDescent="0.4">
      <c r="I1352" s="1073">
        <f t="shared" si="271"/>
        <v>0</v>
      </c>
      <c r="J1352" s="156" t="s">
        <v>19</v>
      </c>
      <c r="K1352" s="1350" t="s">
        <v>839</v>
      </c>
      <c r="L1352" s="158"/>
      <c r="M1352" s="159">
        <v>0</v>
      </c>
      <c r="N1352" s="157">
        <v>0</v>
      </c>
      <c r="O1352" s="82">
        <f t="shared" si="270"/>
        <v>0</v>
      </c>
      <c r="P1352" s="158"/>
      <c r="Q1352" s="1071">
        <f t="shared" si="272"/>
        <v>0</v>
      </c>
    </row>
    <row r="1353" spans="9:17" ht="13.9" x14ac:dyDescent="0.4">
      <c r="I1353" s="1071"/>
      <c r="J1353" s="86" t="s">
        <v>22</v>
      </c>
      <c r="K1353" s="86"/>
      <c r="L1353" s="86"/>
      <c r="M1353" s="81"/>
      <c r="N1353" s="87"/>
      <c r="O1353" s="88">
        <f>SUM(O1346:O1352)</f>
        <v>0</v>
      </c>
      <c r="P1353" s="86"/>
      <c r="Q1353" s="1071"/>
    </row>
    <row r="1354" spans="9:17" ht="13.9" x14ac:dyDescent="0.4">
      <c r="I1354" s="1071"/>
      <c r="J1354" s="83"/>
      <c r="K1354" s="83"/>
      <c r="L1354" s="83"/>
      <c r="M1354" s="83"/>
      <c r="N1354" s="84"/>
      <c r="O1354" s="83"/>
      <c r="P1354" s="83"/>
      <c r="Q1354" s="1071"/>
    </row>
    <row r="1355" spans="9:17" ht="13.9" x14ac:dyDescent="0.4">
      <c r="I1355" s="1071"/>
      <c r="J1355" s="78" t="str">
        <f>IF(A2_Budget_Look_Up!$B$7=1,"Defoliant Detail", "Other Chemical Detail")</f>
        <v>Other Chemical Detail</v>
      </c>
      <c r="K1355" s="78"/>
      <c r="L1355" s="78"/>
      <c r="M1355" s="79"/>
      <c r="N1355" s="85"/>
      <c r="O1355" s="79"/>
      <c r="P1355" s="78"/>
      <c r="Q1355" s="1071"/>
    </row>
    <row r="1356" spans="9:17" ht="13.9" x14ac:dyDescent="0.4">
      <c r="I1356" s="1071"/>
      <c r="J1356" s="80" t="s">
        <v>212</v>
      </c>
      <c r="K1356" s="80" t="s">
        <v>838</v>
      </c>
      <c r="L1356" s="80" t="s">
        <v>2</v>
      </c>
      <c r="M1356" s="80" t="s">
        <v>21</v>
      </c>
      <c r="N1356" s="80" t="s">
        <v>174</v>
      </c>
      <c r="O1356" s="80" t="s">
        <v>14</v>
      </c>
      <c r="P1356" s="80" t="s">
        <v>890</v>
      </c>
      <c r="Q1356" s="1071"/>
    </row>
    <row r="1357" spans="9:17" ht="13.9" x14ac:dyDescent="0.4">
      <c r="I1357" s="1073">
        <f>IF($A$1=22,I1352+1,0)</f>
        <v>0</v>
      </c>
      <c r="J1357" s="156" t="s">
        <v>19</v>
      </c>
      <c r="K1357" s="1350" t="s">
        <v>839</v>
      </c>
      <c r="L1357" s="158"/>
      <c r="M1357" s="159">
        <v>0</v>
      </c>
      <c r="N1357" s="157">
        <v>0</v>
      </c>
      <c r="O1357" s="82">
        <f t="shared" ref="O1357:O1363" si="273">M1357*N1357</f>
        <v>0</v>
      </c>
      <c r="P1357" s="158"/>
      <c r="Q1357" s="1071">
        <f>Q1352</f>
        <v>0</v>
      </c>
    </row>
    <row r="1358" spans="9:17" ht="13.9" x14ac:dyDescent="0.4">
      <c r="I1358" s="1073">
        <f t="shared" ref="I1358:I1363" si="274">IF($A$1=22,I1357+1,0)</f>
        <v>0</v>
      </c>
      <c r="J1358" s="156" t="s">
        <v>19</v>
      </c>
      <c r="K1358" s="1350" t="s">
        <v>839</v>
      </c>
      <c r="L1358" s="158"/>
      <c r="M1358" s="159">
        <v>0</v>
      </c>
      <c r="N1358" s="157">
        <v>0</v>
      </c>
      <c r="O1358" s="82">
        <f t="shared" si="273"/>
        <v>0</v>
      </c>
      <c r="P1358" s="158"/>
      <c r="Q1358" s="1071">
        <f t="shared" ref="Q1358:Q1363" si="275">Q1357</f>
        <v>0</v>
      </c>
    </row>
    <row r="1359" spans="9:17" ht="13.9" x14ac:dyDescent="0.4">
      <c r="I1359" s="1073">
        <f t="shared" si="274"/>
        <v>0</v>
      </c>
      <c r="J1359" s="156" t="s">
        <v>19</v>
      </c>
      <c r="K1359" s="1350" t="s">
        <v>839</v>
      </c>
      <c r="L1359" s="158"/>
      <c r="M1359" s="159">
        <v>0</v>
      </c>
      <c r="N1359" s="157">
        <v>0</v>
      </c>
      <c r="O1359" s="82">
        <f t="shared" si="273"/>
        <v>0</v>
      </c>
      <c r="P1359" s="158"/>
      <c r="Q1359" s="1071">
        <f t="shared" si="275"/>
        <v>0</v>
      </c>
    </row>
    <row r="1360" spans="9:17" ht="13.9" x14ac:dyDescent="0.4">
      <c r="I1360" s="1073">
        <f t="shared" si="274"/>
        <v>0</v>
      </c>
      <c r="J1360" s="156" t="s">
        <v>19</v>
      </c>
      <c r="K1360" s="1350" t="s">
        <v>839</v>
      </c>
      <c r="L1360" s="158"/>
      <c r="M1360" s="159">
        <v>0</v>
      </c>
      <c r="N1360" s="157">
        <v>0</v>
      </c>
      <c r="O1360" s="82">
        <f t="shared" si="273"/>
        <v>0</v>
      </c>
      <c r="P1360" s="158"/>
      <c r="Q1360" s="1071">
        <f t="shared" si="275"/>
        <v>0</v>
      </c>
    </row>
    <row r="1361" spans="9:17" ht="13.9" x14ac:dyDescent="0.4">
      <c r="I1361" s="1073">
        <f t="shared" si="274"/>
        <v>0</v>
      </c>
      <c r="J1361" s="156" t="s">
        <v>19</v>
      </c>
      <c r="K1361" s="1350" t="s">
        <v>839</v>
      </c>
      <c r="L1361" s="158"/>
      <c r="M1361" s="159">
        <v>0</v>
      </c>
      <c r="N1361" s="157">
        <v>0</v>
      </c>
      <c r="O1361" s="82">
        <f t="shared" si="273"/>
        <v>0</v>
      </c>
      <c r="P1361" s="158"/>
      <c r="Q1361" s="1071">
        <f t="shared" si="275"/>
        <v>0</v>
      </c>
    </row>
    <row r="1362" spans="9:17" ht="13.9" x14ac:dyDescent="0.4">
      <c r="I1362" s="1073">
        <f t="shared" si="274"/>
        <v>0</v>
      </c>
      <c r="J1362" s="156" t="s">
        <v>19</v>
      </c>
      <c r="K1362" s="1350" t="s">
        <v>839</v>
      </c>
      <c r="L1362" s="158"/>
      <c r="M1362" s="159">
        <v>0</v>
      </c>
      <c r="N1362" s="157">
        <v>0</v>
      </c>
      <c r="O1362" s="82">
        <f t="shared" si="273"/>
        <v>0</v>
      </c>
      <c r="P1362" s="158"/>
      <c r="Q1362" s="1071">
        <f t="shared" si="275"/>
        <v>0</v>
      </c>
    </row>
    <row r="1363" spans="9:17" ht="13.9" x14ac:dyDescent="0.4">
      <c r="I1363" s="1073">
        <f t="shared" si="274"/>
        <v>0</v>
      </c>
      <c r="J1363" s="156" t="s">
        <v>19</v>
      </c>
      <c r="K1363" s="1350" t="s">
        <v>839</v>
      </c>
      <c r="L1363" s="158"/>
      <c r="M1363" s="159">
        <v>0</v>
      </c>
      <c r="N1363" s="157">
        <v>0</v>
      </c>
      <c r="O1363" s="82">
        <f t="shared" si="273"/>
        <v>0</v>
      </c>
      <c r="P1363" s="158"/>
      <c r="Q1363" s="1071">
        <f t="shared" si="275"/>
        <v>0</v>
      </c>
    </row>
    <row r="1364" spans="9:17" ht="13.9" x14ac:dyDescent="0.4">
      <c r="I1364" s="1071"/>
      <c r="J1364" s="86" t="s">
        <v>22</v>
      </c>
      <c r="K1364" s="86"/>
      <c r="L1364" s="86"/>
      <c r="M1364" s="81"/>
      <c r="N1364" s="87"/>
      <c r="O1364" s="88">
        <f>SUM(O1357:O1363)</f>
        <v>0</v>
      </c>
      <c r="P1364" s="86"/>
      <c r="Q1364" s="1071"/>
    </row>
    <row r="1365" spans="9:17" ht="13.9" x14ac:dyDescent="0.4">
      <c r="I1365" s="1071"/>
      <c r="J1365" s="83"/>
      <c r="K1365" s="83"/>
      <c r="L1365" s="83"/>
      <c r="M1365" s="89"/>
      <c r="N1365" s="84"/>
      <c r="O1365" s="89"/>
      <c r="P1365" s="83"/>
      <c r="Q1365" s="1071"/>
    </row>
    <row r="1366" spans="9:17" ht="13.9" x14ac:dyDescent="0.4">
      <c r="I1366" s="1071"/>
      <c r="J1366" s="1168" t="str">
        <f>A2_Budget_Look_Up!H25</f>
        <v>EnlistE3 Soybeans, Furrow</v>
      </c>
      <c r="K1366" s="1168"/>
      <c r="L1366" s="1168">
        <f>A2_Budget_Look_Up!F25</f>
        <v>23</v>
      </c>
      <c r="M1366" s="1168"/>
      <c r="N1366" s="1168"/>
      <c r="O1366" s="1168"/>
      <c r="P1366" s="1168"/>
      <c r="Q1366" s="1071"/>
    </row>
    <row r="1367" spans="9:17" ht="13.9" x14ac:dyDescent="0.4">
      <c r="I1367" s="1071"/>
      <c r="J1367" s="83"/>
      <c r="K1367" s="83"/>
      <c r="L1367" s="83"/>
      <c r="M1367" s="83"/>
      <c r="N1367" s="84"/>
      <c r="O1367" s="83"/>
      <c r="P1367" s="83"/>
      <c r="Q1367" s="1071"/>
    </row>
    <row r="1368" spans="9:17" ht="13.9" x14ac:dyDescent="0.4">
      <c r="I1368" s="1071"/>
      <c r="J1368" s="78" t="s">
        <v>18</v>
      </c>
      <c r="K1368" s="78"/>
      <c r="L1368" s="78"/>
      <c r="M1368" s="79"/>
      <c r="N1368" s="85"/>
      <c r="O1368" s="79"/>
      <c r="P1368" s="78"/>
      <c r="Q1368" s="1071"/>
    </row>
    <row r="1369" spans="9:17" ht="13.9" x14ac:dyDescent="0.4">
      <c r="I1369" s="1071"/>
      <c r="J1369" s="80" t="s">
        <v>212</v>
      </c>
      <c r="K1369" s="80" t="s">
        <v>838</v>
      </c>
      <c r="L1369" s="80" t="s">
        <v>2</v>
      </c>
      <c r="M1369" s="80" t="s">
        <v>21</v>
      </c>
      <c r="N1369" s="80" t="s">
        <v>174</v>
      </c>
      <c r="O1369" s="80" t="s">
        <v>14</v>
      </c>
      <c r="P1369" s="80" t="s">
        <v>890</v>
      </c>
      <c r="Q1369" s="1071"/>
    </row>
    <row r="1370" spans="9:17" ht="13.9" x14ac:dyDescent="0.4">
      <c r="I1370" s="1073">
        <f>IF($A$1=23,1,0)</f>
        <v>0</v>
      </c>
      <c r="J1370" s="159" t="str">
        <f>A4_Chem_Prices!N$2</f>
        <v>Roundup Powermax 3</v>
      </c>
      <c r="K1370" s="1350" t="s">
        <v>839</v>
      </c>
      <c r="L1370" s="158" t="str">
        <f>A4_Chem_Prices!O$2</f>
        <v>oz</v>
      </c>
      <c r="M1370" s="159">
        <f>A4_Chem_Prices!P$2</f>
        <v>0.140625</v>
      </c>
      <c r="N1370" s="157">
        <v>32</v>
      </c>
      <c r="O1370" s="82">
        <f t="shared" ref="O1370:O1383" si="276">M1370*N1370</f>
        <v>4.5</v>
      </c>
      <c r="P1370" s="1449">
        <f>N1370</f>
        <v>32</v>
      </c>
      <c r="Q1370" s="1171">
        <f>IF(SUM(I1370:I1425)=820,L1366,0)</f>
        <v>0</v>
      </c>
    </row>
    <row r="1371" spans="9:17" ht="13.9" x14ac:dyDescent="0.4">
      <c r="I1371" s="1073">
        <f t="shared" ref="I1371:I1383" si="277">IF($A$1=23,I1370+1,0)</f>
        <v>0</v>
      </c>
      <c r="J1371" s="159" t="str">
        <f>A4_Chem_Prices!N$3</f>
        <v>2,4-D</v>
      </c>
      <c r="K1371" s="1350" t="s">
        <v>839</v>
      </c>
      <c r="L1371" s="160" t="str">
        <f>A4_Chem_Prices!O$3</f>
        <v>oz</v>
      </c>
      <c r="M1371" s="159">
        <f>A4_Chem_Prices!P$3</f>
        <v>0.2734375</v>
      </c>
      <c r="N1371" s="157">
        <v>32</v>
      </c>
      <c r="O1371" s="82">
        <f t="shared" si="276"/>
        <v>8.75</v>
      </c>
      <c r="P1371" s="1449">
        <f>N1371</f>
        <v>32</v>
      </c>
      <c r="Q1371" s="1071">
        <f>Q1370</f>
        <v>0</v>
      </c>
    </row>
    <row r="1372" spans="9:17" ht="13.9" x14ac:dyDescent="0.4">
      <c r="I1372" s="1073">
        <f t="shared" si="277"/>
        <v>0</v>
      </c>
      <c r="J1372" s="159" t="str">
        <f>A4_Chem_Prices!Q$9</f>
        <v>Boundary</v>
      </c>
      <c r="K1372" s="1350" t="s">
        <v>839</v>
      </c>
      <c r="L1372" s="158" t="str">
        <f>A4_Chem_Prices!R$9</f>
        <v>oz</v>
      </c>
      <c r="M1372" s="159">
        <f>A4_Chem_Prices!S$9</f>
        <v>0.68414062499999995</v>
      </c>
      <c r="N1372" s="157">
        <v>32</v>
      </c>
      <c r="O1372" s="82">
        <f t="shared" si="276"/>
        <v>21.892499999999998</v>
      </c>
      <c r="P1372" s="1449">
        <f>N1372</f>
        <v>32</v>
      </c>
      <c r="Q1372" s="1071">
        <f t="shared" ref="Q1372:Q1383" si="278">Q1371</f>
        <v>0</v>
      </c>
    </row>
    <row r="1373" spans="9:17" ht="13.9" x14ac:dyDescent="0.4">
      <c r="I1373" s="1073">
        <f t="shared" si="277"/>
        <v>0</v>
      </c>
      <c r="J1373" s="159" t="str">
        <f>A4_Chem_Prices!N$2</f>
        <v>Roundup Powermax 3</v>
      </c>
      <c r="K1373" s="1350" t="s">
        <v>839</v>
      </c>
      <c r="L1373" s="158" t="str">
        <f>A4_Chem_Prices!O$2</f>
        <v>oz</v>
      </c>
      <c r="M1373" s="159">
        <f>A4_Chem_Prices!P$2</f>
        <v>0.140625</v>
      </c>
      <c r="N1373" s="157">
        <v>32</v>
      </c>
      <c r="O1373" s="82">
        <f>M1373*N1373</f>
        <v>4.5</v>
      </c>
      <c r="P1373" s="1449">
        <f>N1373</f>
        <v>32</v>
      </c>
      <c r="Q1373" s="1071">
        <f t="shared" si="278"/>
        <v>0</v>
      </c>
    </row>
    <row r="1374" spans="9:17" ht="13.9" x14ac:dyDescent="0.4">
      <c r="I1374" s="1073">
        <f t="shared" si="277"/>
        <v>0</v>
      </c>
      <c r="J1374" s="159" t="str">
        <f>A4_Chem_Prices!N$15</f>
        <v>Enlist One</v>
      </c>
      <c r="K1374" s="1350" t="s">
        <v>839</v>
      </c>
      <c r="L1374" s="158" t="str">
        <f>A4_Chem_Prices!O$15</f>
        <v>oz</v>
      </c>
      <c r="M1374" s="159">
        <f>A4_Chem_Prices!P$15</f>
        <v>0.47875000000000001</v>
      </c>
      <c r="N1374" s="157">
        <v>32</v>
      </c>
      <c r="O1374" s="82">
        <f>M1374*N1374</f>
        <v>15.32</v>
      </c>
      <c r="P1374" s="160">
        <f>N1374*16</f>
        <v>512</v>
      </c>
      <c r="Q1374" s="1071">
        <f t="shared" si="278"/>
        <v>0</v>
      </c>
    </row>
    <row r="1375" spans="9:17" ht="13.9" x14ac:dyDescent="0.4">
      <c r="I1375" s="1073">
        <f t="shared" si="277"/>
        <v>0</v>
      </c>
      <c r="J1375" s="159" t="str">
        <f>A4_Chem_Prices!N$11</f>
        <v>Zidua</v>
      </c>
      <c r="K1375" s="1350" t="s">
        <v>839</v>
      </c>
      <c r="L1375" s="160" t="str">
        <f>A4_Chem_Prices!O$11</f>
        <v>oz</v>
      </c>
      <c r="M1375" s="159">
        <f>A4_Chem_Prices!P$11</f>
        <v>5.7421875</v>
      </c>
      <c r="N1375" s="157">
        <v>3.5</v>
      </c>
      <c r="O1375" s="82">
        <f>M1375*N1375</f>
        <v>20.09765625</v>
      </c>
      <c r="P1375" s="1449">
        <f>N1375</f>
        <v>3.5</v>
      </c>
      <c r="Q1375" s="1071">
        <f t="shared" si="278"/>
        <v>0</v>
      </c>
    </row>
    <row r="1376" spans="9:17" ht="13.9" x14ac:dyDescent="0.4">
      <c r="I1376" s="1073">
        <f t="shared" si="277"/>
        <v>0</v>
      </c>
      <c r="J1376" s="159" t="s">
        <v>19</v>
      </c>
      <c r="K1376" s="1350" t="s">
        <v>839</v>
      </c>
      <c r="L1376" s="160"/>
      <c r="M1376" s="159">
        <v>0</v>
      </c>
      <c r="N1376" s="157">
        <v>0</v>
      </c>
      <c r="O1376" s="82">
        <f t="shared" si="276"/>
        <v>0</v>
      </c>
      <c r="P1376" s="160"/>
      <c r="Q1376" s="1071">
        <f t="shared" si="278"/>
        <v>0</v>
      </c>
    </row>
    <row r="1377" spans="9:17" ht="13.9" x14ac:dyDescent="0.4">
      <c r="I1377" s="1073">
        <f t="shared" si="277"/>
        <v>0</v>
      </c>
      <c r="J1377" s="159" t="s">
        <v>19</v>
      </c>
      <c r="K1377" s="1350" t="s">
        <v>839</v>
      </c>
      <c r="L1377" s="160"/>
      <c r="M1377" s="159">
        <v>0</v>
      </c>
      <c r="N1377" s="157">
        <v>0</v>
      </c>
      <c r="O1377" s="82">
        <f t="shared" si="276"/>
        <v>0</v>
      </c>
      <c r="P1377" s="160"/>
      <c r="Q1377" s="1071">
        <f t="shared" si="278"/>
        <v>0</v>
      </c>
    </row>
    <row r="1378" spans="9:17" ht="13.9" x14ac:dyDescent="0.4">
      <c r="I1378" s="1073">
        <f t="shared" si="277"/>
        <v>0</v>
      </c>
      <c r="J1378" s="159" t="s">
        <v>19</v>
      </c>
      <c r="K1378" s="1350" t="s">
        <v>839</v>
      </c>
      <c r="L1378" s="160"/>
      <c r="M1378" s="159">
        <v>0</v>
      </c>
      <c r="N1378" s="157">
        <v>0</v>
      </c>
      <c r="O1378" s="82">
        <f t="shared" si="276"/>
        <v>0</v>
      </c>
      <c r="P1378" s="160"/>
      <c r="Q1378" s="1071">
        <f t="shared" si="278"/>
        <v>0</v>
      </c>
    </row>
    <row r="1379" spans="9:17" ht="13.9" x14ac:dyDescent="0.4">
      <c r="I1379" s="1073">
        <f t="shared" si="277"/>
        <v>0</v>
      </c>
      <c r="J1379" s="159" t="s">
        <v>19</v>
      </c>
      <c r="K1379" s="1350" t="s">
        <v>839</v>
      </c>
      <c r="L1379" s="160"/>
      <c r="M1379" s="159">
        <v>0</v>
      </c>
      <c r="N1379" s="157">
        <v>0</v>
      </c>
      <c r="O1379" s="82">
        <f t="shared" si="276"/>
        <v>0</v>
      </c>
      <c r="P1379" s="160"/>
      <c r="Q1379" s="1071">
        <f t="shared" si="278"/>
        <v>0</v>
      </c>
    </row>
    <row r="1380" spans="9:17" ht="13.9" x14ac:dyDescent="0.4">
      <c r="I1380" s="1073">
        <f t="shared" si="277"/>
        <v>0</v>
      </c>
      <c r="J1380" s="159" t="s">
        <v>19</v>
      </c>
      <c r="K1380" s="1350" t="s">
        <v>839</v>
      </c>
      <c r="L1380" s="160"/>
      <c r="M1380" s="159">
        <v>0</v>
      </c>
      <c r="N1380" s="157">
        <v>0</v>
      </c>
      <c r="O1380" s="82">
        <f t="shared" si="276"/>
        <v>0</v>
      </c>
      <c r="P1380" s="160"/>
      <c r="Q1380" s="1071">
        <f t="shared" si="278"/>
        <v>0</v>
      </c>
    </row>
    <row r="1381" spans="9:17" ht="13.9" x14ac:dyDescent="0.4">
      <c r="I1381" s="1073">
        <f t="shared" si="277"/>
        <v>0</v>
      </c>
      <c r="J1381" s="159" t="s">
        <v>19</v>
      </c>
      <c r="K1381" s="1350" t="s">
        <v>839</v>
      </c>
      <c r="L1381" s="160"/>
      <c r="M1381" s="159">
        <v>0</v>
      </c>
      <c r="N1381" s="157">
        <v>0</v>
      </c>
      <c r="O1381" s="82">
        <f t="shared" si="276"/>
        <v>0</v>
      </c>
      <c r="P1381" s="160"/>
      <c r="Q1381" s="1071">
        <f t="shared" si="278"/>
        <v>0</v>
      </c>
    </row>
    <row r="1382" spans="9:17" ht="13.9" x14ac:dyDescent="0.4">
      <c r="I1382" s="1073">
        <f t="shared" si="277"/>
        <v>0</v>
      </c>
      <c r="J1382" s="159" t="s">
        <v>19</v>
      </c>
      <c r="K1382" s="1350" t="s">
        <v>839</v>
      </c>
      <c r="L1382" s="160"/>
      <c r="M1382" s="159">
        <v>0</v>
      </c>
      <c r="N1382" s="157">
        <v>0</v>
      </c>
      <c r="O1382" s="82">
        <f t="shared" si="276"/>
        <v>0</v>
      </c>
      <c r="P1382" s="160"/>
      <c r="Q1382" s="1071">
        <f t="shared" si="278"/>
        <v>0</v>
      </c>
    </row>
    <row r="1383" spans="9:17" ht="13.9" x14ac:dyDescent="0.4">
      <c r="I1383" s="1073">
        <f t="shared" si="277"/>
        <v>0</v>
      </c>
      <c r="J1383" s="159" t="s">
        <v>19</v>
      </c>
      <c r="K1383" s="1350" t="s">
        <v>839</v>
      </c>
      <c r="L1383" s="160"/>
      <c r="M1383" s="159">
        <v>0</v>
      </c>
      <c r="N1383" s="157">
        <v>0</v>
      </c>
      <c r="O1383" s="82">
        <f t="shared" si="276"/>
        <v>0</v>
      </c>
      <c r="P1383" s="160"/>
      <c r="Q1383" s="1071">
        <f t="shared" si="278"/>
        <v>0</v>
      </c>
    </row>
    <row r="1384" spans="9:17" ht="13.9" x14ac:dyDescent="0.4">
      <c r="I1384" s="1071"/>
      <c r="J1384" s="86" t="s">
        <v>22</v>
      </c>
      <c r="K1384" s="86"/>
      <c r="L1384" s="86"/>
      <c r="M1384" s="81"/>
      <c r="N1384" s="87"/>
      <c r="O1384" s="88">
        <f>SUM(O1370:O1383)</f>
        <v>75.060156250000006</v>
      </c>
      <c r="P1384" s="86"/>
      <c r="Q1384" s="1071"/>
    </row>
    <row r="1385" spans="9:17" ht="13.9" x14ac:dyDescent="0.4">
      <c r="I1385" s="1071"/>
      <c r="J1385" s="83"/>
      <c r="K1385" s="83"/>
      <c r="L1385" s="83"/>
      <c r="M1385" s="83"/>
      <c r="N1385" s="84"/>
      <c r="O1385" s="83"/>
      <c r="P1385" s="83"/>
      <c r="Q1385" s="1071"/>
    </row>
    <row r="1386" spans="9:17" ht="13.9" x14ac:dyDescent="0.4">
      <c r="I1386" s="1071"/>
      <c r="J1386" s="78" t="s">
        <v>20</v>
      </c>
      <c r="K1386" s="78"/>
      <c r="L1386" s="78"/>
      <c r="M1386" s="79"/>
      <c r="N1386" s="85"/>
      <c r="O1386" s="79"/>
      <c r="P1386" s="78"/>
      <c r="Q1386" s="1071"/>
    </row>
    <row r="1387" spans="9:17" ht="13.9" x14ac:dyDescent="0.4">
      <c r="I1387" s="1071"/>
      <c r="J1387" s="80" t="s">
        <v>212</v>
      </c>
      <c r="K1387" s="80" t="s">
        <v>838</v>
      </c>
      <c r="L1387" s="80" t="s">
        <v>2</v>
      </c>
      <c r="M1387" s="80" t="s">
        <v>21</v>
      </c>
      <c r="N1387" s="80" t="s">
        <v>174</v>
      </c>
      <c r="O1387" s="80" t="s">
        <v>14</v>
      </c>
      <c r="P1387" s="80" t="s">
        <v>890</v>
      </c>
      <c r="Q1387" s="1071"/>
    </row>
    <row r="1388" spans="9:17" ht="13.9" x14ac:dyDescent="0.4">
      <c r="I1388" s="1073">
        <f>IF($A$1=23,I1383+1,0)</f>
        <v>0</v>
      </c>
      <c r="J1388" s="159" t="str">
        <f>A4_Chem_Prices!N$19</f>
        <v>Besiege</v>
      </c>
      <c r="K1388" s="1350" t="s">
        <v>839</v>
      </c>
      <c r="L1388" s="160" t="str">
        <f>A4_Chem_Prices!O$19</f>
        <v>oz</v>
      </c>
      <c r="M1388" s="159">
        <f>A4_Chem_Prices!P$19</f>
        <v>1.98</v>
      </c>
      <c r="N1388" s="157">
        <v>9</v>
      </c>
      <c r="O1388" s="82">
        <f t="shared" ref="O1388:O1397" si="279">M1388*N1388</f>
        <v>17.82</v>
      </c>
      <c r="P1388" s="1449">
        <f>N1388</f>
        <v>9</v>
      </c>
      <c r="Q1388" s="1071">
        <f>Q1370</f>
        <v>0</v>
      </c>
    </row>
    <row r="1389" spans="9:17" ht="13.9" x14ac:dyDescent="0.4">
      <c r="I1389" s="1073">
        <f t="shared" ref="I1389:I1397" si="280">IF($A$1=23,I1388+1,0)</f>
        <v>0</v>
      </c>
      <c r="J1389" s="159" t="s">
        <v>19</v>
      </c>
      <c r="K1389" s="1350" t="s">
        <v>839</v>
      </c>
      <c r="L1389" s="160"/>
      <c r="M1389" s="159">
        <v>0</v>
      </c>
      <c r="N1389" s="157">
        <v>0</v>
      </c>
      <c r="O1389" s="82">
        <f t="shared" si="279"/>
        <v>0</v>
      </c>
      <c r="P1389" s="158"/>
      <c r="Q1389" s="1071">
        <f>Q1388</f>
        <v>0</v>
      </c>
    </row>
    <row r="1390" spans="9:17" ht="13.9" x14ac:dyDescent="0.4">
      <c r="I1390" s="1073">
        <f t="shared" si="280"/>
        <v>0</v>
      </c>
      <c r="J1390" s="159" t="s">
        <v>19</v>
      </c>
      <c r="K1390" s="1350" t="s">
        <v>839</v>
      </c>
      <c r="L1390" s="160"/>
      <c r="M1390" s="159">
        <v>0</v>
      </c>
      <c r="N1390" s="157">
        <v>0</v>
      </c>
      <c r="O1390" s="82">
        <f t="shared" si="279"/>
        <v>0</v>
      </c>
      <c r="P1390" s="158"/>
      <c r="Q1390" s="1071">
        <f t="shared" ref="Q1390:Q1397" si="281">Q1389</f>
        <v>0</v>
      </c>
    </row>
    <row r="1391" spans="9:17" ht="13.9" x14ac:dyDescent="0.4">
      <c r="I1391" s="1073">
        <f t="shared" si="280"/>
        <v>0</v>
      </c>
      <c r="J1391" s="159" t="s">
        <v>19</v>
      </c>
      <c r="K1391" s="1350" t="s">
        <v>839</v>
      </c>
      <c r="L1391" s="160"/>
      <c r="M1391" s="159">
        <v>0</v>
      </c>
      <c r="N1391" s="157">
        <v>0</v>
      </c>
      <c r="O1391" s="82">
        <f t="shared" si="279"/>
        <v>0</v>
      </c>
      <c r="P1391" s="158"/>
      <c r="Q1391" s="1071">
        <f t="shared" si="281"/>
        <v>0</v>
      </c>
    </row>
    <row r="1392" spans="9:17" ht="13.9" x14ac:dyDescent="0.4">
      <c r="I1392" s="1073">
        <f t="shared" si="280"/>
        <v>0</v>
      </c>
      <c r="J1392" s="159" t="s">
        <v>19</v>
      </c>
      <c r="K1392" s="1350" t="s">
        <v>839</v>
      </c>
      <c r="L1392" s="160"/>
      <c r="M1392" s="159">
        <v>0</v>
      </c>
      <c r="N1392" s="157">
        <v>0</v>
      </c>
      <c r="O1392" s="82">
        <f t="shared" si="279"/>
        <v>0</v>
      </c>
      <c r="P1392" s="158"/>
      <c r="Q1392" s="1071">
        <f t="shared" si="281"/>
        <v>0</v>
      </c>
    </row>
    <row r="1393" spans="9:17" ht="13.9" x14ac:dyDescent="0.4">
      <c r="I1393" s="1073">
        <f t="shared" si="280"/>
        <v>0</v>
      </c>
      <c r="J1393" s="159" t="s">
        <v>19</v>
      </c>
      <c r="K1393" s="1350" t="s">
        <v>839</v>
      </c>
      <c r="L1393" s="160"/>
      <c r="M1393" s="159">
        <v>0</v>
      </c>
      <c r="N1393" s="157">
        <v>0</v>
      </c>
      <c r="O1393" s="82">
        <f t="shared" si="279"/>
        <v>0</v>
      </c>
      <c r="P1393" s="158"/>
      <c r="Q1393" s="1071">
        <f t="shared" si="281"/>
        <v>0</v>
      </c>
    </row>
    <row r="1394" spans="9:17" ht="13.9" x14ac:dyDescent="0.4">
      <c r="I1394" s="1073">
        <f t="shared" si="280"/>
        <v>0</v>
      </c>
      <c r="J1394" s="159" t="s">
        <v>19</v>
      </c>
      <c r="K1394" s="1350" t="s">
        <v>839</v>
      </c>
      <c r="L1394" s="160"/>
      <c r="M1394" s="159">
        <v>0</v>
      </c>
      <c r="N1394" s="157">
        <v>0</v>
      </c>
      <c r="O1394" s="82">
        <f t="shared" si="279"/>
        <v>0</v>
      </c>
      <c r="P1394" s="158"/>
      <c r="Q1394" s="1071">
        <f t="shared" si="281"/>
        <v>0</v>
      </c>
    </row>
    <row r="1395" spans="9:17" ht="13.9" x14ac:dyDescent="0.4">
      <c r="I1395" s="1073">
        <f t="shared" si="280"/>
        <v>0</v>
      </c>
      <c r="J1395" s="159" t="s">
        <v>19</v>
      </c>
      <c r="K1395" s="1350" t="s">
        <v>839</v>
      </c>
      <c r="L1395" s="160"/>
      <c r="M1395" s="159">
        <v>0</v>
      </c>
      <c r="N1395" s="157">
        <v>0</v>
      </c>
      <c r="O1395" s="82">
        <f t="shared" si="279"/>
        <v>0</v>
      </c>
      <c r="P1395" s="158"/>
      <c r="Q1395" s="1071">
        <f t="shared" si="281"/>
        <v>0</v>
      </c>
    </row>
    <row r="1396" spans="9:17" ht="13.9" x14ac:dyDescent="0.4">
      <c r="I1396" s="1073">
        <f t="shared" si="280"/>
        <v>0</v>
      </c>
      <c r="J1396" s="159" t="s">
        <v>19</v>
      </c>
      <c r="K1396" s="1350" t="s">
        <v>839</v>
      </c>
      <c r="L1396" s="160"/>
      <c r="M1396" s="159">
        <v>0</v>
      </c>
      <c r="N1396" s="157">
        <v>0</v>
      </c>
      <c r="O1396" s="82">
        <f t="shared" si="279"/>
        <v>0</v>
      </c>
      <c r="P1396" s="158"/>
      <c r="Q1396" s="1071">
        <f t="shared" si="281"/>
        <v>0</v>
      </c>
    </row>
    <row r="1397" spans="9:17" ht="13.9" x14ac:dyDescent="0.4">
      <c r="I1397" s="1073">
        <f t="shared" si="280"/>
        <v>0</v>
      </c>
      <c r="J1397" s="159" t="s">
        <v>19</v>
      </c>
      <c r="K1397" s="1350" t="s">
        <v>839</v>
      </c>
      <c r="L1397" s="160"/>
      <c r="M1397" s="159">
        <v>0</v>
      </c>
      <c r="N1397" s="157">
        <v>0</v>
      </c>
      <c r="O1397" s="82">
        <f t="shared" si="279"/>
        <v>0</v>
      </c>
      <c r="P1397" s="158"/>
      <c r="Q1397" s="1071">
        <f t="shared" si="281"/>
        <v>0</v>
      </c>
    </row>
    <row r="1398" spans="9:17" ht="13.9" x14ac:dyDescent="0.4">
      <c r="I1398" s="1071"/>
      <c r="J1398" s="86" t="s">
        <v>22</v>
      </c>
      <c r="K1398" s="86"/>
      <c r="L1398" s="86"/>
      <c r="M1398" s="81"/>
      <c r="N1398" s="87"/>
      <c r="O1398" s="88">
        <f>SUM(O1388:O1397)</f>
        <v>17.82</v>
      </c>
      <c r="P1398" s="86"/>
      <c r="Q1398" s="1071"/>
    </row>
    <row r="1399" spans="9:17" ht="13.9" x14ac:dyDescent="0.4">
      <c r="I1399" s="1071"/>
      <c r="J1399" s="83"/>
      <c r="K1399" s="83"/>
      <c r="L1399" s="83"/>
      <c r="M1399" s="83"/>
      <c r="N1399" s="84"/>
      <c r="O1399" s="83"/>
      <c r="P1399" s="83"/>
      <c r="Q1399" s="1071"/>
    </row>
    <row r="1400" spans="9:17" ht="13.9" x14ac:dyDescent="0.4">
      <c r="I1400" s="1071"/>
      <c r="J1400" s="78" t="str">
        <f>IF(OR(A2_Budget_Look_Up!$B$7=1,A2_Budget_Look_Up!$B$13=1),"Nematicide Detail", "Fungicide Detail")</f>
        <v>Fungicide Detail</v>
      </c>
      <c r="K1400" s="78"/>
      <c r="L1400" s="78"/>
      <c r="M1400" s="79"/>
      <c r="N1400" s="85"/>
      <c r="O1400" s="79"/>
      <c r="P1400" s="78"/>
      <c r="Q1400" s="1071"/>
    </row>
    <row r="1401" spans="9:17" ht="13.9" x14ac:dyDescent="0.4">
      <c r="I1401" s="1071"/>
      <c r="J1401" s="80" t="s">
        <v>212</v>
      </c>
      <c r="K1401" s="80" t="s">
        <v>838</v>
      </c>
      <c r="L1401" s="80" t="s">
        <v>2</v>
      </c>
      <c r="M1401" s="80" t="s">
        <v>21</v>
      </c>
      <c r="N1401" s="80" t="s">
        <v>174</v>
      </c>
      <c r="O1401" s="80" t="s">
        <v>14</v>
      </c>
      <c r="P1401" s="80" t="s">
        <v>890</v>
      </c>
      <c r="Q1401" s="1071"/>
    </row>
    <row r="1402" spans="9:17" ht="13.9" x14ac:dyDescent="0.4">
      <c r="I1402" s="1073">
        <f>IF($A$1=23,I1397+1,0)</f>
        <v>0</v>
      </c>
      <c r="J1402" s="156" t="str">
        <f>A4_Chem_Prices!N$32</f>
        <v>Quadris Top</v>
      </c>
      <c r="K1402" s="1350" t="s">
        <v>839</v>
      </c>
      <c r="L1402" s="158" t="str">
        <f>A4_Chem_Prices!O$32</f>
        <v>oz</v>
      </c>
      <c r="M1402" s="159">
        <f>A4_Chem_Prices!P$32</f>
        <v>1.315390625</v>
      </c>
      <c r="N1402" s="157">
        <v>10</v>
      </c>
      <c r="O1402" s="82">
        <f>M1402*N1402</f>
        <v>13.15390625</v>
      </c>
      <c r="P1402" s="1449">
        <f>N1402</f>
        <v>10</v>
      </c>
      <c r="Q1402" s="1071">
        <f>Q1397</f>
        <v>0</v>
      </c>
    </row>
    <row r="1403" spans="9:17" ht="13.9" x14ac:dyDescent="0.4">
      <c r="I1403" s="1073">
        <f>IF($A$1=23,I1402+1,0)</f>
        <v>0</v>
      </c>
      <c r="J1403" s="156" t="s">
        <v>19</v>
      </c>
      <c r="K1403" s="1350" t="s">
        <v>839</v>
      </c>
      <c r="L1403" s="158"/>
      <c r="M1403" s="159">
        <v>0</v>
      </c>
      <c r="N1403" s="157">
        <v>0</v>
      </c>
      <c r="O1403" s="82">
        <f>M1403*N1403</f>
        <v>0</v>
      </c>
      <c r="P1403" s="158"/>
      <c r="Q1403" s="1071">
        <f>Q1402</f>
        <v>0</v>
      </c>
    </row>
    <row r="1404" spans="9:17" ht="13.9" x14ac:dyDescent="0.4">
      <c r="I1404" s="1071"/>
      <c r="J1404" s="86" t="s">
        <v>22</v>
      </c>
      <c r="K1404" s="86"/>
      <c r="L1404" s="86"/>
      <c r="M1404" s="81"/>
      <c r="N1404" s="87"/>
      <c r="O1404" s="88">
        <f>SUM(O1402:O1403)</f>
        <v>13.15390625</v>
      </c>
      <c r="P1404" s="86"/>
      <c r="Q1404" s="1071"/>
    </row>
    <row r="1405" spans="9:17" ht="13.9" x14ac:dyDescent="0.4">
      <c r="I1405" s="1071"/>
      <c r="J1405" s="83"/>
      <c r="K1405" s="83"/>
      <c r="L1405" s="83"/>
      <c r="M1405" s="83"/>
      <c r="N1405" s="84"/>
      <c r="O1405" s="83"/>
      <c r="P1405" s="83"/>
      <c r="Q1405" s="1071"/>
    </row>
    <row r="1406" spans="9:17" ht="13.9" x14ac:dyDescent="0.4">
      <c r="I1406" s="1071"/>
      <c r="J1406" s="78" t="str">
        <f>IF(A2_Budget_Look_Up!$B$7=1,"Growth Regulator Detail", IF(A2_Budget_Look_Up!$B$13=1,"Fungicide Detail","Other Chemical Detail"))</f>
        <v>Other Chemical Detail</v>
      </c>
      <c r="K1406" s="78"/>
      <c r="L1406" s="78"/>
      <c r="M1406" s="79"/>
      <c r="N1406" s="85"/>
      <c r="O1406" s="79"/>
      <c r="P1406" s="78"/>
      <c r="Q1406" s="1071"/>
    </row>
    <row r="1407" spans="9:17" ht="13.9" x14ac:dyDescent="0.4">
      <c r="I1407" s="1071"/>
      <c r="J1407" s="80" t="s">
        <v>212</v>
      </c>
      <c r="K1407" s="80" t="s">
        <v>838</v>
      </c>
      <c r="L1407" s="80" t="s">
        <v>2</v>
      </c>
      <c r="M1407" s="80" t="s">
        <v>21</v>
      </c>
      <c r="N1407" s="80" t="s">
        <v>174</v>
      </c>
      <c r="O1407" s="80" t="s">
        <v>14</v>
      </c>
      <c r="P1407" s="80" t="s">
        <v>890</v>
      </c>
      <c r="Q1407" s="1071"/>
    </row>
    <row r="1408" spans="9:17" ht="13.9" x14ac:dyDescent="0.4">
      <c r="I1408" s="1073">
        <f>IF($A$1=23,I1403+1,0)</f>
        <v>0</v>
      </c>
      <c r="J1408" s="156" t="s">
        <v>19</v>
      </c>
      <c r="K1408" s="1350" t="s">
        <v>839</v>
      </c>
      <c r="L1408" s="158"/>
      <c r="M1408" s="159">
        <v>0</v>
      </c>
      <c r="N1408" s="157">
        <v>0</v>
      </c>
      <c r="O1408" s="82">
        <f t="shared" ref="O1408:O1414" si="282">M1408*N1408</f>
        <v>0</v>
      </c>
      <c r="P1408" s="160"/>
      <c r="Q1408" s="1071">
        <f>Q1403</f>
        <v>0</v>
      </c>
    </row>
    <row r="1409" spans="9:17" ht="13.9" x14ac:dyDescent="0.4">
      <c r="I1409" s="1073">
        <f t="shared" ref="I1409:I1414" si="283">IF($A$1=23,I1408+1,0)</f>
        <v>0</v>
      </c>
      <c r="J1409" s="156" t="s">
        <v>19</v>
      </c>
      <c r="K1409" s="1350" t="s">
        <v>839</v>
      </c>
      <c r="L1409" s="158"/>
      <c r="M1409" s="159">
        <v>0</v>
      </c>
      <c r="N1409" s="157">
        <v>0</v>
      </c>
      <c r="O1409" s="82">
        <f t="shared" si="282"/>
        <v>0</v>
      </c>
      <c r="P1409" s="160"/>
      <c r="Q1409" s="1071">
        <f t="shared" ref="Q1409:Q1414" si="284">Q1408</f>
        <v>0</v>
      </c>
    </row>
    <row r="1410" spans="9:17" ht="13.9" x14ac:dyDescent="0.4">
      <c r="I1410" s="1073">
        <f t="shared" si="283"/>
        <v>0</v>
      </c>
      <c r="J1410" s="156" t="s">
        <v>19</v>
      </c>
      <c r="K1410" s="1350" t="s">
        <v>839</v>
      </c>
      <c r="L1410" s="158"/>
      <c r="M1410" s="159">
        <v>0</v>
      </c>
      <c r="N1410" s="157">
        <v>0</v>
      </c>
      <c r="O1410" s="82">
        <f t="shared" si="282"/>
        <v>0</v>
      </c>
      <c r="P1410" s="160"/>
      <c r="Q1410" s="1071">
        <f t="shared" si="284"/>
        <v>0</v>
      </c>
    </row>
    <row r="1411" spans="9:17" ht="13.9" x14ac:dyDescent="0.4">
      <c r="I1411" s="1073">
        <f t="shared" si="283"/>
        <v>0</v>
      </c>
      <c r="J1411" s="156" t="s">
        <v>19</v>
      </c>
      <c r="K1411" s="1350" t="s">
        <v>839</v>
      </c>
      <c r="L1411" s="158"/>
      <c r="M1411" s="159">
        <v>0</v>
      </c>
      <c r="N1411" s="157">
        <v>0</v>
      </c>
      <c r="O1411" s="82">
        <f t="shared" si="282"/>
        <v>0</v>
      </c>
      <c r="P1411" s="158"/>
      <c r="Q1411" s="1071">
        <f t="shared" si="284"/>
        <v>0</v>
      </c>
    </row>
    <row r="1412" spans="9:17" ht="13.9" x14ac:dyDescent="0.4">
      <c r="I1412" s="1073">
        <f t="shared" si="283"/>
        <v>0</v>
      </c>
      <c r="J1412" s="156" t="s">
        <v>19</v>
      </c>
      <c r="K1412" s="1350" t="s">
        <v>839</v>
      </c>
      <c r="L1412" s="158"/>
      <c r="M1412" s="159">
        <v>0</v>
      </c>
      <c r="N1412" s="157">
        <v>0</v>
      </c>
      <c r="O1412" s="82">
        <f t="shared" si="282"/>
        <v>0</v>
      </c>
      <c r="P1412" s="158"/>
      <c r="Q1412" s="1071">
        <f t="shared" si="284"/>
        <v>0</v>
      </c>
    </row>
    <row r="1413" spans="9:17" ht="13.9" x14ac:dyDescent="0.4">
      <c r="I1413" s="1073">
        <f t="shared" si="283"/>
        <v>0</v>
      </c>
      <c r="J1413" s="156" t="s">
        <v>19</v>
      </c>
      <c r="K1413" s="1350" t="s">
        <v>839</v>
      </c>
      <c r="L1413" s="158"/>
      <c r="M1413" s="159">
        <v>0</v>
      </c>
      <c r="N1413" s="157">
        <v>0</v>
      </c>
      <c r="O1413" s="82">
        <f t="shared" si="282"/>
        <v>0</v>
      </c>
      <c r="P1413" s="158"/>
      <c r="Q1413" s="1071">
        <f t="shared" si="284"/>
        <v>0</v>
      </c>
    </row>
    <row r="1414" spans="9:17" ht="13.9" x14ac:dyDescent="0.4">
      <c r="I1414" s="1073">
        <f t="shared" si="283"/>
        <v>0</v>
      </c>
      <c r="J1414" s="156" t="s">
        <v>19</v>
      </c>
      <c r="K1414" s="1350" t="s">
        <v>839</v>
      </c>
      <c r="L1414" s="158"/>
      <c r="M1414" s="159">
        <v>0</v>
      </c>
      <c r="N1414" s="157">
        <v>0</v>
      </c>
      <c r="O1414" s="82">
        <f t="shared" si="282"/>
        <v>0</v>
      </c>
      <c r="P1414" s="158"/>
      <c r="Q1414" s="1071">
        <f t="shared" si="284"/>
        <v>0</v>
      </c>
    </row>
    <row r="1415" spans="9:17" ht="13.9" x14ac:dyDescent="0.4">
      <c r="I1415" s="1071"/>
      <c r="J1415" s="86" t="s">
        <v>22</v>
      </c>
      <c r="K1415" s="86"/>
      <c r="L1415" s="86"/>
      <c r="M1415" s="81"/>
      <c r="N1415" s="87"/>
      <c r="O1415" s="88">
        <f>SUM(O1408:O1414)</f>
        <v>0</v>
      </c>
      <c r="P1415" s="86"/>
      <c r="Q1415" s="1071"/>
    </row>
    <row r="1416" spans="9:17" ht="13.9" x14ac:dyDescent="0.4">
      <c r="I1416" s="1071"/>
      <c r="J1416" s="83"/>
      <c r="K1416" s="83"/>
      <c r="L1416" s="83"/>
      <c r="M1416" s="83"/>
      <c r="N1416" s="84"/>
      <c r="O1416" s="83"/>
      <c r="P1416" s="83"/>
      <c r="Q1416" s="1071"/>
    </row>
    <row r="1417" spans="9:17" ht="13.9" x14ac:dyDescent="0.4">
      <c r="I1417" s="1071"/>
      <c r="J1417" s="78" t="str">
        <f>IF(A2_Budget_Look_Up!$B$7=1,"Defoliant Detail", "Other Chemical Detail")</f>
        <v>Other Chemical Detail</v>
      </c>
      <c r="K1417" s="78"/>
      <c r="L1417" s="78"/>
      <c r="M1417" s="79"/>
      <c r="N1417" s="85"/>
      <c r="O1417" s="79"/>
      <c r="P1417" s="78"/>
      <c r="Q1417" s="1071"/>
    </row>
    <row r="1418" spans="9:17" ht="13.9" x14ac:dyDescent="0.4">
      <c r="I1418" s="1071"/>
      <c r="J1418" s="80" t="s">
        <v>212</v>
      </c>
      <c r="K1418" s="80" t="s">
        <v>838</v>
      </c>
      <c r="L1418" s="80" t="s">
        <v>2</v>
      </c>
      <c r="M1418" s="80" t="s">
        <v>21</v>
      </c>
      <c r="N1418" s="80" t="s">
        <v>174</v>
      </c>
      <c r="O1418" s="80" t="s">
        <v>14</v>
      </c>
      <c r="P1418" s="80" t="s">
        <v>890</v>
      </c>
      <c r="Q1418" s="1071"/>
    </row>
    <row r="1419" spans="9:17" ht="13.9" x14ac:dyDescent="0.4">
      <c r="I1419" s="1073">
        <f>IF($A$1=23,I1414+1,0)</f>
        <v>0</v>
      </c>
      <c r="J1419" s="156" t="s">
        <v>19</v>
      </c>
      <c r="K1419" s="1350" t="s">
        <v>839</v>
      </c>
      <c r="L1419" s="158"/>
      <c r="M1419" s="159">
        <v>0</v>
      </c>
      <c r="N1419" s="157">
        <v>0</v>
      </c>
      <c r="O1419" s="82">
        <f t="shared" ref="O1419:O1425" si="285">M1419*N1419</f>
        <v>0</v>
      </c>
      <c r="P1419" s="160"/>
      <c r="Q1419" s="1071">
        <f>Q1414</f>
        <v>0</v>
      </c>
    </row>
    <row r="1420" spans="9:17" ht="13.9" x14ac:dyDescent="0.4">
      <c r="I1420" s="1073">
        <f t="shared" ref="I1420:I1425" si="286">IF($A$1=23,I1419+1,0)</f>
        <v>0</v>
      </c>
      <c r="J1420" s="156" t="s">
        <v>19</v>
      </c>
      <c r="K1420" s="1350" t="s">
        <v>839</v>
      </c>
      <c r="L1420" s="158"/>
      <c r="M1420" s="159">
        <v>0</v>
      </c>
      <c r="N1420" s="157">
        <v>0</v>
      </c>
      <c r="O1420" s="82">
        <f t="shared" si="285"/>
        <v>0</v>
      </c>
      <c r="P1420" s="160"/>
      <c r="Q1420" s="1071">
        <f t="shared" ref="Q1420:Q1425" si="287">Q1419</f>
        <v>0</v>
      </c>
    </row>
    <row r="1421" spans="9:17" ht="13.9" x14ac:dyDescent="0.4">
      <c r="I1421" s="1073">
        <f t="shared" si="286"/>
        <v>0</v>
      </c>
      <c r="J1421" s="156" t="s">
        <v>19</v>
      </c>
      <c r="K1421" s="1350" t="s">
        <v>839</v>
      </c>
      <c r="L1421" s="158"/>
      <c r="M1421" s="159">
        <v>0</v>
      </c>
      <c r="N1421" s="157">
        <v>0</v>
      </c>
      <c r="O1421" s="82">
        <f t="shared" si="285"/>
        <v>0</v>
      </c>
      <c r="P1421" s="160"/>
      <c r="Q1421" s="1071">
        <f t="shared" si="287"/>
        <v>0</v>
      </c>
    </row>
    <row r="1422" spans="9:17" ht="13.9" x14ac:dyDescent="0.4">
      <c r="I1422" s="1073">
        <f t="shared" si="286"/>
        <v>0</v>
      </c>
      <c r="J1422" s="156" t="s">
        <v>19</v>
      </c>
      <c r="K1422" s="1350" t="s">
        <v>839</v>
      </c>
      <c r="L1422" s="158"/>
      <c r="M1422" s="159">
        <v>0</v>
      </c>
      <c r="N1422" s="157">
        <v>0</v>
      </c>
      <c r="O1422" s="82">
        <f t="shared" si="285"/>
        <v>0</v>
      </c>
      <c r="P1422" s="160"/>
      <c r="Q1422" s="1071">
        <f t="shared" si="287"/>
        <v>0</v>
      </c>
    </row>
    <row r="1423" spans="9:17" ht="13.9" x14ac:dyDescent="0.4">
      <c r="I1423" s="1073">
        <f t="shared" si="286"/>
        <v>0</v>
      </c>
      <c r="J1423" s="156" t="s">
        <v>19</v>
      </c>
      <c r="K1423" s="1350" t="s">
        <v>839</v>
      </c>
      <c r="L1423" s="158"/>
      <c r="M1423" s="159">
        <v>0</v>
      </c>
      <c r="N1423" s="157">
        <v>0</v>
      </c>
      <c r="O1423" s="82">
        <f t="shared" si="285"/>
        <v>0</v>
      </c>
      <c r="P1423" s="160"/>
      <c r="Q1423" s="1071">
        <f t="shared" si="287"/>
        <v>0</v>
      </c>
    </row>
    <row r="1424" spans="9:17" ht="13.9" x14ac:dyDescent="0.4">
      <c r="I1424" s="1073">
        <f t="shared" si="286"/>
        <v>0</v>
      </c>
      <c r="J1424" s="156" t="s">
        <v>19</v>
      </c>
      <c r="K1424" s="1350" t="s">
        <v>839</v>
      </c>
      <c r="L1424" s="158"/>
      <c r="M1424" s="159">
        <v>0</v>
      </c>
      <c r="N1424" s="157">
        <v>0</v>
      </c>
      <c r="O1424" s="82">
        <f t="shared" si="285"/>
        <v>0</v>
      </c>
      <c r="P1424" s="158"/>
      <c r="Q1424" s="1071">
        <f t="shared" si="287"/>
        <v>0</v>
      </c>
    </row>
    <row r="1425" spans="9:17" ht="13.9" x14ac:dyDescent="0.4">
      <c r="I1425" s="1073">
        <f t="shared" si="286"/>
        <v>0</v>
      </c>
      <c r="J1425" s="156" t="s">
        <v>19</v>
      </c>
      <c r="K1425" s="1350" t="s">
        <v>839</v>
      </c>
      <c r="L1425" s="158"/>
      <c r="M1425" s="159">
        <v>0</v>
      </c>
      <c r="N1425" s="157">
        <v>0</v>
      </c>
      <c r="O1425" s="82">
        <f t="shared" si="285"/>
        <v>0</v>
      </c>
      <c r="P1425" s="158"/>
      <c r="Q1425" s="1071">
        <f t="shared" si="287"/>
        <v>0</v>
      </c>
    </row>
    <row r="1426" spans="9:17" ht="13.9" x14ac:dyDescent="0.4">
      <c r="I1426" s="1071"/>
      <c r="J1426" s="86" t="s">
        <v>22</v>
      </c>
      <c r="K1426" s="86"/>
      <c r="L1426" s="86"/>
      <c r="M1426" s="81"/>
      <c r="N1426" s="87"/>
      <c r="O1426" s="88">
        <f>SUM(O1419:O1425)</f>
        <v>0</v>
      </c>
      <c r="P1426" s="86"/>
      <c r="Q1426" s="1071"/>
    </row>
    <row r="1427" spans="9:17" ht="13.9" x14ac:dyDescent="0.4">
      <c r="I1427" s="1071"/>
      <c r="J1427" s="83"/>
      <c r="K1427" s="83"/>
      <c r="L1427" s="83"/>
      <c r="M1427" s="89"/>
      <c r="N1427" s="84"/>
      <c r="O1427" s="89"/>
      <c r="P1427" s="83"/>
      <c r="Q1427" s="1071"/>
    </row>
    <row r="1428" spans="9:17" ht="13.9" x14ac:dyDescent="0.4">
      <c r="I1428" s="1071"/>
      <c r="J1428" s="1168" t="str">
        <f>A2_Budget_Look_Up!H26</f>
        <v>EnlistE3 Soybeans, Pivot</v>
      </c>
      <c r="K1428" s="1168"/>
      <c r="L1428" s="1168">
        <f>A2_Budget_Look_Up!F26</f>
        <v>24</v>
      </c>
      <c r="M1428" s="1168"/>
      <c r="N1428" s="1168"/>
      <c r="O1428" s="1168"/>
      <c r="P1428" s="1168"/>
      <c r="Q1428" s="1071"/>
    </row>
    <row r="1429" spans="9:17" ht="13.9" x14ac:dyDescent="0.4">
      <c r="I1429" s="1071"/>
      <c r="J1429" s="83"/>
      <c r="K1429" s="83"/>
      <c r="L1429" s="83"/>
      <c r="M1429" s="83"/>
      <c r="N1429" s="84"/>
      <c r="O1429" s="83"/>
      <c r="P1429" s="83"/>
      <c r="Q1429" s="1071"/>
    </row>
    <row r="1430" spans="9:17" ht="13.9" x14ac:dyDescent="0.4">
      <c r="I1430" s="1071"/>
      <c r="J1430" s="78" t="s">
        <v>18</v>
      </c>
      <c r="K1430" s="78"/>
      <c r="L1430" s="78"/>
      <c r="M1430" s="79"/>
      <c r="N1430" s="85"/>
      <c r="O1430" s="79"/>
      <c r="P1430" s="78"/>
      <c r="Q1430" s="1071"/>
    </row>
    <row r="1431" spans="9:17" ht="13.9" x14ac:dyDescent="0.4">
      <c r="I1431" s="1071"/>
      <c r="J1431" s="80" t="s">
        <v>212</v>
      </c>
      <c r="K1431" s="80" t="s">
        <v>838</v>
      </c>
      <c r="L1431" s="80" t="s">
        <v>2</v>
      </c>
      <c r="M1431" s="80" t="s">
        <v>21</v>
      </c>
      <c r="N1431" s="80" t="s">
        <v>174</v>
      </c>
      <c r="O1431" s="80" t="s">
        <v>14</v>
      </c>
      <c r="P1431" s="80" t="s">
        <v>890</v>
      </c>
      <c r="Q1431" s="1071"/>
    </row>
    <row r="1432" spans="9:17" ht="13.9" x14ac:dyDescent="0.4">
      <c r="I1432" s="1073">
        <f>IF($A$1=24,1,0)</f>
        <v>0</v>
      </c>
      <c r="J1432" s="159" t="str">
        <f>A4_Chem_Prices!N$2</f>
        <v>Roundup Powermax 3</v>
      </c>
      <c r="K1432" s="1350" t="s">
        <v>839</v>
      </c>
      <c r="L1432" s="158" t="str">
        <f>A4_Chem_Prices!O$2</f>
        <v>oz</v>
      </c>
      <c r="M1432" s="159">
        <f>A4_Chem_Prices!P$2</f>
        <v>0.140625</v>
      </c>
      <c r="N1432" s="157">
        <v>32</v>
      </c>
      <c r="O1432" s="82">
        <f t="shared" ref="O1432:O1445" si="288">M1432*N1432</f>
        <v>4.5</v>
      </c>
      <c r="P1432" s="1449">
        <f>N1432</f>
        <v>32</v>
      </c>
      <c r="Q1432" s="1171">
        <f>IF(SUM(I1432:I1487)=820,L1428,0)</f>
        <v>0</v>
      </c>
    </row>
    <row r="1433" spans="9:17" ht="13.9" x14ac:dyDescent="0.4">
      <c r="I1433" s="1073">
        <f t="shared" ref="I1433:I1445" si="289">IF($A$1=24,I1432+1,0)</f>
        <v>0</v>
      </c>
      <c r="J1433" s="159" t="str">
        <f>A4_Chem_Prices!N$3</f>
        <v>2,4-D</v>
      </c>
      <c r="K1433" s="1350" t="s">
        <v>839</v>
      </c>
      <c r="L1433" s="160" t="str">
        <f>A4_Chem_Prices!O$3</f>
        <v>oz</v>
      </c>
      <c r="M1433" s="159">
        <f>A4_Chem_Prices!P$3</f>
        <v>0.2734375</v>
      </c>
      <c r="N1433" s="157">
        <v>32</v>
      </c>
      <c r="O1433" s="82">
        <f t="shared" si="288"/>
        <v>8.75</v>
      </c>
      <c r="P1433" s="1449">
        <f>N1433</f>
        <v>32</v>
      </c>
      <c r="Q1433" s="1071">
        <f>Q1432</f>
        <v>0</v>
      </c>
    </row>
    <row r="1434" spans="9:17" ht="13.9" x14ac:dyDescent="0.4">
      <c r="I1434" s="1073">
        <f t="shared" si="289"/>
        <v>0</v>
      </c>
      <c r="J1434" s="159" t="str">
        <f>A4_Chem_Prices!Q$9</f>
        <v>Boundary</v>
      </c>
      <c r="K1434" s="1350" t="s">
        <v>839</v>
      </c>
      <c r="L1434" s="158" t="str">
        <f>A4_Chem_Prices!R$9</f>
        <v>oz</v>
      </c>
      <c r="M1434" s="159">
        <f>A4_Chem_Prices!S$9</f>
        <v>0.68414062499999995</v>
      </c>
      <c r="N1434" s="157">
        <v>32</v>
      </c>
      <c r="O1434" s="82">
        <f t="shared" si="288"/>
        <v>21.892499999999998</v>
      </c>
      <c r="P1434" s="1449">
        <f>N1434</f>
        <v>32</v>
      </c>
      <c r="Q1434" s="1071">
        <f t="shared" ref="Q1434:Q1445" si="290">Q1433</f>
        <v>0</v>
      </c>
    </row>
    <row r="1435" spans="9:17" ht="13.9" x14ac:dyDescent="0.4">
      <c r="I1435" s="1073">
        <f t="shared" si="289"/>
        <v>0</v>
      </c>
      <c r="J1435" s="159" t="str">
        <f>A4_Chem_Prices!N$2</f>
        <v>Roundup Powermax 3</v>
      </c>
      <c r="K1435" s="1350" t="s">
        <v>839</v>
      </c>
      <c r="L1435" s="158" t="str">
        <f>A4_Chem_Prices!O$2</f>
        <v>oz</v>
      </c>
      <c r="M1435" s="159">
        <f>A4_Chem_Prices!P$2</f>
        <v>0.140625</v>
      </c>
      <c r="N1435" s="157">
        <v>32</v>
      </c>
      <c r="O1435" s="82">
        <f t="shared" si="288"/>
        <v>4.5</v>
      </c>
      <c r="P1435" s="1449">
        <f>N1435</f>
        <v>32</v>
      </c>
      <c r="Q1435" s="1071">
        <f t="shared" si="290"/>
        <v>0</v>
      </c>
    </row>
    <row r="1436" spans="9:17" ht="13.9" x14ac:dyDescent="0.4">
      <c r="I1436" s="1073">
        <f t="shared" si="289"/>
        <v>0</v>
      </c>
      <c r="J1436" s="159" t="str">
        <f>A4_Chem_Prices!N$15</f>
        <v>Enlist One</v>
      </c>
      <c r="K1436" s="1350" t="s">
        <v>839</v>
      </c>
      <c r="L1436" s="158" t="str">
        <f>A4_Chem_Prices!O$15</f>
        <v>oz</v>
      </c>
      <c r="M1436" s="159">
        <f>A4_Chem_Prices!P$15</f>
        <v>0.47875000000000001</v>
      </c>
      <c r="N1436" s="157">
        <v>32</v>
      </c>
      <c r="O1436" s="82">
        <f t="shared" si="288"/>
        <v>15.32</v>
      </c>
      <c r="P1436" s="160">
        <f>N1436*16</f>
        <v>512</v>
      </c>
      <c r="Q1436" s="1071">
        <f t="shared" si="290"/>
        <v>0</v>
      </c>
    </row>
    <row r="1437" spans="9:17" ht="13.9" x14ac:dyDescent="0.4">
      <c r="I1437" s="1073">
        <f t="shared" si="289"/>
        <v>0</v>
      </c>
      <c r="J1437" s="159" t="str">
        <f>A4_Chem_Prices!N$11</f>
        <v>Zidua</v>
      </c>
      <c r="K1437" s="1350" t="s">
        <v>839</v>
      </c>
      <c r="L1437" s="160" t="str">
        <f>A4_Chem_Prices!O$11</f>
        <v>oz</v>
      </c>
      <c r="M1437" s="159">
        <f>A4_Chem_Prices!P$11</f>
        <v>5.7421875</v>
      </c>
      <c r="N1437" s="157">
        <v>3.5</v>
      </c>
      <c r="O1437" s="82">
        <f t="shared" si="288"/>
        <v>20.09765625</v>
      </c>
      <c r="P1437" s="1449">
        <f>N1437</f>
        <v>3.5</v>
      </c>
      <c r="Q1437" s="1071">
        <f t="shared" si="290"/>
        <v>0</v>
      </c>
    </row>
    <row r="1438" spans="9:17" ht="13.9" x14ac:dyDescent="0.4">
      <c r="I1438" s="1073">
        <f t="shared" si="289"/>
        <v>0</v>
      </c>
      <c r="J1438" s="159" t="s">
        <v>19</v>
      </c>
      <c r="K1438" s="1350" t="s">
        <v>839</v>
      </c>
      <c r="L1438" s="160"/>
      <c r="M1438" s="159">
        <v>0</v>
      </c>
      <c r="N1438" s="157">
        <v>0</v>
      </c>
      <c r="O1438" s="82">
        <f t="shared" si="288"/>
        <v>0</v>
      </c>
      <c r="P1438" s="160"/>
      <c r="Q1438" s="1071">
        <f t="shared" si="290"/>
        <v>0</v>
      </c>
    </row>
    <row r="1439" spans="9:17" ht="13.9" x14ac:dyDescent="0.4">
      <c r="I1439" s="1073">
        <f t="shared" si="289"/>
        <v>0</v>
      </c>
      <c r="J1439" s="159" t="s">
        <v>19</v>
      </c>
      <c r="K1439" s="1350" t="s">
        <v>839</v>
      </c>
      <c r="L1439" s="160"/>
      <c r="M1439" s="159">
        <v>0</v>
      </c>
      <c r="N1439" s="157">
        <v>0</v>
      </c>
      <c r="O1439" s="82">
        <f t="shared" si="288"/>
        <v>0</v>
      </c>
      <c r="P1439" s="160"/>
      <c r="Q1439" s="1071">
        <f t="shared" si="290"/>
        <v>0</v>
      </c>
    </row>
    <row r="1440" spans="9:17" ht="13.9" x14ac:dyDescent="0.4">
      <c r="I1440" s="1073">
        <f t="shared" si="289"/>
        <v>0</v>
      </c>
      <c r="J1440" s="159" t="s">
        <v>19</v>
      </c>
      <c r="K1440" s="1350" t="s">
        <v>839</v>
      </c>
      <c r="L1440" s="160"/>
      <c r="M1440" s="159">
        <v>0</v>
      </c>
      <c r="N1440" s="157">
        <v>0</v>
      </c>
      <c r="O1440" s="82">
        <f t="shared" si="288"/>
        <v>0</v>
      </c>
      <c r="P1440" s="160"/>
      <c r="Q1440" s="1071">
        <f t="shared" si="290"/>
        <v>0</v>
      </c>
    </row>
    <row r="1441" spans="9:17" ht="13.9" x14ac:dyDescent="0.4">
      <c r="I1441" s="1073">
        <f t="shared" si="289"/>
        <v>0</v>
      </c>
      <c r="J1441" s="159" t="s">
        <v>19</v>
      </c>
      <c r="K1441" s="1350" t="s">
        <v>839</v>
      </c>
      <c r="L1441" s="160"/>
      <c r="M1441" s="159">
        <v>0</v>
      </c>
      <c r="N1441" s="157">
        <v>0</v>
      </c>
      <c r="O1441" s="82">
        <f t="shared" si="288"/>
        <v>0</v>
      </c>
      <c r="P1441" s="160"/>
      <c r="Q1441" s="1071">
        <f t="shared" si="290"/>
        <v>0</v>
      </c>
    </row>
    <row r="1442" spans="9:17" ht="13.9" x14ac:dyDescent="0.4">
      <c r="I1442" s="1073">
        <f t="shared" si="289"/>
        <v>0</v>
      </c>
      <c r="J1442" s="159" t="s">
        <v>19</v>
      </c>
      <c r="K1442" s="1350" t="s">
        <v>839</v>
      </c>
      <c r="L1442" s="160"/>
      <c r="M1442" s="159">
        <v>0</v>
      </c>
      <c r="N1442" s="157">
        <v>0</v>
      </c>
      <c r="O1442" s="82">
        <f t="shared" si="288"/>
        <v>0</v>
      </c>
      <c r="P1442" s="160"/>
      <c r="Q1442" s="1071">
        <f t="shared" si="290"/>
        <v>0</v>
      </c>
    </row>
    <row r="1443" spans="9:17" ht="13.9" x14ac:dyDescent="0.4">
      <c r="I1443" s="1073">
        <f t="shared" si="289"/>
        <v>0</v>
      </c>
      <c r="J1443" s="159" t="s">
        <v>19</v>
      </c>
      <c r="K1443" s="1350" t="s">
        <v>839</v>
      </c>
      <c r="L1443" s="160"/>
      <c r="M1443" s="159">
        <v>0</v>
      </c>
      <c r="N1443" s="157">
        <v>0</v>
      </c>
      <c r="O1443" s="82">
        <f t="shared" si="288"/>
        <v>0</v>
      </c>
      <c r="P1443" s="160"/>
      <c r="Q1443" s="1071">
        <f t="shared" si="290"/>
        <v>0</v>
      </c>
    </row>
    <row r="1444" spans="9:17" ht="13.9" x14ac:dyDescent="0.4">
      <c r="I1444" s="1073">
        <f t="shared" si="289"/>
        <v>0</v>
      </c>
      <c r="J1444" s="159" t="s">
        <v>19</v>
      </c>
      <c r="K1444" s="1350" t="s">
        <v>839</v>
      </c>
      <c r="L1444" s="160"/>
      <c r="M1444" s="159">
        <v>0</v>
      </c>
      <c r="N1444" s="157">
        <v>0</v>
      </c>
      <c r="O1444" s="82">
        <f t="shared" si="288"/>
        <v>0</v>
      </c>
      <c r="P1444" s="160"/>
      <c r="Q1444" s="1071">
        <f t="shared" si="290"/>
        <v>0</v>
      </c>
    </row>
    <row r="1445" spans="9:17" ht="13.9" x14ac:dyDescent="0.4">
      <c r="I1445" s="1073">
        <f t="shared" si="289"/>
        <v>0</v>
      </c>
      <c r="J1445" s="159" t="s">
        <v>19</v>
      </c>
      <c r="K1445" s="1350" t="s">
        <v>839</v>
      </c>
      <c r="L1445" s="160"/>
      <c r="M1445" s="159">
        <v>0</v>
      </c>
      <c r="N1445" s="157">
        <v>0</v>
      </c>
      <c r="O1445" s="82">
        <f t="shared" si="288"/>
        <v>0</v>
      </c>
      <c r="P1445" s="160"/>
      <c r="Q1445" s="1071">
        <f t="shared" si="290"/>
        <v>0</v>
      </c>
    </row>
    <row r="1446" spans="9:17" ht="13.9" x14ac:dyDescent="0.4">
      <c r="I1446" s="1071"/>
      <c r="J1446" s="86" t="s">
        <v>22</v>
      </c>
      <c r="K1446" s="86"/>
      <c r="L1446" s="86"/>
      <c r="M1446" s="81"/>
      <c r="N1446" s="87"/>
      <c r="O1446" s="88">
        <f>SUM(O1432:O1445)</f>
        <v>75.060156250000006</v>
      </c>
      <c r="P1446" s="86"/>
      <c r="Q1446" s="1071"/>
    </row>
    <row r="1447" spans="9:17" ht="13.9" x14ac:dyDescent="0.4">
      <c r="I1447" s="1071"/>
      <c r="J1447" s="83"/>
      <c r="K1447" s="83"/>
      <c r="L1447" s="83"/>
      <c r="M1447" s="83"/>
      <c r="N1447" s="84"/>
      <c r="O1447" s="83"/>
      <c r="P1447" s="83"/>
      <c r="Q1447" s="1071"/>
    </row>
    <row r="1448" spans="9:17" ht="13.9" x14ac:dyDescent="0.4">
      <c r="I1448" s="1071"/>
      <c r="J1448" s="78" t="s">
        <v>20</v>
      </c>
      <c r="K1448" s="78"/>
      <c r="L1448" s="78"/>
      <c r="M1448" s="79"/>
      <c r="N1448" s="85"/>
      <c r="O1448" s="79"/>
      <c r="P1448" s="78"/>
      <c r="Q1448" s="1071"/>
    </row>
    <row r="1449" spans="9:17" ht="13.9" x14ac:dyDescent="0.4">
      <c r="I1449" s="1071"/>
      <c r="J1449" s="80" t="s">
        <v>212</v>
      </c>
      <c r="K1449" s="80" t="s">
        <v>838</v>
      </c>
      <c r="L1449" s="80" t="s">
        <v>2</v>
      </c>
      <c r="M1449" s="80" t="s">
        <v>21</v>
      </c>
      <c r="N1449" s="80" t="s">
        <v>174</v>
      </c>
      <c r="O1449" s="80" t="s">
        <v>14</v>
      </c>
      <c r="P1449" s="80" t="s">
        <v>890</v>
      </c>
      <c r="Q1449" s="1071"/>
    </row>
    <row r="1450" spans="9:17" ht="13.9" x14ac:dyDescent="0.4">
      <c r="I1450" s="1073">
        <f>IF($A$1=24,I1445+1,0)</f>
        <v>0</v>
      </c>
      <c r="J1450" s="159" t="str">
        <f>A4_Chem_Prices!N$19</f>
        <v>Besiege</v>
      </c>
      <c r="K1450" s="1350" t="s">
        <v>839</v>
      </c>
      <c r="L1450" s="160" t="str">
        <f>A4_Chem_Prices!O$19</f>
        <v>oz</v>
      </c>
      <c r="M1450" s="159">
        <f>A4_Chem_Prices!P$19</f>
        <v>1.98</v>
      </c>
      <c r="N1450" s="157">
        <v>9</v>
      </c>
      <c r="O1450" s="82">
        <f t="shared" ref="O1450:O1459" si="291">M1450*N1450</f>
        <v>17.82</v>
      </c>
      <c r="P1450" s="1449">
        <f>N1450</f>
        <v>9</v>
      </c>
      <c r="Q1450" s="1071">
        <f>Q1432</f>
        <v>0</v>
      </c>
    </row>
    <row r="1451" spans="9:17" ht="13.9" x14ac:dyDescent="0.4">
      <c r="I1451" s="1073">
        <f t="shared" ref="I1451:I1459" si="292">IF($A$1=24,I1450+1,0)</f>
        <v>0</v>
      </c>
      <c r="J1451" s="159" t="s">
        <v>19</v>
      </c>
      <c r="K1451" s="1350" t="s">
        <v>839</v>
      </c>
      <c r="L1451" s="160"/>
      <c r="M1451" s="159">
        <v>0</v>
      </c>
      <c r="N1451" s="157">
        <v>0</v>
      </c>
      <c r="O1451" s="82">
        <f t="shared" si="291"/>
        <v>0</v>
      </c>
      <c r="P1451" s="158"/>
      <c r="Q1451" s="1071">
        <f>Q1450</f>
        <v>0</v>
      </c>
    </row>
    <row r="1452" spans="9:17" ht="13.9" x14ac:dyDescent="0.4">
      <c r="I1452" s="1073">
        <f t="shared" si="292"/>
        <v>0</v>
      </c>
      <c r="J1452" s="159" t="s">
        <v>19</v>
      </c>
      <c r="K1452" s="1350" t="s">
        <v>839</v>
      </c>
      <c r="L1452" s="160"/>
      <c r="M1452" s="159">
        <v>0</v>
      </c>
      <c r="N1452" s="157">
        <v>0</v>
      </c>
      <c r="O1452" s="82">
        <f t="shared" si="291"/>
        <v>0</v>
      </c>
      <c r="P1452" s="158"/>
      <c r="Q1452" s="1071">
        <f t="shared" ref="Q1452:Q1459" si="293">Q1451</f>
        <v>0</v>
      </c>
    </row>
    <row r="1453" spans="9:17" ht="13.9" x14ac:dyDescent="0.4">
      <c r="I1453" s="1073">
        <f t="shared" si="292"/>
        <v>0</v>
      </c>
      <c r="J1453" s="159" t="s">
        <v>19</v>
      </c>
      <c r="K1453" s="1350" t="s">
        <v>839</v>
      </c>
      <c r="L1453" s="160"/>
      <c r="M1453" s="159">
        <v>0</v>
      </c>
      <c r="N1453" s="157">
        <v>0</v>
      </c>
      <c r="O1453" s="82">
        <f t="shared" si="291"/>
        <v>0</v>
      </c>
      <c r="P1453" s="158"/>
      <c r="Q1453" s="1071">
        <f t="shared" si="293"/>
        <v>0</v>
      </c>
    </row>
    <row r="1454" spans="9:17" ht="13.9" x14ac:dyDescent="0.4">
      <c r="I1454" s="1073">
        <f t="shared" si="292"/>
        <v>0</v>
      </c>
      <c r="J1454" s="159" t="s">
        <v>19</v>
      </c>
      <c r="K1454" s="1350" t="s">
        <v>839</v>
      </c>
      <c r="L1454" s="160"/>
      <c r="M1454" s="159">
        <v>0</v>
      </c>
      <c r="N1454" s="157">
        <v>0</v>
      </c>
      <c r="O1454" s="82">
        <f t="shared" si="291"/>
        <v>0</v>
      </c>
      <c r="P1454" s="158"/>
      <c r="Q1454" s="1071">
        <f t="shared" si="293"/>
        <v>0</v>
      </c>
    </row>
    <row r="1455" spans="9:17" ht="13.9" x14ac:dyDescent="0.4">
      <c r="I1455" s="1073">
        <f t="shared" si="292"/>
        <v>0</v>
      </c>
      <c r="J1455" s="159" t="s">
        <v>19</v>
      </c>
      <c r="K1455" s="1350" t="s">
        <v>839</v>
      </c>
      <c r="L1455" s="160"/>
      <c r="M1455" s="159">
        <v>0</v>
      </c>
      <c r="N1455" s="157">
        <v>0</v>
      </c>
      <c r="O1455" s="82">
        <f t="shared" si="291"/>
        <v>0</v>
      </c>
      <c r="P1455" s="158"/>
      <c r="Q1455" s="1071">
        <f t="shared" si="293"/>
        <v>0</v>
      </c>
    </row>
    <row r="1456" spans="9:17" ht="13.9" x14ac:dyDescent="0.4">
      <c r="I1456" s="1073">
        <f t="shared" si="292"/>
        <v>0</v>
      </c>
      <c r="J1456" s="159" t="s">
        <v>19</v>
      </c>
      <c r="K1456" s="1350" t="s">
        <v>839</v>
      </c>
      <c r="L1456" s="160"/>
      <c r="M1456" s="159">
        <v>0</v>
      </c>
      <c r="N1456" s="157">
        <v>0</v>
      </c>
      <c r="O1456" s="82">
        <f t="shared" si="291"/>
        <v>0</v>
      </c>
      <c r="P1456" s="158"/>
      <c r="Q1456" s="1071">
        <f t="shared" si="293"/>
        <v>0</v>
      </c>
    </row>
    <row r="1457" spans="9:17" ht="13.9" x14ac:dyDescent="0.4">
      <c r="I1457" s="1073">
        <f t="shared" si="292"/>
        <v>0</v>
      </c>
      <c r="J1457" s="159" t="s">
        <v>19</v>
      </c>
      <c r="K1457" s="1350" t="s">
        <v>839</v>
      </c>
      <c r="L1457" s="160"/>
      <c r="M1457" s="159">
        <v>0</v>
      </c>
      <c r="N1457" s="157">
        <v>0</v>
      </c>
      <c r="O1457" s="82">
        <f t="shared" si="291"/>
        <v>0</v>
      </c>
      <c r="P1457" s="158"/>
      <c r="Q1457" s="1071">
        <f t="shared" si="293"/>
        <v>0</v>
      </c>
    </row>
    <row r="1458" spans="9:17" ht="13.9" x14ac:dyDescent="0.4">
      <c r="I1458" s="1073">
        <f t="shared" si="292"/>
        <v>0</v>
      </c>
      <c r="J1458" s="159" t="s">
        <v>19</v>
      </c>
      <c r="K1458" s="1350" t="s">
        <v>839</v>
      </c>
      <c r="L1458" s="160"/>
      <c r="M1458" s="159">
        <v>0</v>
      </c>
      <c r="N1458" s="157">
        <v>0</v>
      </c>
      <c r="O1458" s="82">
        <f t="shared" si="291"/>
        <v>0</v>
      </c>
      <c r="P1458" s="158"/>
      <c r="Q1458" s="1071">
        <f t="shared" si="293"/>
        <v>0</v>
      </c>
    </row>
    <row r="1459" spans="9:17" ht="13.9" x14ac:dyDescent="0.4">
      <c r="I1459" s="1073">
        <f t="shared" si="292"/>
        <v>0</v>
      </c>
      <c r="J1459" s="159" t="s">
        <v>19</v>
      </c>
      <c r="K1459" s="1350" t="s">
        <v>839</v>
      </c>
      <c r="L1459" s="160"/>
      <c r="M1459" s="159">
        <v>0</v>
      </c>
      <c r="N1459" s="157">
        <v>0</v>
      </c>
      <c r="O1459" s="82">
        <f t="shared" si="291"/>
        <v>0</v>
      </c>
      <c r="P1459" s="158"/>
      <c r="Q1459" s="1071">
        <f t="shared" si="293"/>
        <v>0</v>
      </c>
    </row>
    <row r="1460" spans="9:17" ht="13.9" x14ac:dyDescent="0.4">
      <c r="I1460" s="1071"/>
      <c r="J1460" s="86" t="s">
        <v>22</v>
      </c>
      <c r="K1460" s="86"/>
      <c r="L1460" s="86"/>
      <c r="M1460" s="81"/>
      <c r="N1460" s="87"/>
      <c r="O1460" s="88">
        <f>SUM(O1450:O1459)</f>
        <v>17.82</v>
      </c>
      <c r="P1460" s="86"/>
      <c r="Q1460" s="1071"/>
    </row>
    <row r="1461" spans="9:17" ht="13.9" x14ac:dyDescent="0.4">
      <c r="I1461" s="1071"/>
      <c r="J1461" s="83"/>
      <c r="K1461" s="83"/>
      <c r="L1461" s="83"/>
      <c r="M1461" s="83"/>
      <c r="N1461" s="84"/>
      <c r="O1461" s="83"/>
      <c r="P1461" s="83"/>
      <c r="Q1461" s="1071"/>
    </row>
    <row r="1462" spans="9:17" ht="13.9" x14ac:dyDescent="0.4">
      <c r="I1462" s="1071"/>
      <c r="J1462" s="78" t="str">
        <f>IF(OR(A2_Budget_Look_Up!$B$7=1,A2_Budget_Look_Up!$B$13=1),"Nematicide Detail", "Fungicide Detail")</f>
        <v>Fungicide Detail</v>
      </c>
      <c r="K1462" s="78"/>
      <c r="L1462" s="78"/>
      <c r="M1462" s="79"/>
      <c r="N1462" s="85"/>
      <c r="O1462" s="79"/>
      <c r="P1462" s="78"/>
      <c r="Q1462" s="1071"/>
    </row>
    <row r="1463" spans="9:17" ht="13.9" x14ac:dyDescent="0.4">
      <c r="I1463" s="1071"/>
      <c r="J1463" s="80" t="s">
        <v>212</v>
      </c>
      <c r="K1463" s="80" t="s">
        <v>838</v>
      </c>
      <c r="L1463" s="80" t="s">
        <v>2</v>
      </c>
      <c r="M1463" s="80" t="s">
        <v>21</v>
      </c>
      <c r="N1463" s="80" t="s">
        <v>174</v>
      </c>
      <c r="O1463" s="80" t="s">
        <v>14</v>
      </c>
      <c r="P1463" s="80" t="s">
        <v>890</v>
      </c>
      <c r="Q1463" s="1071"/>
    </row>
    <row r="1464" spans="9:17" ht="13.9" x14ac:dyDescent="0.4">
      <c r="I1464" s="1073">
        <f>IF($A$1=24,I1459+1,0)</f>
        <v>0</v>
      </c>
      <c r="J1464" s="156" t="str">
        <f>A4_Chem_Prices!N$32</f>
        <v>Quadris Top</v>
      </c>
      <c r="K1464" s="1350" t="s">
        <v>839</v>
      </c>
      <c r="L1464" s="158" t="str">
        <f>A4_Chem_Prices!O$32</f>
        <v>oz</v>
      </c>
      <c r="M1464" s="159">
        <f>A4_Chem_Prices!P$32</f>
        <v>1.315390625</v>
      </c>
      <c r="N1464" s="157">
        <v>10</v>
      </c>
      <c r="O1464" s="82">
        <f>M1464*N1464</f>
        <v>13.15390625</v>
      </c>
      <c r="P1464" s="1449">
        <f>N1464</f>
        <v>10</v>
      </c>
      <c r="Q1464" s="1071">
        <f>Q1459</f>
        <v>0</v>
      </c>
    </row>
    <row r="1465" spans="9:17" ht="13.9" x14ac:dyDescent="0.4">
      <c r="I1465" s="1073">
        <f>IF($A$1=24,I1464+1,0)</f>
        <v>0</v>
      </c>
      <c r="J1465" s="156" t="s">
        <v>19</v>
      </c>
      <c r="K1465" s="1350" t="s">
        <v>839</v>
      </c>
      <c r="L1465" s="158"/>
      <c r="M1465" s="159">
        <v>0</v>
      </c>
      <c r="N1465" s="157">
        <v>0</v>
      </c>
      <c r="O1465" s="82">
        <f>M1465*N1465</f>
        <v>0</v>
      </c>
      <c r="P1465" s="158"/>
      <c r="Q1465" s="1071">
        <f>Q1464</f>
        <v>0</v>
      </c>
    </row>
    <row r="1466" spans="9:17" ht="13.9" x14ac:dyDescent="0.4">
      <c r="I1466" s="1071"/>
      <c r="J1466" s="86" t="s">
        <v>22</v>
      </c>
      <c r="K1466" s="86"/>
      <c r="L1466" s="86"/>
      <c r="M1466" s="81"/>
      <c r="N1466" s="87"/>
      <c r="O1466" s="88">
        <f>SUM(O1464:O1465)</f>
        <v>13.15390625</v>
      </c>
      <c r="P1466" s="86"/>
      <c r="Q1466" s="1071"/>
    </row>
    <row r="1467" spans="9:17" ht="13.9" x14ac:dyDescent="0.4">
      <c r="I1467" s="1071"/>
      <c r="J1467" s="83"/>
      <c r="K1467" s="83"/>
      <c r="L1467" s="83"/>
      <c r="M1467" s="83"/>
      <c r="N1467" s="84"/>
      <c r="O1467" s="83"/>
      <c r="P1467" s="83"/>
      <c r="Q1467" s="1071"/>
    </row>
    <row r="1468" spans="9:17" ht="13.9" x14ac:dyDescent="0.4">
      <c r="I1468" s="1071"/>
      <c r="J1468" s="78" t="str">
        <f>IF(A2_Budget_Look_Up!$B$7=1,"Growth Regulator Detail", IF(A2_Budget_Look_Up!$B$13=1,"Fungicide Detail","Other Chemical Detail"))</f>
        <v>Other Chemical Detail</v>
      </c>
      <c r="K1468" s="78"/>
      <c r="L1468" s="78"/>
      <c r="M1468" s="79"/>
      <c r="N1468" s="85"/>
      <c r="O1468" s="79"/>
      <c r="P1468" s="78"/>
      <c r="Q1468" s="1071"/>
    </row>
    <row r="1469" spans="9:17" ht="13.9" x14ac:dyDescent="0.4">
      <c r="I1469" s="1071"/>
      <c r="J1469" s="80" t="s">
        <v>212</v>
      </c>
      <c r="K1469" s="80" t="s">
        <v>838</v>
      </c>
      <c r="L1469" s="80" t="s">
        <v>2</v>
      </c>
      <c r="M1469" s="80" t="s">
        <v>21</v>
      </c>
      <c r="N1469" s="80" t="s">
        <v>174</v>
      </c>
      <c r="O1469" s="80" t="s">
        <v>14</v>
      </c>
      <c r="P1469" s="80" t="s">
        <v>890</v>
      </c>
      <c r="Q1469" s="1071"/>
    </row>
    <row r="1470" spans="9:17" ht="13.9" x14ac:dyDescent="0.4">
      <c r="I1470" s="1073">
        <f>IF($A$1=24,I1465+1,0)</f>
        <v>0</v>
      </c>
      <c r="J1470" s="156" t="s">
        <v>19</v>
      </c>
      <c r="K1470" s="1350" t="s">
        <v>839</v>
      </c>
      <c r="L1470" s="158"/>
      <c r="M1470" s="159">
        <v>0</v>
      </c>
      <c r="N1470" s="157">
        <v>0</v>
      </c>
      <c r="O1470" s="82">
        <f t="shared" ref="O1470:O1476" si="294">M1470*N1470</f>
        <v>0</v>
      </c>
      <c r="P1470" s="160"/>
      <c r="Q1470" s="1071">
        <f>Q1465</f>
        <v>0</v>
      </c>
    </row>
    <row r="1471" spans="9:17" ht="13.9" x14ac:dyDescent="0.4">
      <c r="I1471" s="1073">
        <f t="shared" ref="I1471:I1476" si="295">IF($A$1=24,I1470+1,0)</f>
        <v>0</v>
      </c>
      <c r="J1471" s="156" t="s">
        <v>19</v>
      </c>
      <c r="K1471" s="1350" t="s">
        <v>839</v>
      </c>
      <c r="L1471" s="158"/>
      <c r="M1471" s="159">
        <v>0</v>
      </c>
      <c r="N1471" s="157">
        <v>0</v>
      </c>
      <c r="O1471" s="82">
        <f t="shared" si="294"/>
        <v>0</v>
      </c>
      <c r="P1471" s="160"/>
      <c r="Q1471" s="1071">
        <f t="shared" ref="Q1471:Q1476" si="296">Q1470</f>
        <v>0</v>
      </c>
    </row>
    <row r="1472" spans="9:17" ht="13.9" x14ac:dyDescent="0.4">
      <c r="I1472" s="1073">
        <f t="shared" si="295"/>
        <v>0</v>
      </c>
      <c r="J1472" s="156" t="s">
        <v>19</v>
      </c>
      <c r="K1472" s="1350" t="s">
        <v>839</v>
      </c>
      <c r="L1472" s="158"/>
      <c r="M1472" s="159">
        <v>0</v>
      </c>
      <c r="N1472" s="157">
        <v>0</v>
      </c>
      <c r="O1472" s="82">
        <f t="shared" si="294"/>
        <v>0</v>
      </c>
      <c r="P1472" s="160"/>
      <c r="Q1472" s="1071">
        <f t="shared" si="296"/>
        <v>0</v>
      </c>
    </row>
    <row r="1473" spans="9:17" ht="13.9" x14ac:dyDescent="0.4">
      <c r="I1473" s="1073">
        <f t="shared" si="295"/>
        <v>0</v>
      </c>
      <c r="J1473" s="156" t="s">
        <v>19</v>
      </c>
      <c r="K1473" s="1350" t="s">
        <v>839</v>
      </c>
      <c r="L1473" s="158"/>
      <c r="M1473" s="159">
        <v>0</v>
      </c>
      <c r="N1473" s="157">
        <v>0</v>
      </c>
      <c r="O1473" s="82">
        <f t="shared" si="294"/>
        <v>0</v>
      </c>
      <c r="P1473" s="158"/>
      <c r="Q1473" s="1071">
        <f t="shared" si="296"/>
        <v>0</v>
      </c>
    </row>
    <row r="1474" spans="9:17" ht="13.9" x14ac:dyDescent="0.4">
      <c r="I1474" s="1073">
        <f t="shared" si="295"/>
        <v>0</v>
      </c>
      <c r="J1474" s="156" t="s">
        <v>19</v>
      </c>
      <c r="K1474" s="1350" t="s">
        <v>839</v>
      </c>
      <c r="L1474" s="158"/>
      <c r="M1474" s="159">
        <v>0</v>
      </c>
      <c r="N1474" s="157">
        <v>0</v>
      </c>
      <c r="O1474" s="82">
        <f t="shared" si="294"/>
        <v>0</v>
      </c>
      <c r="P1474" s="158"/>
      <c r="Q1474" s="1071">
        <f t="shared" si="296"/>
        <v>0</v>
      </c>
    </row>
    <row r="1475" spans="9:17" ht="13.9" x14ac:dyDescent="0.4">
      <c r="I1475" s="1073">
        <f t="shared" si="295"/>
        <v>0</v>
      </c>
      <c r="J1475" s="156" t="s">
        <v>19</v>
      </c>
      <c r="K1475" s="1350" t="s">
        <v>839</v>
      </c>
      <c r="L1475" s="158"/>
      <c r="M1475" s="159">
        <v>0</v>
      </c>
      <c r="N1475" s="157">
        <v>0</v>
      </c>
      <c r="O1475" s="82">
        <f t="shared" si="294"/>
        <v>0</v>
      </c>
      <c r="P1475" s="158"/>
      <c r="Q1475" s="1071">
        <f t="shared" si="296"/>
        <v>0</v>
      </c>
    </row>
    <row r="1476" spans="9:17" ht="13.9" x14ac:dyDescent="0.4">
      <c r="I1476" s="1073">
        <f t="shared" si="295"/>
        <v>0</v>
      </c>
      <c r="J1476" s="156" t="s">
        <v>19</v>
      </c>
      <c r="K1476" s="1350" t="s">
        <v>839</v>
      </c>
      <c r="L1476" s="158"/>
      <c r="M1476" s="159">
        <v>0</v>
      </c>
      <c r="N1476" s="157">
        <v>0</v>
      </c>
      <c r="O1476" s="82">
        <f t="shared" si="294"/>
        <v>0</v>
      </c>
      <c r="P1476" s="158"/>
      <c r="Q1476" s="1071">
        <f t="shared" si="296"/>
        <v>0</v>
      </c>
    </row>
    <row r="1477" spans="9:17" ht="13.9" x14ac:dyDescent="0.4">
      <c r="I1477" s="1071"/>
      <c r="J1477" s="86" t="s">
        <v>22</v>
      </c>
      <c r="K1477" s="86"/>
      <c r="L1477" s="86"/>
      <c r="M1477" s="81"/>
      <c r="N1477" s="87"/>
      <c r="O1477" s="88">
        <f>SUM(O1470:O1476)</f>
        <v>0</v>
      </c>
      <c r="P1477" s="86"/>
      <c r="Q1477" s="1071"/>
    </row>
    <row r="1478" spans="9:17" ht="13.9" x14ac:dyDescent="0.4">
      <c r="I1478" s="1071"/>
      <c r="J1478" s="83"/>
      <c r="K1478" s="83"/>
      <c r="L1478" s="83"/>
      <c r="M1478" s="83"/>
      <c r="N1478" s="84"/>
      <c r="O1478" s="83"/>
      <c r="P1478" s="83"/>
      <c r="Q1478" s="1071"/>
    </row>
    <row r="1479" spans="9:17" ht="13.9" x14ac:dyDescent="0.4">
      <c r="I1479" s="1071"/>
      <c r="J1479" s="78" t="str">
        <f>IF(A2_Budget_Look_Up!$B$7=1,"Defoliant Detail", "Other Chemical Detail")</f>
        <v>Other Chemical Detail</v>
      </c>
      <c r="K1479" s="78"/>
      <c r="L1479" s="78"/>
      <c r="M1479" s="79"/>
      <c r="N1479" s="85"/>
      <c r="O1479" s="79"/>
      <c r="P1479" s="78"/>
      <c r="Q1479" s="1071"/>
    </row>
    <row r="1480" spans="9:17" ht="13.9" x14ac:dyDescent="0.4">
      <c r="I1480" s="1071"/>
      <c r="J1480" s="80" t="s">
        <v>212</v>
      </c>
      <c r="K1480" s="80" t="s">
        <v>838</v>
      </c>
      <c r="L1480" s="80" t="s">
        <v>2</v>
      </c>
      <c r="M1480" s="80" t="s">
        <v>21</v>
      </c>
      <c r="N1480" s="80" t="s">
        <v>174</v>
      </c>
      <c r="O1480" s="80" t="s">
        <v>14</v>
      </c>
      <c r="P1480" s="80" t="s">
        <v>890</v>
      </c>
      <c r="Q1480" s="1071"/>
    </row>
    <row r="1481" spans="9:17" ht="13.9" x14ac:dyDescent="0.4">
      <c r="I1481" s="1073">
        <f>IF($A$1=24,I1476+1,0)</f>
        <v>0</v>
      </c>
      <c r="J1481" s="156" t="s">
        <v>19</v>
      </c>
      <c r="K1481" s="1350" t="s">
        <v>839</v>
      </c>
      <c r="L1481" s="158"/>
      <c r="M1481" s="159">
        <v>0</v>
      </c>
      <c r="N1481" s="157">
        <v>0</v>
      </c>
      <c r="O1481" s="82">
        <f t="shared" ref="O1481:O1487" si="297">M1481*N1481</f>
        <v>0</v>
      </c>
      <c r="P1481" s="160"/>
      <c r="Q1481" s="1071">
        <f>Q1476</f>
        <v>0</v>
      </c>
    </row>
    <row r="1482" spans="9:17" ht="13.9" x14ac:dyDescent="0.4">
      <c r="I1482" s="1073">
        <f t="shared" ref="I1482:I1487" si="298">IF($A$1=24,I1481+1,0)</f>
        <v>0</v>
      </c>
      <c r="J1482" s="156" t="s">
        <v>19</v>
      </c>
      <c r="K1482" s="1350" t="s">
        <v>839</v>
      </c>
      <c r="L1482" s="158"/>
      <c r="M1482" s="159">
        <v>0</v>
      </c>
      <c r="N1482" s="157">
        <v>0</v>
      </c>
      <c r="O1482" s="82">
        <f t="shared" si="297"/>
        <v>0</v>
      </c>
      <c r="P1482" s="160"/>
      <c r="Q1482" s="1071">
        <f t="shared" ref="Q1482:Q1487" si="299">Q1481</f>
        <v>0</v>
      </c>
    </row>
    <row r="1483" spans="9:17" ht="13.9" x14ac:dyDescent="0.4">
      <c r="I1483" s="1073">
        <f t="shared" si="298"/>
        <v>0</v>
      </c>
      <c r="J1483" s="156" t="s">
        <v>19</v>
      </c>
      <c r="K1483" s="1350" t="s">
        <v>839</v>
      </c>
      <c r="L1483" s="158"/>
      <c r="M1483" s="159">
        <v>0</v>
      </c>
      <c r="N1483" s="157">
        <v>0</v>
      </c>
      <c r="O1483" s="82">
        <f t="shared" si="297"/>
        <v>0</v>
      </c>
      <c r="P1483" s="160"/>
      <c r="Q1483" s="1071">
        <f t="shared" si="299"/>
        <v>0</v>
      </c>
    </row>
    <row r="1484" spans="9:17" ht="13.9" x14ac:dyDescent="0.4">
      <c r="I1484" s="1073">
        <f t="shared" si="298"/>
        <v>0</v>
      </c>
      <c r="J1484" s="156" t="s">
        <v>19</v>
      </c>
      <c r="K1484" s="1350" t="s">
        <v>839</v>
      </c>
      <c r="L1484" s="158"/>
      <c r="M1484" s="159">
        <v>0</v>
      </c>
      <c r="N1484" s="157">
        <v>0</v>
      </c>
      <c r="O1484" s="82">
        <f t="shared" si="297"/>
        <v>0</v>
      </c>
      <c r="P1484" s="160"/>
      <c r="Q1484" s="1071">
        <f t="shared" si="299"/>
        <v>0</v>
      </c>
    </row>
    <row r="1485" spans="9:17" ht="13.9" x14ac:dyDescent="0.4">
      <c r="I1485" s="1073">
        <f t="shared" si="298"/>
        <v>0</v>
      </c>
      <c r="J1485" s="156" t="s">
        <v>19</v>
      </c>
      <c r="K1485" s="1350" t="s">
        <v>839</v>
      </c>
      <c r="L1485" s="158"/>
      <c r="M1485" s="159">
        <v>0</v>
      </c>
      <c r="N1485" s="157">
        <v>0</v>
      </c>
      <c r="O1485" s="82">
        <f t="shared" si="297"/>
        <v>0</v>
      </c>
      <c r="P1485" s="160"/>
      <c r="Q1485" s="1071">
        <f t="shared" si="299"/>
        <v>0</v>
      </c>
    </row>
    <row r="1486" spans="9:17" ht="13.9" x14ac:dyDescent="0.4">
      <c r="I1486" s="1073">
        <f t="shared" si="298"/>
        <v>0</v>
      </c>
      <c r="J1486" s="156" t="s">
        <v>19</v>
      </c>
      <c r="K1486" s="1350" t="s">
        <v>839</v>
      </c>
      <c r="L1486" s="158"/>
      <c r="M1486" s="159">
        <v>0</v>
      </c>
      <c r="N1486" s="157">
        <v>0</v>
      </c>
      <c r="O1486" s="82">
        <f t="shared" si="297"/>
        <v>0</v>
      </c>
      <c r="P1486" s="158"/>
      <c r="Q1486" s="1071">
        <f t="shared" si="299"/>
        <v>0</v>
      </c>
    </row>
    <row r="1487" spans="9:17" ht="13.9" x14ac:dyDescent="0.4">
      <c r="I1487" s="1073">
        <f t="shared" si="298"/>
        <v>0</v>
      </c>
      <c r="J1487" s="156" t="s">
        <v>19</v>
      </c>
      <c r="K1487" s="1350" t="s">
        <v>839</v>
      </c>
      <c r="L1487" s="158"/>
      <c r="M1487" s="159">
        <v>0</v>
      </c>
      <c r="N1487" s="157">
        <v>0</v>
      </c>
      <c r="O1487" s="82">
        <f t="shared" si="297"/>
        <v>0</v>
      </c>
      <c r="P1487" s="158"/>
      <c r="Q1487" s="1071">
        <f t="shared" si="299"/>
        <v>0</v>
      </c>
    </row>
    <row r="1488" spans="9:17" ht="13.9" x14ac:dyDescent="0.4">
      <c r="I1488" s="1071"/>
      <c r="J1488" s="86" t="s">
        <v>22</v>
      </c>
      <c r="K1488" s="86"/>
      <c r="L1488" s="86"/>
      <c r="M1488" s="81"/>
      <c r="N1488" s="87"/>
      <c r="O1488" s="88">
        <f>SUM(O1481:O1487)</f>
        <v>0</v>
      </c>
      <c r="P1488" s="86"/>
      <c r="Q1488" s="1071"/>
    </row>
    <row r="1490" spans="9:17" ht="13.9" x14ac:dyDescent="0.4">
      <c r="I1490" s="1071"/>
      <c r="J1490" s="1168" t="str">
        <f>A2_Budget_Look_Up!H27</f>
        <v>EnlistE3 Soybeans, No Irrigation</v>
      </c>
      <c r="K1490" s="1168"/>
      <c r="L1490" s="1168">
        <f>A2_Budget_Look_Up!F27</f>
        <v>25</v>
      </c>
      <c r="M1490" s="1168"/>
      <c r="N1490" s="1168"/>
      <c r="O1490" s="1168"/>
      <c r="P1490" s="1168"/>
      <c r="Q1490" s="1071"/>
    </row>
    <row r="1491" spans="9:17" ht="13.9" x14ac:dyDescent="0.4">
      <c r="I1491" s="1071"/>
      <c r="J1491" s="83"/>
      <c r="K1491" s="83"/>
      <c r="L1491" s="83"/>
      <c r="M1491" s="83"/>
      <c r="N1491" s="84"/>
      <c r="O1491" s="83"/>
      <c r="P1491" s="83"/>
      <c r="Q1491" s="1071"/>
    </row>
    <row r="1492" spans="9:17" ht="13.9" x14ac:dyDescent="0.4">
      <c r="I1492" s="1071"/>
      <c r="J1492" s="78" t="s">
        <v>18</v>
      </c>
      <c r="K1492" s="78"/>
      <c r="L1492" s="78"/>
      <c r="M1492" s="79"/>
      <c r="N1492" s="85"/>
      <c r="O1492" s="79"/>
      <c r="P1492" s="78"/>
      <c r="Q1492" s="1071"/>
    </row>
    <row r="1493" spans="9:17" ht="13.9" x14ac:dyDescent="0.4">
      <c r="I1493" s="1071"/>
      <c r="J1493" s="80" t="s">
        <v>212</v>
      </c>
      <c r="K1493" s="80" t="s">
        <v>838</v>
      </c>
      <c r="L1493" s="80" t="s">
        <v>2</v>
      </c>
      <c r="M1493" s="80" t="s">
        <v>21</v>
      </c>
      <c r="N1493" s="80" t="s">
        <v>174</v>
      </c>
      <c r="O1493" s="80" t="s">
        <v>14</v>
      </c>
      <c r="P1493" s="80" t="s">
        <v>890</v>
      </c>
      <c r="Q1493" s="1071"/>
    </row>
    <row r="1494" spans="9:17" ht="13.9" x14ac:dyDescent="0.4">
      <c r="I1494" s="1073">
        <f>IF($A$1=25,1,0)</f>
        <v>0</v>
      </c>
      <c r="J1494" s="159" t="str">
        <f>A4_Chem_Prices!N$2</f>
        <v>Roundup Powermax 3</v>
      </c>
      <c r="K1494" s="1350" t="s">
        <v>839</v>
      </c>
      <c r="L1494" s="158" t="str">
        <f>A4_Chem_Prices!O$2</f>
        <v>oz</v>
      </c>
      <c r="M1494" s="159">
        <f>A4_Chem_Prices!P$2</f>
        <v>0.140625</v>
      </c>
      <c r="N1494" s="157">
        <v>32</v>
      </c>
      <c r="O1494" s="82">
        <f t="shared" ref="O1494:O1507" si="300">M1494*N1494</f>
        <v>4.5</v>
      </c>
      <c r="P1494" s="1449">
        <f>N1494</f>
        <v>32</v>
      </c>
      <c r="Q1494" s="1171">
        <f>IF(SUM(I1494:I1549)=820,L1490,0)</f>
        <v>0</v>
      </c>
    </row>
    <row r="1495" spans="9:17" ht="13.9" x14ac:dyDescent="0.4">
      <c r="I1495" s="1073">
        <f t="shared" ref="I1495:I1507" si="301">IF($A$1=25,I1494+1,0)</f>
        <v>0</v>
      </c>
      <c r="J1495" s="159" t="str">
        <f>A4_Chem_Prices!N$3</f>
        <v>2,4-D</v>
      </c>
      <c r="K1495" s="1350" t="s">
        <v>839</v>
      </c>
      <c r="L1495" s="160" t="str">
        <f>A4_Chem_Prices!O$3</f>
        <v>oz</v>
      </c>
      <c r="M1495" s="159">
        <f>A4_Chem_Prices!P$3</f>
        <v>0.2734375</v>
      </c>
      <c r="N1495" s="157">
        <v>32</v>
      </c>
      <c r="O1495" s="82">
        <f t="shared" si="300"/>
        <v>8.75</v>
      </c>
      <c r="P1495" s="1449">
        <f>N1495</f>
        <v>32</v>
      </c>
      <c r="Q1495" s="1071">
        <f>Q1494</f>
        <v>0</v>
      </c>
    </row>
    <row r="1496" spans="9:17" ht="13.9" x14ac:dyDescent="0.4">
      <c r="I1496" s="1073">
        <f t="shared" si="301"/>
        <v>0</v>
      </c>
      <c r="J1496" s="159" t="str">
        <f>A4_Chem_Prices!Q$9</f>
        <v>Boundary</v>
      </c>
      <c r="K1496" s="1350" t="s">
        <v>839</v>
      </c>
      <c r="L1496" s="158" t="str">
        <f>A4_Chem_Prices!R$9</f>
        <v>oz</v>
      </c>
      <c r="M1496" s="159">
        <f>A4_Chem_Prices!S$9</f>
        <v>0.68414062499999995</v>
      </c>
      <c r="N1496" s="157">
        <v>32</v>
      </c>
      <c r="O1496" s="82">
        <f t="shared" si="300"/>
        <v>21.892499999999998</v>
      </c>
      <c r="P1496" s="1449">
        <f>N1496</f>
        <v>32</v>
      </c>
      <c r="Q1496" s="1071">
        <f t="shared" ref="Q1496:Q1507" si="302">Q1495</f>
        <v>0</v>
      </c>
    </row>
    <row r="1497" spans="9:17" ht="13.9" x14ac:dyDescent="0.4">
      <c r="I1497" s="1073">
        <f t="shared" si="301"/>
        <v>0</v>
      </c>
      <c r="J1497" s="159" t="str">
        <f>A4_Chem_Prices!N$2</f>
        <v>Roundup Powermax 3</v>
      </c>
      <c r="K1497" s="1350" t="s">
        <v>839</v>
      </c>
      <c r="L1497" s="158" t="str">
        <f>A4_Chem_Prices!O$2</f>
        <v>oz</v>
      </c>
      <c r="M1497" s="159">
        <f>A4_Chem_Prices!P$2</f>
        <v>0.140625</v>
      </c>
      <c r="N1497" s="157">
        <v>32</v>
      </c>
      <c r="O1497" s="82">
        <f t="shared" si="300"/>
        <v>4.5</v>
      </c>
      <c r="P1497" s="1449">
        <f>N1497</f>
        <v>32</v>
      </c>
      <c r="Q1497" s="1071">
        <f t="shared" si="302"/>
        <v>0</v>
      </c>
    </row>
    <row r="1498" spans="9:17" ht="13.9" x14ac:dyDescent="0.4">
      <c r="I1498" s="1073">
        <f t="shared" si="301"/>
        <v>0</v>
      </c>
      <c r="J1498" s="159" t="str">
        <f>A4_Chem_Prices!N$15</f>
        <v>Enlist One</v>
      </c>
      <c r="K1498" s="1350" t="s">
        <v>839</v>
      </c>
      <c r="L1498" s="158" t="str">
        <f>A4_Chem_Prices!O$15</f>
        <v>oz</v>
      </c>
      <c r="M1498" s="159">
        <f>A4_Chem_Prices!P$15</f>
        <v>0.47875000000000001</v>
      </c>
      <c r="N1498" s="157">
        <v>32</v>
      </c>
      <c r="O1498" s="82">
        <f t="shared" si="300"/>
        <v>15.32</v>
      </c>
      <c r="P1498" s="160">
        <f>N1498*16</f>
        <v>512</v>
      </c>
      <c r="Q1498" s="1071">
        <f t="shared" si="302"/>
        <v>0</v>
      </c>
    </row>
    <row r="1499" spans="9:17" ht="13.9" x14ac:dyDescent="0.4">
      <c r="I1499" s="1073">
        <f t="shared" si="301"/>
        <v>0</v>
      </c>
      <c r="J1499" s="159" t="str">
        <f>A4_Chem_Prices!N$11</f>
        <v>Zidua</v>
      </c>
      <c r="K1499" s="1350" t="s">
        <v>839</v>
      </c>
      <c r="L1499" s="160" t="str">
        <f>A4_Chem_Prices!O$11</f>
        <v>oz</v>
      </c>
      <c r="M1499" s="159">
        <f>A4_Chem_Prices!P$11</f>
        <v>5.7421875</v>
      </c>
      <c r="N1499" s="157">
        <v>3.5</v>
      </c>
      <c r="O1499" s="82">
        <f t="shared" si="300"/>
        <v>20.09765625</v>
      </c>
      <c r="P1499" s="1449">
        <f>N1499</f>
        <v>3.5</v>
      </c>
      <c r="Q1499" s="1071">
        <f t="shared" si="302"/>
        <v>0</v>
      </c>
    </row>
    <row r="1500" spans="9:17" ht="13.9" x14ac:dyDescent="0.4">
      <c r="I1500" s="1073">
        <f t="shared" si="301"/>
        <v>0</v>
      </c>
      <c r="J1500" s="159" t="s">
        <v>19</v>
      </c>
      <c r="K1500" s="1350" t="s">
        <v>839</v>
      </c>
      <c r="L1500" s="160"/>
      <c r="M1500" s="159">
        <v>0</v>
      </c>
      <c r="N1500" s="157">
        <v>0</v>
      </c>
      <c r="O1500" s="82">
        <f t="shared" si="300"/>
        <v>0</v>
      </c>
      <c r="P1500" s="160"/>
      <c r="Q1500" s="1071">
        <f t="shared" si="302"/>
        <v>0</v>
      </c>
    </row>
    <row r="1501" spans="9:17" ht="13.9" x14ac:dyDescent="0.4">
      <c r="I1501" s="1073">
        <f t="shared" si="301"/>
        <v>0</v>
      </c>
      <c r="J1501" s="159" t="s">
        <v>19</v>
      </c>
      <c r="K1501" s="1350" t="s">
        <v>839</v>
      </c>
      <c r="L1501" s="160"/>
      <c r="M1501" s="159">
        <v>0</v>
      </c>
      <c r="N1501" s="157">
        <v>0</v>
      </c>
      <c r="O1501" s="82">
        <f t="shared" si="300"/>
        <v>0</v>
      </c>
      <c r="P1501" s="160"/>
      <c r="Q1501" s="1071">
        <f t="shared" si="302"/>
        <v>0</v>
      </c>
    </row>
    <row r="1502" spans="9:17" ht="13.9" x14ac:dyDescent="0.4">
      <c r="I1502" s="1073">
        <f t="shared" si="301"/>
        <v>0</v>
      </c>
      <c r="J1502" s="159" t="s">
        <v>19</v>
      </c>
      <c r="K1502" s="1350" t="s">
        <v>839</v>
      </c>
      <c r="L1502" s="160"/>
      <c r="M1502" s="159">
        <v>0</v>
      </c>
      <c r="N1502" s="157">
        <v>0</v>
      </c>
      <c r="O1502" s="82">
        <f t="shared" si="300"/>
        <v>0</v>
      </c>
      <c r="P1502" s="160"/>
      <c r="Q1502" s="1071">
        <f t="shared" si="302"/>
        <v>0</v>
      </c>
    </row>
    <row r="1503" spans="9:17" ht="13.9" x14ac:dyDescent="0.4">
      <c r="I1503" s="1073">
        <f t="shared" si="301"/>
        <v>0</v>
      </c>
      <c r="J1503" s="159" t="s">
        <v>19</v>
      </c>
      <c r="K1503" s="1350" t="s">
        <v>839</v>
      </c>
      <c r="L1503" s="160"/>
      <c r="M1503" s="159">
        <v>0</v>
      </c>
      <c r="N1503" s="157">
        <v>0</v>
      </c>
      <c r="O1503" s="82">
        <f t="shared" si="300"/>
        <v>0</v>
      </c>
      <c r="P1503" s="160"/>
      <c r="Q1503" s="1071">
        <f t="shared" si="302"/>
        <v>0</v>
      </c>
    </row>
    <row r="1504" spans="9:17" ht="13.9" x14ac:dyDescent="0.4">
      <c r="I1504" s="1073">
        <f t="shared" si="301"/>
        <v>0</v>
      </c>
      <c r="J1504" s="159" t="s">
        <v>19</v>
      </c>
      <c r="K1504" s="1350" t="s">
        <v>839</v>
      </c>
      <c r="L1504" s="160"/>
      <c r="M1504" s="159">
        <v>0</v>
      </c>
      <c r="N1504" s="157">
        <v>0</v>
      </c>
      <c r="O1504" s="82">
        <f t="shared" si="300"/>
        <v>0</v>
      </c>
      <c r="P1504" s="160"/>
      <c r="Q1504" s="1071">
        <f t="shared" si="302"/>
        <v>0</v>
      </c>
    </row>
    <row r="1505" spans="9:17" ht="13.9" x14ac:dyDescent="0.4">
      <c r="I1505" s="1073">
        <f t="shared" si="301"/>
        <v>0</v>
      </c>
      <c r="J1505" s="159" t="s">
        <v>19</v>
      </c>
      <c r="K1505" s="1350" t="s">
        <v>839</v>
      </c>
      <c r="L1505" s="160"/>
      <c r="M1505" s="159">
        <v>0</v>
      </c>
      <c r="N1505" s="157">
        <v>0</v>
      </c>
      <c r="O1505" s="82">
        <f t="shared" si="300"/>
        <v>0</v>
      </c>
      <c r="P1505" s="160"/>
      <c r="Q1505" s="1071">
        <f t="shared" si="302"/>
        <v>0</v>
      </c>
    </row>
    <row r="1506" spans="9:17" ht="13.9" x14ac:dyDescent="0.4">
      <c r="I1506" s="1073">
        <f t="shared" si="301"/>
        <v>0</v>
      </c>
      <c r="J1506" s="159" t="s">
        <v>19</v>
      </c>
      <c r="K1506" s="1350" t="s">
        <v>839</v>
      </c>
      <c r="L1506" s="160"/>
      <c r="M1506" s="159">
        <v>0</v>
      </c>
      <c r="N1506" s="157">
        <v>0</v>
      </c>
      <c r="O1506" s="82">
        <f t="shared" si="300"/>
        <v>0</v>
      </c>
      <c r="P1506" s="160"/>
      <c r="Q1506" s="1071">
        <f t="shared" si="302"/>
        <v>0</v>
      </c>
    </row>
    <row r="1507" spans="9:17" ht="13.9" x14ac:dyDescent="0.4">
      <c r="I1507" s="1073">
        <f t="shared" si="301"/>
        <v>0</v>
      </c>
      <c r="J1507" s="159" t="s">
        <v>19</v>
      </c>
      <c r="K1507" s="1350" t="s">
        <v>839</v>
      </c>
      <c r="L1507" s="160"/>
      <c r="M1507" s="159">
        <v>0</v>
      </c>
      <c r="N1507" s="157">
        <v>0</v>
      </c>
      <c r="O1507" s="82">
        <f t="shared" si="300"/>
        <v>0</v>
      </c>
      <c r="P1507" s="160"/>
      <c r="Q1507" s="1071">
        <f t="shared" si="302"/>
        <v>0</v>
      </c>
    </row>
    <row r="1508" spans="9:17" ht="13.9" x14ac:dyDescent="0.4">
      <c r="I1508" s="1071"/>
      <c r="J1508" s="86" t="s">
        <v>22</v>
      </c>
      <c r="K1508" s="86"/>
      <c r="L1508" s="86"/>
      <c r="M1508" s="81"/>
      <c r="N1508" s="87"/>
      <c r="O1508" s="88">
        <f>SUM(O1494:O1507)</f>
        <v>75.060156250000006</v>
      </c>
      <c r="P1508" s="86"/>
      <c r="Q1508" s="1071"/>
    </row>
    <row r="1509" spans="9:17" ht="13.9" x14ac:dyDescent="0.4">
      <c r="I1509" s="1071"/>
      <c r="J1509" s="83"/>
      <c r="K1509" s="83"/>
      <c r="L1509" s="83"/>
      <c r="M1509" s="83"/>
      <c r="N1509" s="84"/>
      <c r="O1509" s="83"/>
      <c r="P1509" s="83"/>
      <c r="Q1509" s="1071"/>
    </row>
    <row r="1510" spans="9:17" ht="13.9" x14ac:dyDescent="0.4">
      <c r="I1510" s="1071"/>
      <c r="J1510" s="78" t="s">
        <v>20</v>
      </c>
      <c r="K1510" s="78"/>
      <c r="L1510" s="78"/>
      <c r="M1510" s="79"/>
      <c r="N1510" s="85"/>
      <c r="O1510" s="79"/>
      <c r="P1510" s="78"/>
      <c r="Q1510" s="1071"/>
    </row>
    <row r="1511" spans="9:17" ht="13.9" x14ac:dyDescent="0.4">
      <c r="I1511" s="1071"/>
      <c r="J1511" s="80" t="s">
        <v>212</v>
      </c>
      <c r="K1511" s="80" t="s">
        <v>838</v>
      </c>
      <c r="L1511" s="80" t="s">
        <v>2</v>
      </c>
      <c r="M1511" s="80" t="s">
        <v>21</v>
      </c>
      <c r="N1511" s="80" t="s">
        <v>174</v>
      </c>
      <c r="O1511" s="80" t="s">
        <v>14</v>
      </c>
      <c r="P1511" s="80" t="s">
        <v>890</v>
      </c>
      <c r="Q1511" s="1071"/>
    </row>
    <row r="1512" spans="9:17" ht="13.9" x14ac:dyDescent="0.4">
      <c r="I1512" s="1073">
        <f>IF($A$1=25,I1507+1,0)</f>
        <v>0</v>
      </c>
      <c r="J1512" s="159" t="str">
        <f>A4_Chem_Prices!N$19</f>
        <v>Besiege</v>
      </c>
      <c r="K1512" s="1350" t="s">
        <v>839</v>
      </c>
      <c r="L1512" s="160" t="str">
        <f>A4_Chem_Prices!O$19</f>
        <v>oz</v>
      </c>
      <c r="M1512" s="159">
        <f>A4_Chem_Prices!P$19</f>
        <v>1.98</v>
      </c>
      <c r="N1512" s="157">
        <v>9</v>
      </c>
      <c r="O1512" s="82">
        <f t="shared" ref="O1512:O1521" si="303">M1512*N1512</f>
        <v>17.82</v>
      </c>
      <c r="P1512" s="1449">
        <f>N1512</f>
        <v>9</v>
      </c>
      <c r="Q1512" s="1071">
        <f>Q1494</f>
        <v>0</v>
      </c>
    </row>
    <row r="1513" spans="9:17" ht="13.9" x14ac:dyDescent="0.4">
      <c r="I1513" s="1073">
        <f t="shared" ref="I1513:I1521" si="304">IF($A$1=25,I1512+1,0)</f>
        <v>0</v>
      </c>
      <c r="J1513" s="159" t="s">
        <v>19</v>
      </c>
      <c r="K1513" s="1350" t="s">
        <v>839</v>
      </c>
      <c r="L1513" s="160"/>
      <c r="M1513" s="159">
        <v>0</v>
      </c>
      <c r="N1513" s="157">
        <v>0</v>
      </c>
      <c r="O1513" s="82">
        <f t="shared" si="303"/>
        <v>0</v>
      </c>
      <c r="P1513" s="158"/>
      <c r="Q1513" s="1071">
        <f>Q1512</f>
        <v>0</v>
      </c>
    </row>
    <row r="1514" spans="9:17" ht="13.9" x14ac:dyDescent="0.4">
      <c r="I1514" s="1073">
        <f t="shared" si="304"/>
        <v>0</v>
      </c>
      <c r="J1514" s="159" t="s">
        <v>19</v>
      </c>
      <c r="K1514" s="1350" t="s">
        <v>839</v>
      </c>
      <c r="L1514" s="160"/>
      <c r="M1514" s="159">
        <v>0</v>
      </c>
      <c r="N1514" s="157">
        <v>0</v>
      </c>
      <c r="O1514" s="82">
        <f t="shared" si="303"/>
        <v>0</v>
      </c>
      <c r="P1514" s="158"/>
      <c r="Q1514" s="1071">
        <f t="shared" ref="Q1514:Q1521" si="305">Q1513</f>
        <v>0</v>
      </c>
    </row>
    <row r="1515" spans="9:17" ht="13.9" x14ac:dyDescent="0.4">
      <c r="I1515" s="1073">
        <f t="shared" si="304"/>
        <v>0</v>
      </c>
      <c r="J1515" s="159" t="s">
        <v>19</v>
      </c>
      <c r="K1515" s="1350" t="s">
        <v>839</v>
      </c>
      <c r="L1515" s="160"/>
      <c r="M1515" s="159">
        <v>0</v>
      </c>
      <c r="N1515" s="157">
        <v>0</v>
      </c>
      <c r="O1515" s="82">
        <f t="shared" si="303"/>
        <v>0</v>
      </c>
      <c r="P1515" s="158"/>
      <c r="Q1515" s="1071">
        <f t="shared" si="305"/>
        <v>0</v>
      </c>
    </row>
    <row r="1516" spans="9:17" ht="13.9" x14ac:dyDescent="0.4">
      <c r="I1516" s="1073">
        <f t="shared" si="304"/>
        <v>0</v>
      </c>
      <c r="J1516" s="159" t="s">
        <v>19</v>
      </c>
      <c r="K1516" s="1350" t="s">
        <v>839</v>
      </c>
      <c r="L1516" s="160"/>
      <c r="M1516" s="159">
        <v>0</v>
      </c>
      <c r="N1516" s="157">
        <v>0</v>
      </c>
      <c r="O1516" s="82">
        <f t="shared" si="303"/>
        <v>0</v>
      </c>
      <c r="P1516" s="158"/>
      <c r="Q1516" s="1071">
        <f t="shared" si="305"/>
        <v>0</v>
      </c>
    </row>
    <row r="1517" spans="9:17" ht="13.9" x14ac:dyDescent="0.4">
      <c r="I1517" s="1073">
        <f t="shared" si="304"/>
        <v>0</v>
      </c>
      <c r="J1517" s="159" t="s">
        <v>19</v>
      </c>
      <c r="K1517" s="1350" t="s">
        <v>839</v>
      </c>
      <c r="L1517" s="160"/>
      <c r="M1517" s="159">
        <v>0</v>
      </c>
      <c r="N1517" s="157">
        <v>0</v>
      </c>
      <c r="O1517" s="82">
        <f t="shared" si="303"/>
        <v>0</v>
      </c>
      <c r="P1517" s="158"/>
      <c r="Q1517" s="1071">
        <f t="shared" si="305"/>
        <v>0</v>
      </c>
    </row>
    <row r="1518" spans="9:17" ht="13.9" x14ac:dyDescent="0.4">
      <c r="I1518" s="1073">
        <f t="shared" si="304"/>
        <v>0</v>
      </c>
      <c r="J1518" s="159" t="s">
        <v>19</v>
      </c>
      <c r="K1518" s="1350" t="s">
        <v>839</v>
      </c>
      <c r="L1518" s="160"/>
      <c r="M1518" s="159">
        <v>0</v>
      </c>
      <c r="N1518" s="157">
        <v>0</v>
      </c>
      <c r="O1518" s="82">
        <f t="shared" si="303"/>
        <v>0</v>
      </c>
      <c r="P1518" s="158"/>
      <c r="Q1518" s="1071">
        <f t="shared" si="305"/>
        <v>0</v>
      </c>
    </row>
    <row r="1519" spans="9:17" ht="13.9" x14ac:dyDescent="0.4">
      <c r="I1519" s="1073">
        <f t="shared" si="304"/>
        <v>0</v>
      </c>
      <c r="J1519" s="159" t="s">
        <v>19</v>
      </c>
      <c r="K1519" s="1350" t="s">
        <v>839</v>
      </c>
      <c r="L1519" s="160"/>
      <c r="M1519" s="159">
        <v>0</v>
      </c>
      <c r="N1519" s="157">
        <v>0</v>
      </c>
      <c r="O1519" s="82">
        <f t="shared" si="303"/>
        <v>0</v>
      </c>
      <c r="P1519" s="158"/>
      <c r="Q1519" s="1071">
        <f t="shared" si="305"/>
        <v>0</v>
      </c>
    </row>
    <row r="1520" spans="9:17" ht="13.9" x14ac:dyDescent="0.4">
      <c r="I1520" s="1073">
        <f t="shared" si="304"/>
        <v>0</v>
      </c>
      <c r="J1520" s="159" t="s">
        <v>19</v>
      </c>
      <c r="K1520" s="1350" t="s">
        <v>839</v>
      </c>
      <c r="L1520" s="160"/>
      <c r="M1520" s="159">
        <v>0</v>
      </c>
      <c r="N1520" s="157">
        <v>0</v>
      </c>
      <c r="O1520" s="82">
        <f t="shared" si="303"/>
        <v>0</v>
      </c>
      <c r="P1520" s="158"/>
      <c r="Q1520" s="1071">
        <f t="shared" si="305"/>
        <v>0</v>
      </c>
    </row>
    <row r="1521" spans="9:17" ht="13.9" x14ac:dyDescent="0.4">
      <c r="I1521" s="1073">
        <f t="shared" si="304"/>
        <v>0</v>
      </c>
      <c r="J1521" s="159" t="s">
        <v>19</v>
      </c>
      <c r="K1521" s="1350" t="s">
        <v>839</v>
      </c>
      <c r="L1521" s="160"/>
      <c r="M1521" s="159">
        <v>0</v>
      </c>
      <c r="N1521" s="157">
        <v>0</v>
      </c>
      <c r="O1521" s="82">
        <f t="shared" si="303"/>
        <v>0</v>
      </c>
      <c r="P1521" s="158"/>
      <c r="Q1521" s="1071">
        <f t="shared" si="305"/>
        <v>0</v>
      </c>
    </row>
    <row r="1522" spans="9:17" ht="13.9" x14ac:dyDescent="0.4">
      <c r="I1522" s="1071"/>
      <c r="J1522" s="86" t="s">
        <v>22</v>
      </c>
      <c r="K1522" s="86"/>
      <c r="L1522" s="86"/>
      <c r="M1522" s="81"/>
      <c r="N1522" s="87"/>
      <c r="O1522" s="88">
        <f>SUM(O1512:O1521)</f>
        <v>17.82</v>
      </c>
      <c r="P1522" s="86"/>
      <c r="Q1522" s="1071"/>
    </row>
    <row r="1523" spans="9:17" ht="13.9" x14ac:dyDescent="0.4">
      <c r="I1523" s="1071"/>
      <c r="J1523" s="83"/>
      <c r="K1523" s="83"/>
      <c r="L1523" s="83"/>
      <c r="M1523" s="83"/>
      <c r="N1523" s="84"/>
      <c r="O1523" s="83"/>
      <c r="P1523" s="83"/>
      <c r="Q1523" s="1071"/>
    </row>
    <row r="1524" spans="9:17" ht="13.9" x14ac:dyDescent="0.4">
      <c r="I1524" s="1071"/>
      <c r="J1524" s="78" t="str">
        <f>IF(OR(A2_Budget_Look_Up!$B$7=1,A2_Budget_Look_Up!$B$13=1),"Nematicide Detail", "Fungicide Detail")</f>
        <v>Fungicide Detail</v>
      </c>
      <c r="K1524" s="78"/>
      <c r="L1524" s="78"/>
      <c r="M1524" s="79"/>
      <c r="N1524" s="85"/>
      <c r="O1524" s="79"/>
      <c r="P1524" s="78"/>
      <c r="Q1524" s="1071"/>
    </row>
    <row r="1525" spans="9:17" ht="13.9" x14ac:dyDescent="0.4">
      <c r="I1525" s="1071"/>
      <c r="J1525" s="80" t="s">
        <v>212</v>
      </c>
      <c r="K1525" s="80" t="s">
        <v>838</v>
      </c>
      <c r="L1525" s="80" t="s">
        <v>2</v>
      </c>
      <c r="M1525" s="80" t="s">
        <v>21</v>
      </c>
      <c r="N1525" s="80" t="s">
        <v>174</v>
      </c>
      <c r="O1525" s="80" t="s">
        <v>14</v>
      </c>
      <c r="P1525" s="80" t="s">
        <v>890</v>
      </c>
      <c r="Q1525" s="1071"/>
    </row>
    <row r="1526" spans="9:17" ht="13.9" x14ac:dyDescent="0.4">
      <c r="I1526" s="1073">
        <f>IF($A$1=25,I1521+1,0)</f>
        <v>0</v>
      </c>
      <c r="J1526" s="156" t="str">
        <f>A4_Chem_Prices!N$32</f>
        <v>Quadris Top</v>
      </c>
      <c r="K1526" s="1350" t="s">
        <v>839</v>
      </c>
      <c r="L1526" s="158" t="str">
        <f>A4_Chem_Prices!O$32</f>
        <v>oz</v>
      </c>
      <c r="M1526" s="159">
        <f>A4_Chem_Prices!P$32</f>
        <v>1.315390625</v>
      </c>
      <c r="N1526" s="157">
        <v>10</v>
      </c>
      <c r="O1526" s="82">
        <f>M1526*N1526</f>
        <v>13.15390625</v>
      </c>
      <c r="P1526" s="1449">
        <f>N1526</f>
        <v>10</v>
      </c>
      <c r="Q1526" s="1071">
        <f>Q1521</f>
        <v>0</v>
      </c>
    </row>
    <row r="1527" spans="9:17" ht="13.9" x14ac:dyDescent="0.4">
      <c r="I1527" s="1073">
        <f>IF($A$1=25,I1526+1,0)</f>
        <v>0</v>
      </c>
      <c r="J1527" s="156" t="s">
        <v>19</v>
      </c>
      <c r="K1527" s="1350" t="s">
        <v>839</v>
      </c>
      <c r="L1527" s="158"/>
      <c r="M1527" s="159">
        <v>0</v>
      </c>
      <c r="N1527" s="157">
        <v>0</v>
      </c>
      <c r="O1527" s="82">
        <f>M1527*N1527</f>
        <v>0</v>
      </c>
      <c r="P1527" s="158"/>
      <c r="Q1527" s="1071">
        <f>Q1526</f>
        <v>0</v>
      </c>
    </row>
    <row r="1528" spans="9:17" ht="13.9" x14ac:dyDescent="0.4">
      <c r="I1528" s="1071"/>
      <c r="J1528" s="86" t="s">
        <v>22</v>
      </c>
      <c r="K1528" s="86"/>
      <c r="L1528" s="86"/>
      <c r="M1528" s="81"/>
      <c r="N1528" s="87"/>
      <c r="O1528" s="88">
        <f>SUM(O1526:O1527)</f>
        <v>13.15390625</v>
      </c>
      <c r="P1528" s="86"/>
      <c r="Q1528" s="1071"/>
    </row>
    <row r="1529" spans="9:17" ht="13.9" x14ac:dyDescent="0.4">
      <c r="I1529" s="1071"/>
      <c r="J1529" s="83"/>
      <c r="K1529" s="83"/>
      <c r="L1529" s="83"/>
      <c r="M1529" s="83"/>
      <c r="N1529" s="84"/>
      <c r="O1529" s="83"/>
      <c r="P1529" s="83"/>
      <c r="Q1529" s="1071"/>
    </row>
    <row r="1530" spans="9:17" ht="13.9" x14ac:dyDescent="0.4">
      <c r="I1530" s="1071"/>
      <c r="J1530" s="78" t="str">
        <f>IF(A2_Budget_Look_Up!$B$7=1,"Growth Regulator Detail", IF(A2_Budget_Look_Up!$B$13=1,"Fungicide Detail","Other Chemical Detail"))</f>
        <v>Other Chemical Detail</v>
      </c>
      <c r="K1530" s="78"/>
      <c r="L1530" s="78"/>
      <c r="M1530" s="79"/>
      <c r="N1530" s="85"/>
      <c r="O1530" s="79"/>
      <c r="P1530" s="78"/>
      <c r="Q1530" s="1071"/>
    </row>
    <row r="1531" spans="9:17" ht="13.9" x14ac:dyDescent="0.4">
      <c r="I1531" s="1071"/>
      <c r="J1531" s="80" t="s">
        <v>212</v>
      </c>
      <c r="K1531" s="80" t="s">
        <v>838</v>
      </c>
      <c r="L1531" s="80" t="s">
        <v>2</v>
      </c>
      <c r="M1531" s="80" t="s">
        <v>21</v>
      </c>
      <c r="N1531" s="80" t="s">
        <v>174</v>
      </c>
      <c r="O1531" s="80" t="s">
        <v>14</v>
      </c>
      <c r="P1531" s="80" t="s">
        <v>890</v>
      </c>
      <c r="Q1531" s="1071"/>
    </row>
    <row r="1532" spans="9:17" ht="13.9" x14ac:dyDescent="0.4">
      <c r="I1532" s="1073">
        <f>IF($A$1=25,I1527+1,0)</f>
        <v>0</v>
      </c>
      <c r="J1532" s="156" t="s">
        <v>19</v>
      </c>
      <c r="K1532" s="1350" t="s">
        <v>839</v>
      </c>
      <c r="L1532" s="158"/>
      <c r="M1532" s="159">
        <v>0</v>
      </c>
      <c r="N1532" s="157">
        <v>0</v>
      </c>
      <c r="O1532" s="82">
        <f t="shared" ref="O1532:O1538" si="306">M1532*N1532</f>
        <v>0</v>
      </c>
      <c r="P1532" s="160"/>
      <c r="Q1532" s="1071">
        <f>Q1527</f>
        <v>0</v>
      </c>
    </row>
    <row r="1533" spans="9:17" ht="13.9" x14ac:dyDescent="0.4">
      <c r="I1533" s="1073">
        <f t="shared" ref="I1533:I1538" si="307">IF($A$1=25,I1532+1,0)</f>
        <v>0</v>
      </c>
      <c r="J1533" s="156" t="s">
        <v>19</v>
      </c>
      <c r="K1533" s="1350" t="s">
        <v>839</v>
      </c>
      <c r="L1533" s="158"/>
      <c r="M1533" s="159">
        <v>0</v>
      </c>
      <c r="N1533" s="157">
        <v>0</v>
      </c>
      <c r="O1533" s="82">
        <f t="shared" si="306"/>
        <v>0</v>
      </c>
      <c r="P1533" s="160"/>
      <c r="Q1533" s="1071">
        <f t="shared" ref="Q1533:Q1538" si="308">Q1532</f>
        <v>0</v>
      </c>
    </row>
    <row r="1534" spans="9:17" ht="13.9" x14ac:dyDescent="0.4">
      <c r="I1534" s="1073">
        <f t="shared" si="307"/>
        <v>0</v>
      </c>
      <c r="J1534" s="156" t="s">
        <v>19</v>
      </c>
      <c r="K1534" s="1350" t="s">
        <v>839</v>
      </c>
      <c r="L1534" s="158"/>
      <c r="M1534" s="159">
        <v>0</v>
      </c>
      <c r="N1534" s="157">
        <v>0</v>
      </c>
      <c r="O1534" s="82">
        <f t="shared" si="306"/>
        <v>0</v>
      </c>
      <c r="P1534" s="160"/>
      <c r="Q1534" s="1071">
        <f t="shared" si="308"/>
        <v>0</v>
      </c>
    </row>
    <row r="1535" spans="9:17" ht="13.9" x14ac:dyDescent="0.4">
      <c r="I1535" s="1073">
        <f t="shared" si="307"/>
        <v>0</v>
      </c>
      <c r="J1535" s="156" t="s">
        <v>19</v>
      </c>
      <c r="K1535" s="1350" t="s">
        <v>839</v>
      </c>
      <c r="L1535" s="158"/>
      <c r="M1535" s="159">
        <v>0</v>
      </c>
      <c r="N1535" s="157">
        <v>0</v>
      </c>
      <c r="O1535" s="82">
        <f t="shared" si="306"/>
        <v>0</v>
      </c>
      <c r="P1535" s="158"/>
      <c r="Q1535" s="1071">
        <f t="shared" si="308"/>
        <v>0</v>
      </c>
    </row>
    <row r="1536" spans="9:17" ht="13.9" x14ac:dyDescent="0.4">
      <c r="I1536" s="1073">
        <f t="shared" si="307"/>
        <v>0</v>
      </c>
      <c r="J1536" s="156" t="s">
        <v>19</v>
      </c>
      <c r="K1536" s="1350" t="s">
        <v>839</v>
      </c>
      <c r="L1536" s="158"/>
      <c r="M1536" s="159">
        <v>0</v>
      </c>
      <c r="N1536" s="157">
        <v>0</v>
      </c>
      <c r="O1536" s="82">
        <f t="shared" si="306"/>
        <v>0</v>
      </c>
      <c r="P1536" s="158"/>
      <c r="Q1536" s="1071">
        <f t="shared" si="308"/>
        <v>0</v>
      </c>
    </row>
    <row r="1537" spans="9:17" ht="13.9" x14ac:dyDescent="0.4">
      <c r="I1537" s="1073">
        <f t="shared" si="307"/>
        <v>0</v>
      </c>
      <c r="J1537" s="156" t="s">
        <v>19</v>
      </c>
      <c r="K1537" s="1350" t="s">
        <v>839</v>
      </c>
      <c r="L1537" s="158"/>
      <c r="M1537" s="159">
        <v>0</v>
      </c>
      <c r="N1537" s="157">
        <v>0</v>
      </c>
      <c r="O1537" s="82">
        <f t="shared" si="306"/>
        <v>0</v>
      </c>
      <c r="P1537" s="158"/>
      <c r="Q1537" s="1071">
        <f t="shared" si="308"/>
        <v>0</v>
      </c>
    </row>
    <row r="1538" spans="9:17" ht="13.9" x14ac:dyDescent="0.4">
      <c r="I1538" s="1073">
        <f t="shared" si="307"/>
        <v>0</v>
      </c>
      <c r="J1538" s="156" t="s">
        <v>19</v>
      </c>
      <c r="K1538" s="1350" t="s">
        <v>839</v>
      </c>
      <c r="L1538" s="158"/>
      <c r="M1538" s="159">
        <v>0</v>
      </c>
      <c r="N1538" s="157">
        <v>0</v>
      </c>
      <c r="O1538" s="82">
        <f t="shared" si="306"/>
        <v>0</v>
      </c>
      <c r="P1538" s="158"/>
      <c r="Q1538" s="1071">
        <f t="shared" si="308"/>
        <v>0</v>
      </c>
    </row>
    <row r="1539" spans="9:17" ht="13.9" x14ac:dyDescent="0.4">
      <c r="I1539" s="1071"/>
      <c r="J1539" s="86" t="s">
        <v>22</v>
      </c>
      <c r="K1539" s="86"/>
      <c r="L1539" s="86"/>
      <c r="M1539" s="81"/>
      <c r="N1539" s="87"/>
      <c r="O1539" s="88">
        <f>SUM(O1532:O1538)</f>
        <v>0</v>
      </c>
      <c r="P1539" s="86"/>
      <c r="Q1539" s="1071"/>
    </row>
    <row r="1540" spans="9:17" ht="13.9" x14ac:dyDescent="0.4">
      <c r="I1540" s="1071"/>
      <c r="J1540" s="83"/>
      <c r="K1540" s="83"/>
      <c r="L1540" s="83"/>
      <c r="M1540" s="83"/>
      <c r="N1540" s="84"/>
      <c r="O1540" s="83"/>
      <c r="P1540" s="83"/>
      <c r="Q1540" s="1071"/>
    </row>
    <row r="1541" spans="9:17" ht="13.9" x14ac:dyDescent="0.4">
      <c r="I1541" s="1071"/>
      <c r="J1541" s="78" t="str">
        <f>IF(A2_Budget_Look_Up!$B$7=1,"Defoliant Detail", "Other Chemical Detail")</f>
        <v>Other Chemical Detail</v>
      </c>
      <c r="K1541" s="78"/>
      <c r="L1541" s="78"/>
      <c r="M1541" s="79"/>
      <c r="N1541" s="85"/>
      <c r="O1541" s="79"/>
      <c r="P1541" s="78"/>
      <c r="Q1541" s="1071"/>
    </row>
    <row r="1542" spans="9:17" ht="13.9" x14ac:dyDescent="0.4">
      <c r="I1542" s="1071"/>
      <c r="J1542" s="80" t="s">
        <v>212</v>
      </c>
      <c r="K1542" s="80" t="s">
        <v>838</v>
      </c>
      <c r="L1542" s="80" t="s">
        <v>2</v>
      </c>
      <c r="M1542" s="80" t="s">
        <v>21</v>
      </c>
      <c r="N1542" s="80" t="s">
        <v>174</v>
      </c>
      <c r="O1542" s="80" t="s">
        <v>14</v>
      </c>
      <c r="P1542" s="80" t="s">
        <v>890</v>
      </c>
      <c r="Q1542" s="1071"/>
    </row>
    <row r="1543" spans="9:17" ht="13.9" x14ac:dyDescent="0.4">
      <c r="I1543" s="1073">
        <f>IF($A$1=25,I1538+1,0)</f>
        <v>0</v>
      </c>
      <c r="J1543" s="156" t="s">
        <v>19</v>
      </c>
      <c r="K1543" s="1350" t="s">
        <v>839</v>
      </c>
      <c r="L1543" s="158"/>
      <c r="M1543" s="159">
        <v>0</v>
      </c>
      <c r="N1543" s="157">
        <v>0</v>
      </c>
      <c r="O1543" s="82">
        <f t="shared" ref="O1543:O1549" si="309">M1543*N1543</f>
        <v>0</v>
      </c>
      <c r="P1543" s="160"/>
      <c r="Q1543" s="1071">
        <f>Q1538</f>
        <v>0</v>
      </c>
    </row>
    <row r="1544" spans="9:17" ht="13.9" x14ac:dyDescent="0.4">
      <c r="I1544" s="1073">
        <f t="shared" ref="I1544:I1549" si="310">IF($A$1=25,I1543+1,0)</f>
        <v>0</v>
      </c>
      <c r="J1544" s="156" t="s">
        <v>19</v>
      </c>
      <c r="K1544" s="1350" t="s">
        <v>839</v>
      </c>
      <c r="L1544" s="158"/>
      <c r="M1544" s="159">
        <v>0</v>
      </c>
      <c r="N1544" s="157">
        <v>0</v>
      </c>
      <c r="O1544" s="82">
        <f t="shared" si="309"/>
        <v>0</v>
      </c>
      <c r="P1544" s="160"/>
      <c r="Q1544" s="1071">
        <f t="shared" ref="Q1544:Q1549" si="311">Q1543</f>
        <v>0</v>
      </c>
    </row>
    <row r="1545" spans="9:17" ht="13.9" x14ac:dyDescent="0.4">
      <c r="I1545" s="1073">
        <f t="shared" si="310"/>
        <v>0</v>
      </c>
      <c r="J1545" s="156" t="s">
        <v>19</v>
      </c>
      <c r="K1545" s="1350" t="s">
        <v>839</v>
      </c>
      <c r="L1545" s="158"/>
      <c r="M1545" s="159">
        <v>0</v>
      </c>
      <c r="N1545" s="157">
        <v>0</v>
      </c>
      <c r="O1545" s="82">
        <f t="shared" si="309"/>
        <v>0</v>
      </c>
      <c r="P1545" s="160"/>
      <c r="Q1545" s="1071">
        <f t="shared" si="311"/>
        <v>0</v>
      </c>
    </row>
    <row r="1546" spans="9:17" ht="13.9" x14ac:dyDescent="0.4">
      <c r="I1546" s="1073">
        <f t="shared" si="310"/>
        <v>0</v>
      </c>
      <c r="J1546" s="156" t="s">
        <v>19</v>
      </c>
      <c r="K1546" s="1350" t="s">
        <v>839</v>
      </c>
      <c r="L1546" s="158"/>
      <c r="M1546" s="159">
        <v>0</v>
      </c>
      <c r="N1546" s="157">
        <v>0</v>
      </c>
      <c r="O1546" s="82">
        <f t="shared" si="309"/>
        <v>0</v>
      </c>
      <c r="P1546" s="160"/>
      <c r="Q1546" s="1071">
        <f t="shared" si="311"/>
        <v>0</v>
      </c>
    </row>
    <row r="1547" spans="9:17" ht="13.9" x14ac:dyDescent="0.4">
      <c r="I1547" s="1073">
        <f t="shared" si="310"/>
        <v>0</v>
      </c>
      <c r="J1547" s="156" t="s">
        <v>19</v>
      </c>
      <c r="K1547" s="1350" t="s">
        <v>839</v>
      </c>
      <c r="L1547" s="158"/>
      <c r="M1547" s="159">
        <v>0</v>
      </c>
      <c r="N1547" s="157">
        <v>0</v>
      </c>
      <c r="O1547" s="82">
        <f t="shared" si="309"/>
        <v>0</v>
      </c>
      <c r="P1547" s="160"/>
      <c r="Q1547" s="1071">
        <f t="shared" si="311"/>
        <v>0</v>
      </c>
    </row>
    <row r="1548" spans="9:17" ht="13.9" x14ac:dyDescent="0.4">
      <c r="I1548" s="1073">
        <f t="shared" si="310"/>
        <v>0</v>
      </c>
      <c r="J1548" s="156" t="s">
        <v>19</v>
      </c>
      <c r="K1548" s="1350" t="s">
        <v>839</v>
      </c>
      <c r="L1548" s="158"/>
      <c r="M1548" s="159">
        <v>0</v>
      </c>
      <c r="N1548" s="157">
        <v>0</v>
      </c>
      <c r="O1548" s="82">
        <f t="shared" si="309"/>
        <v>0</v>
      </c>
      <c r="P1548" s="158"/>
      <c r="Q1548" s="1071">
        <f t="shared" si="311"/>
        <v>0</v>
      </c>
    </row>
    <row r="1549" spans="9:17" ht="13.9" x14ac:dyDescent="0.4">
      <c r="I1549" s="1073">
        <f t="shared" si="310"/>
        <v>0</v>
      </c>
      <c r="J1549" s="156" t="s">
        <v>19</v>
      </c>
      <c r="K1549" s="1350" t="s">
        <v>839</v>
      </c>
      <c r="L1549" s="158"/>
      <c r="M1549" s="159">
        <v>0</v>
      </c>
      <c r="N1549" s="157">
        <v>0</v>
      </c>
      <c r="O1549" s="82">
        <f t="shared" si="309"/>
        <v>0</v>
      </c>
      <c r="P1549" s="158"/>
      <c r="Q1549" s="1071">
        <f t="shared" si="311"/>
        <v>0</v>
      </c>
    </row>
    <row r="1550" spans="9:17" ht="13.9" x14ac:dyDescent="0.4">
      <c r="I1550" s="1071"/>
      <c r="J1550" s="86" t="s">
        <v>22</v>
      </c>
      <c r="K1550" s="86"/>
      <c r="L1550" s="86"/>
      <c r="M1550" s="81"/>
      <c r="N1550" s="87"/>
      <c r="O1550" s="88">
        <f>SUM(O1543:O1549)</f>
        <v>0</v>
      </c>
      <c r="P1550" s="86"/>
      <c r="Q1550" s="1071"/>
    </row>
    <row r="1551" spans="9:17" ht="13.9" x14ac:dyDescent="0.4">
      <c r="I1551" s="1071"/>
      <c r="J1551" s="83"/>
      <c r="K1551" s="83"/>
      <c r="L1551" s="83"/>
      <c r="M1551" s="89"/>
      <c r="N1551" s="84"/>
      <c r="O1551" s="89"/>
      <c r="P1551" s="83"/>
      <c r="Q1551" s="1071"/>
    </row>
    <row r="1552" spans="9:17" ht="13.9" x14ac:dyDescent="0.4">
      <c r="I1552" s="1071"/>
      <c r="J1552" s="1168" t="str">
        <f>A2_Budget_Look_Up!H28</f>
        <v>EnlistE3 Soybeans, Flood</v>
      </c>
      <c r="K1552" s="1168"/>
      <c r="L1552" s="1168">
        <f>A2_Budget_Look_Up!F28</f>
        <v>26</v>
      </c>
      <c r="M1552" s="1168"/>
      <c r="N1552" s="1168"/>
      <c r="O1552" s="1168"/>
      <c r="P1552" s="1168"/>
      <c r="Q1552" s="1071"/>
    </row>
    <row r="1554" spans="9:17" ht="13.9" x14ac:dyDescent="0.4">
      <c r="I1554" s="1071"/>
      <c r="J1554" s="78" t="s">
        <v>18</v>
      </c>
      <c r="K1554" s="78"/>
      <c r="L1554" s="78"/>
      <c r="M1554" s="79"/>
      <c r="N1554" s="85"/>
      <c r="O1554" s="79"/>
      <c r="P1554" s="78"/>
      <c r="Q1554" s="1071"/>
    </row>
    <row r="1555" spans="9:17" ht="13.9" x14ac:dyDescent="0.4">
      <c r="I1555" s="1071"/>
      <c r="J1555" s="80" t="s">
        <v>212</v>
      </c>
      <c r="K1555" s="80" t="s">
        <v>838</v>
      </c>
      <c r="L1555" s="80" t="s">
        <v>2</v>
      </c>
      <c r="M1555" s="80" t="s">
        <v>21</v>
      </c>
      <c r="N1555" s="80" t="s">
        <v>174</v>
      </c>
      <c r="O1555" s="80" t="s">
        <v>14</v>
      </c>
      <c r="P1555" s="80" t="s">
        <v>890</v>
      </c>
      <c r="Q1555" s="1071"/>
    </row>
    <row r="1556" spans="9:17" ht="13.9" x14ac:dyDescent="0.4">
      <c r="I1556" s="1073">
        <f>IF($A$1=26,1,0)</f>
        <v>0</v>
      </c>
      <c r="J1556" s="159" t="str">
        <f>A4_Chem_Prices!N$2</f>
        <v>Roundup Powermax 3</v>
      </c>
      <c r="K1556" s="1350" t="s">
        <v>839</v>
      </c>
      <c r="L1556" s="158" t="str">
        <f>A4_Chem_Prices!O$2</f>
        <v>oz</v>
      </c>
      <c r="M1556" s="159">
        <f>A4_Chem_Prices!P$2</f>
        <v>0.140625</v>
      </c>
      <c r="N1556" s="157">
        <v>32</v>
      </c>
      <c r="O1556" s="82">
        <f t="shared" ref="O1556:O1569" si="312">M1556*N1556</f>
        <v>4.5</v>
      </c>
      <c r="P1556" s="1449">
        <f>N1556</f>
        <v>32</v>
      </c>
      <c r="Q1556" s="1171">
        <f>IF(SUM(I1556:I1611)=820,L1552,0)</f>
        <v>0</v>
      </c>
    </row>
    <row r="1557" spans="9:17" ht="13.9" x14ac:dyDescent="0.4">
      <c r="I1557" s="1073">
        <f t="shared" ref="I1557:I1569" si="313">IF($A$1=26,I1556+1,0)</f>
        <v>0</v>
      </c>
      <c r="J1557" s="159" t="str">
        <f>A4_Chem_Prices!N$3</f>
        <v>2,4-D</v>
      </c>
      <c r="K1557" s="1350" t="s">
        <v>839</v>
      </c>
      <c r="L1557" s="160" t="str">
        <f>A4_Chem_Prices!O$3</f>
        <v>oz</v>
      </c>
      <c r="M1557" s="159">
        <f>A4_Chem_Prices!P$3</f>
        <v>0.2734375</v>
      </c>
      <c r="N1557" s="157">
        <v>32</v>
      </c>
      <c r="O1557" s="82">
        <f t="shared" si="312"/>
        <v>8.75</v>
      </c>
      <c r="P1557" s="1449">
        <f>N1557</f>
        <v>32</v>
      </c>
      <c r="Q1557" s="1071">
        <f>Q1556</f>
        <v>0</v>
      </c>
    </row>
    <row r="1558" spans="9:17" ht="13.9" x14ac:dyDescent="0.4">
      <c r="I1558" s="1073">
        <f t="shared" si="313"/>
        <v>0</v>
      </c>
      <c r="J1558" s="159" t="str">
        <f>A4_Chem_Prices!Q$9</f>
        <v>Boundary</v>
      </c>
      <c r="K1558" s="1350" t="s">
        <v>839</v>
      </c>
      <c r="L1558" s="158" t="str">
        <f>A4_Chem_Prices!R$9</f>
        <v>oz</v>
      </c>
      <c r="M1558" s="159">
        <f>A4_Chem_Prices!S$9</f>
        <v>0.68414062499999995</v>
      </c>
      <c r="N1558" s="157">
        <v>32</v>
      </c>
      <c r="O1558" s="82">
        <f t="shared" si="312"/>
        <v>21.892499999999998</v>
      </c>
      <c r="P1558" s="1449">
        <f>N1558</f>
        <v>32</v>
      </c>
      <c r="Q1558" s="1071">
        <f t="shared" ref="Q1558:Q1569" si="314">Q1557</f>
        <v>0</v>
      </c>
    </row>
    <row r="1559" spans="9:17" ht="13.9" x14ac:dyDescent="0.4">
      <c r="I1559" s="1073">
        <f t="shared" si="313"/>
        <v>0</v>
      </c>
      <c r="J1559" s="159" t="str">
        <f>A4_Chem_Prices!N$2</f>
        <v>Roundup Powermax 3</v>
      </c>
      <c r="K1559" s="1350" t="s">
        <v>839</v>
      </c>
      <c r="L1559" s="158" t="str">
        <f>A4_Chem_Prices!O$2</f>
        <v>oz</v>
      </c>
      <c r="M1559" s="159">
        <f>A4_Chem_Prices!P$2</f>
        <v>0.140625</v>
      </c>
      <c r="N1559" s="157">
        <v>32</v>
      </c>
      <c r="O1559" s="82">
        <f t="shared" si="312"/>
        <v>4.5</v>
      </c>
      <c r="P1559" s="1449">
        <f>N1559</f>
        <v>32</v>
      </c>
      <c r="Q1559" s="1071">
        <f t="shared" si="314"/>
        <v>0</v>
      </c>
    </row>
    <row r="1560" spans="9:17" ht="13.9" x14ac:dyDescent="0.4">
      <c r="I1560" s="1073">
        <f t="shared" si="313"/>
        <v>0</v>
      </c>
      <c r="J1560" s="159" t="str">
        <f>A4_Chem_Prices!N$15</f>
        <v>Enlist One</v>
      </c>
      <c r="K1560" s="1350" t="s">
        <v>839</v>
      </c>
      <c r="L1560" s="158" t="str">
        <f>A4_Chem_Prices!O$15</f>
        <v>oz</v>
      </c>
      <c r="M1560" s="159">
        <f>A4_Chem_Prices!P$15</f>
        <v>0.47875000000000001</v>
      </c>
      <c r="N1560" s="157">
        <v>32</v>
      </c>
      <c r="O1560" s="82">
        <f t="shared" si="312"/>
        <v>15.32</v>
      </c>
      <c r="P1560" s="160">
        <f>N1560*16</f>
        <v>512</v>
      </c>
      <c r="Q1560" s="1071">
        <f t="shared" si="314"/>
        <v>0</v>
      </c>
    </row>
    <row r="1561" spans="9:17" ht="13.9" x14ac:dyDescent="0.4">
      <c r="I1561" s="1073">
        <f t="shared" si="313"/>
        <v>0</v>
      </c>
      <c r="J1561" s="159" t="str">
        <f>A4_Chem_Prices!N$11</f>
        <v>Zidua</v>
      </c>
      <c r="K1561" s="1350" t="s">
        <v>839</v>
      </c>
      <c r="L1561" s="160" t="str">
        <f>A4_Chem_Prices!O$11</f>
        <v>oz</v>
      </c>
      <c r="M1561" s="159">
        <f>A4_Chem_Prices!P$11</f>
        <v>5.7421875</v>
      </c>
      <c r="N1561" s="157">
        <v>3.5</v>
      </c>
      <c r="O1561" s="82">
        <f t="shared" si="312"/>
        <v>20.09765625</v>
      </c>
      <c r="P1561" s="1449">
        <f>N1561</f>
        <v>3.5</v>
      </c>
      <c r="Q1561" s="1071">
        <f t="shared" si="314"/>
        <v>0</v>
      </c>
    </row>
    <row r="1562" spans="9:17" ht="13.9" x14ac:dyDescent="0.4">
      <c r="I1562" s="1073">
        <f t="shared" si="313"/>
        <v>0</v>
      </c>
      <c r="J1562" s="159" t="s">
        <v>19</v>
      </c>
      <c r="K1562" s="1350" t="s">
        <v>839</v>
      </c>
      <c r="L1562" s="160"/>
      <c r="M1562" s="159">
        <v>0</v>
      </c>
      <c r="N1562" s="157">
        <v>0</v>
      </c>
      <c r="O1562" s="82">
        <f t="shared" si="312"/>
        <v>0</v>
      </c>
      <c r="P1562" s="160"/>
      <c r="Q1562" s="1071">
        <f t="shared" si="314"/>
        <v>0</v>
      </c>
    </row>
    <row r="1563" spans="9:17" ht="13.9" x14ac:dyDescent="0.4">
      <c r="I1563" s="1073">
        <f t="shared" si="313"/>
        <v>0</v>
      </c>
      <c r="J1563" s="159" t="s">
        <v>19</v>
      </c>
      <c r="K1563" s="1350" t="s">
        <v>839</v>
      </c>
      <c r="L1563" s="160"/>
      <c r="M1563" s="159">
        <v>0</v>
      </c>
      <c r="N1563" s="157">
        <v>0</v>
      </c>
      <c r="O1563" s="82">
        <f t="shared" si="312"/>
        <v>0</v>
      </c>
      <c r="P1563" s="160"/>
      <c r="Q1563" s="1071">
        <f t="shared" si="314"/>
        <v>0</v>
      </c>
    </row>
    <row r="1564" spans="9:17" ht="13.9" x14ac:dyDescent="0.4">
      <c r="I1564" s="1073">
        <f t="shared" si="313"/>
        <v>0</v>
      </c>
      <c r="J1564" s="159" t="s">
        <v>19</v>
      </c>
      <c r="K1564" s="1350" t="s">
        <v>839</v>
      </c>
      <c r="L1564" s="160"/>
      <c r="M1564" s="159">
        <v>0</v>
      </c>
      <c r="N1564" s="157">
        <v>0</v>
      </c>
      <c r="O1564" s="82">
        <f t="shared" si="312"/>
        <v>0</v>
      </c>
      <c r="P1564" s="160"/>
      <c r="Q1564" s="1071">
        <f t="shared" si="314"/>
        <v>0</v>
      </c>
    </row>
    <row r="1565" spans="9:17" ht="13.9" x14ac:dyDescent="0.4">
      <c r="I1565" s="1073">
        <f t="shared" si="313"/>
        <v>0</v>
      </c>
      <c r="J1565" s="159" t="s">
        <v>19</v>
      </c>
      <c r="K1565" s="1350" t="s">
        <v>839</v>
      </c>
      <c r="L1565" s="160"/>
      <c r="M1565" s="159">
        <v>0</v>
      </c>
      <c r="N1565" s="157">
        <v>0</v>
      </c>
      <c r="O1565" s="82">
        <f t="shared" si="312"/>
        <v>0</v>
      </c>
      <c r="P1565" s="160"/>
      <c r="Q1565" s="1071">
        <f t="shared" si="314"/>
        <v>0</v>
      </c>
    </row>
    <row r="1566" spans="9:17" ht="13.9" x14ac:dyDescent="0.4">
      <c r="I1566" s="1073">
        <f t="shared" si="313"/>
        <v>0</v>
      </c>
      <c r="J1566" s="159" t="s">
        <v>19</v>
      </c>
      <c r="K1566" s="1350" t="s">
        <v>839</v>
      </c>
      <c r="L1566" s="160"/>
      <c r="M1566" s="159">
        <v>0</v>
      </c>
      <c r="N1566" s="157">
        <v>0</v>
      </c>
      <c r="O1566" s="82">
        <f t="shared" si="312"/>
        <v>0</v>
      </c>
      <c r="P1566" s="160"/>
      <c r="Q1566" s="1071">
        <f t="shared" si="314"/>
        <v>0</v>
      </c>
    </row>
    <row r="1567" spans="9:17" ht="13.9" x14ac:dyDescent="0.4">
      <c r="I1567" s="1073">
        <f t="shared" si="313"/>
        <v>0</v>
      </c>
      <c r="J1567" s="159" t="s">
        <v>19</v>
      </c>
      <c r="K1567" s="1350" t="s">
        <v>839</v>
      </c>
      <c r="L1567" s="160"/>
      <c r="M1567" s="159">
        <v>0</v>
      </c>
      <c r="N1567" s="157">
        <v>0</v>
      </c>
      <c r="O1567" s="82">
        <f t="shared" si="312"/>
        <v>0</v>
      </c>
      <c r="P1567" s="160"/>
      <c r="Q1567" s="1071">
        <f t="shared" si="314"/>
        <v>0</v>
      </c>
    </row>
    <row r="1568" spans="9:17" ht="13.9" x14ac:dyDescent="0.4">
      <c r="I1568" s="1073">
        <f t="shared" si="313"/>
        <v>0</v>
      </c>
      <c r="J1568" s="159" t="s">
        <v>19</v>
      </c>
      <c r="K1568" s="1350" t="s">
        <v>839</v>
      </c>
      <c r="L1568" s="160"/>
      <c r="M1568" s="159">
        <v>0</v>
      </c>
      <c r="N1568" s="157">
        <v>0</v>
      </c>
      <c r="O1568" s="82">
        <f t="shared" si="312"/>
        <v>0</v>
      </c>
      <c r="P1568" s="160"/>
      <c r="Q1568" s="1071">
        <f t="shared" si="314"/>
        <v>0</v>
      </c>
    </row>
    <row r="1569" spans="9:17" ht="13.9" x14ac:dyDescent="0.4">
      <c r="I1569" s="1073">
        <f t="shared" si="313"/>
        <v>0</v>
      </c>
      <c r="J1569" s="159" t="s">
        <v>19</v>
      </c>
      <c r="K1569" s="1350" t="s">
        <v>839</v>
      </c>
      <c r="L1569" s="160"/>
      <c r="M1569" s="159">
        <v>0</v>
      </c>
      <c r="N1569" s="157">
        <v>0</v>
      </c>
      <c r="O1569" s="82">
        <f t="shared" si="312"/>
        <v>0</v>
      </c>
      <c r="P1569" s="160"/>
      <c r="Q1569" s="1071">
        <f t="shared" si="314"/>
        <v>0</v>
      </c>
    </row>
    <row r="1570" spans="9:17" ht="13.9" x14ac:dyDescent="0.4">
      <c r="I1570" s="1071"/>
      <c r="J1570" s="86" t="s">
        <v>22</v>
      </c>
      <c r="K1570" s="86"/>
      <c r="L1570" s="86"/>
      <c r="M1570" s="81"/>
      <c r="N1570" s="87"/>
      <c r="O1570" s="88">
        <f>SUM(O1556:O1569)</f>
        <v>75.060156250000006</v>
      </c>
      <c r="P1570" s="86"/>
      <c r="Q1570" s="1071"/>
    </row>
    <row r="1571" spans="9:17" ht="13.9" x14ac:dyDescent="0.4">
      <c r="I1571" s="1071"/>
      <c r="J1571" s="83"/>
      <c r="K1571" s="83"/>
      <c r="L1571" s="83"/>
      <c r="M1571" s="83"/>
      <c r="N1571" s="84"/>
      <c r="O1571" s="83"/>
      <c r="P1571" s="83"/>
      <c r="Q1571" s="1071"/>
    </row>
    <row r="1572" spans="9:17" ht="13.9" x14ac:dyDescent="0.4">
      <c r="I1572" s="1071"/>
      <c r="J1572" s="78" t="s">
        <v>20</v>
      </c>
      <c r="K1572" s="78"/>
      <c r="L1572" s="78"/>
      <c r="M1572" s="79"/>
      <c r="N1572" s="85"/>
      <c r="O1572" s="79"/>
      <c r="P1572" s="78"/>
      <c r="Q1572" s="1071"/>
    </row>
    <row r="1573" spans="9:17" ht="13.9" x14ac:dyDescent="0.4">
      <c r="I1573" s="1071"/>
      <c r="J1573" s="80" t="s">
        <v>212</v>
      </c>
      <c r="K1573" s="80" t="s">
        <v>838</v>
      </c>
      <c r="L1573" s="80" t="s">
        <v>2</v>
      </c>
      <c r="M1573" s="80" t="s">
        <v>21</v>
      </c>
      <c r="N1573" s="80" t="s">
        <v>174</v>
      </c>
      <c r="O1573" s="80" t="s">
        <v>14</v>
      </c>
      <c r="P1573" s="80" t="s">
        <v>890</v>
      </c>
      <c r="Q1573" s="1071"/>
    </row>
    <row r="1574" spans="9:17" ht="13.9" x14ac:dyDescent="0.4">
      <c r="I1574" s="1073">
        <f>IF($A$1=26,I1569+1,0)</f>
        <v>0</v>
      </c>
      <c r="J1574" s="159" t="str">
        <f>A4_Chem_Prices!N$19</f>
        <v>Besiege</v>
      </c>
      <c r="K1574" s="1350" t="s">
        <v>839</v>
      </c>
      <c r="L1574" s="160" t="str">
        <f>A4_Chem_Prices!O$19</f>
        <v>oz</v>
      </c>
      <c r="M1574" s="159">
        <f>A4_Chem_Prices!P$19</f>
        <v>1.98</v>
      </c>
      <c r="N1574" s="157">
        <v>9</v>
      </c>
      <c r="O1574" s="82">
        <f t="shared" ref="O1574:O1583" si="315">M1574*N1574</f>
        <v>17.82</v>
      </c>
      <c r="P1574" s="1449">
        <f>N1574</f>
        <v>9</v>
      </c>
      <c r="Q1574" s="1071">
        <f>Q1556</f>
        <v>0</v>
      </c>
    </row>
    <row r="1575" spans="9:17" ht="13.9" x14ac:dyDescent="0.4">
      <c r="I1575" s="1073">
        <f t="shared" ref="I1575:I1583" si="316">IF($A$1=26,I1574+1,0)</f>
        <v>0</v>
      </c>
      <c r="J1575" s="159" t="s">
        <v>19</v>
      </c>
      <c r="K1575" s="1350" t="s">
        <v>839</v>
      </c>
      <c r="L1575" s="160"/>
      <c r="M1575" s="159">
        <v>0</v>
      </c>
      <c r="N1575" s="157">
        <v>0</v>
      </c>
      <c r="O1575" s="82">
        <f t="shared" si="315"/>
        <v>0</v>
      </c>
      <c r="P1575" s="158"/>
      <c r="Q1575" s="1071">
        <f>Q1574</f>
        <v>0</v>
      </c>
    </row>
    <row r="1576" spans="9:17" ht="13.9" x14ac:dyDescent="0.4">
      <c r="I1576" s="1073">
        <f t="shared" si="316"/>
        <v>0</v>
      </c>
      <c r="J1576" s="159" t="s">
        <v>19</v>
      </c>
      <c r="K1576" s="1350" t="s">
        <v>839</v>
      </c>
      <c r="L1576" s="160"/>
      <c r="M1576" s="159">
        <v>0</v>
      </c>
      <c r="N1576" s="157">
        <v>0</v>
      </c>
      <c r="O1576" s="82">
        <f t="shared" si="315"/>
        <v>0</v>
      </c>
      <c r="P1576" s="158"/>
      <c r="Q1576" s="1071">
        <f t="shared" ref="Q1576:Q1583" si="317">Q1575</f>
        <v>0</v>
      </c>
    </row>
    <row r="1577" spans="9:17" ht="13.9" x14ac:dyDescent="0.4">
      <c r="I1577" s="1073">
        <f t="shared" si="316"/>
        <v>0</v>
      </c>
      <c r="J1577" s="159" t="s">
        <v>19</v>
      </c>
      <c r="K1577" s="1350" t="s">
        <v>839</v>
      </c>
      <c r="L1577" s="160"/>
      <c r="M1577" s="159">
        <v>0</v>
      </c>
      <c r="N1577" s="157">
        <v>0</v>
      </c>
      <c r="O1577" s="82">
        <f t="shared" si="315"/>
        <v>0</v>
      </c>
      <c r="P1577" s="158"/>
      <c r="Q1577" s="1071">
        <f t="shared" si="317"/>
        <v>0</v>
      </c>
    </row>
    <row r="1578" spans="9:17" ht="13.9" x14ac:dyDescent="0.4">
      <c r="I1578" s="1073">
        <f t="shared" si="316"/>
        <v>0</v>
      </c>
      <c r="J1578" s="159" t="s">
        <v>19</v>
      </c>
      <c r="K1578" s="1350" t="s">
        <v>839</v>
      </c>
      <c r="L1578" s="160"/>
      <c r="M1578" s="159">
        <v>0</v>
      </c>
      <c r="N1578" s="157">
        <v>0</v>
      </c>
      <c r="O1578" s="82">
        <f t="shared" si="315"/>
        <v>0</v>
      </c>
      <c r="P1578" s="158"/>
      <c r="Q1578" s="1071">
        <f t="shared" si="317"/>
        <v>0</v>
      </c>
    </row>
    <row r="1579" spans="9:17" ht="13.9" x14ac:dyDescent="0.4">
      <c r="I1579" s="1073">
        <f t="shared" si="316"/>
        <v>0</v>
      </c>
      <c r="J1579" s="159" t="s">
        <v>19</v>
      </c>
      <c r="K1579" s="1350" t="s">
        <v>839</v>
      </c>
      <c r="L1579" s="160"/>
      <c r="M1579" s="159">
        <v>0</v>
      </c>
      <c r="N1579" s="157">
        <v>0</v>
      </c>
      <c r="O1579" s="82">
        <f t="shared" si="315"/>
        <v>0</v>
      </c>
      <c r="P1579" s="158"/>
      <c r="Q1579" s="1071">
        <f t="shared" si="317"/>
        <v>0</v>
      </c>
    </row>
    <row r="1580" spans="9:17" ht="13.9" x14ac:dyDescent="0.4">
      <c r="I1580" s="1073">
        <f t="shared" si="316"/>
        <v>0</v>
      </c>
      <c r="J1580" s="159" t="s">
        <v>19</v>
      </c>
      <c r="K1580" s="1350" t="s">
        <v>839</v>
      </c>
      <c r="L1580" s="160"/>
      <c r="M1580" s="159">
        <v>0</v>
      </c>
      <c r="N1580" s="157">
        <v>0</v>
      </c>
      <c r="O1580" s="82">
        <f t="shared" si="315"/>
        <v>0</v>
      </c>
      <c r="P1580" s="158"/>
      <c r="Q1580" s="1071">
        <f t="shared" si="317"/>
        <v>0</v>
      </c>
    </row>
    <row r="1581" spans="9:17" ht="13.9" x14ac:dyDescent="0.4">
      <c r="I1581" s="1073">
        <f t="shared" si="316"/>
        <v>0</v>
      </c>
      <c r="J1581" s="159" t="s">
        <v>19</v>
      </c>
      <c r="K1581" s="1350" t="s">
        <v>839</v>
      </c>
      <c r="L1581" s="160"/>
      <c r="M1581" s="159">
        <v>0</v>
      </c>
      <c r="N1581" s="157">
        <v>0</v>
      </c>
      <c r="O1581" s="82">
        <f t="shared" si="315"/>
        <v>0</v>
      </c>
      <c r="P1581" s="158"/>
      <c r="Q1581" s="1071">
        <f t="shared" si="317"/>
        <v>0</v>
      </c>
    </row>
    <row r="1582" spans="9:17" ht="13.9" x14ac:dyDescent="0.4">
      <c r="I1582" s="1073">
        <f t="shared" si="316"/>
        <v>0</v>
      </c>
      <c r="J1582" s="159" t="s">
        <v>19</v>
      </c>
      <c r="K1582" s="1350" t="s">
        <v>839</v>
      </c>
      <c r="L1582" s="160"/>
      <c r="M1582" s="159">
        <v>0</v>
      </c>
      <c r="N1582" s="157">
        <v>0</v>
      </c>
      <c r="O1582" s="82">
        <f t="shared" si="315"/>
        <v>0</v>
      </c>
      <c r="P1582" s="158"/>
      <c r="Q1582" s="1071">
        <f t="shared" si="317"/>
        <v>0</v>
      </c>
    </row>
    <row r="1583" spans="9:17" ht="13.9" x14ac:dyDescent="0.4">
      <c r="I1583" s="1073">
        <f t="shared" si="316"/>
        <v>0</v>
      </c>
      <c r="J1583" s="159" t="s">
        <v>19</v>
      </c>
      <c r="K1583" s="1350" t="s">
        <v>839</v>
      </c>
      <c r="L1583" s="160"/>
      <c r="M1583" s="159">
        <v>0</v>
      </c>
      <c r="N1583" s="157">
        <v>0</v>
      </c>
      <c r="O1583" s="82">
        <f t="shared" si="315"/>
        <v>0</v>
      </c>
      <c r="P1583" s="158"/>
      <c r="Q1583" s="1071">
        <f t="shared" si="317"/>
        <v>0</v>
      </c>
    </row>
    <row r="1584" spans="9:17" ht="13.9" x14ac:dyDescent="0.4">
      <c r="I1584" s="1071"/>
      <c r="J1584" s="86" t="s">
        <v>22</v>
      </c>
      <c r="K1584" s="86"/>
      <c r="L1584" s="86"/>
      <c r="M1584" s="81"/>
      <c r="N1584" s="87"/>
      <c r="O1584" s="88">
        <f>SUM(O1574:O1583)</f>
        <v>17.82</v>
      </c>
      <c r="P1584" s="86"/>
      <c r="Q1584" s="1071"/>
    </row>
    <row r="1586" spans="9:17" ht="13.9" x14ac:dyDescent="0.4">
      <c r="I1586" s="1071"/>
      <c r="J1586" s="78" t="str">
        <f>IF(OR(A2_Budget_Look_Up!$B$7=1,A2_Budget_Look_Up!$B$13=1),"Nematicide Detail", "Fungicide Detail")</f>
        <v>Fungicide Detail</v>
      </c>
      <c r="K1586" s="78"/>
      <c r="L1586" s="78"/>
      <c r="M1586" s="79"/>
      <c r="N1586" s="85"/>
      <c r="O1586" s="79"/>
      <c r="P1586" s="78"/>
      <c r="Q1586" s="1071"/>
    </row>
    <row r="1587" spans="9:17" ht="13.9" x14ac:dyDescent="0.4">
      <c r="I1587" s="1071"/>
      <c r="J1587" s="80" t="s">
        <v>212</v>
      </c>
      <c r="K1587" s="80" t="s">
        <v>838</v>
      </c>
      <c r="L1587" s="80" t="s">
        <v>2</v>
      </c>
      <c r="M1587" s="80" t="s">
        <v>21</v>
      </c>
      <c r="N1587" s="80" t="s">
        <v>174</v>
      </c>
      <c r="O1587" s="80" t="s">
        <v>14</v>
      </c>
      <c r="P1587" s="80" t="s">
        <v>890</v>
      </c>
      <c r="Q1587" s="1071"/>
    </row>
    <row r="1588" spans="9:17" ht="13.9" x14ac:dyDescent="0.4">
      <c r="I1588" s="1073">
        <f>IF($A$1=26,I1583+1,0)</f>
        <v>0</v>
      </c>
      <c r="J1588" s="156" t="str">
        <f>A4_Chem_Prices!N$32</f>
        <v>Quadris Top</v>
      </c>
      <c r="K1588" s="1350" t="s">
        <v>839</v>
      </c>
      <c r="L1588" s="158" t="str">
        <f>A4_Chem_Prices!O$32</f>
        <v>oz</v>
      </c>
      <c r="M1588" s="159">
        <f>A4_Chem_Prices!P$32</f>
        <v>1.315390625</v>
      </c>
      <c r="N1588" s="157">
        <v>10</v>
      </c>
      <c r="O1588" s="82">
        <f>M1588*N1588</f>
        <v>13.15390625</v>
      </c>
      <c r="P1588" s="1449">
        <f>N1588</f>
        <v>10</v>
      </c>
      <c r="Q1588" s="1071">
        <f>Q1583</f>
        <v>0</v>
      </c>
    </row>
    <row r="1589" spans="9:17" ht="13.9" x14ac:dyDescent="0.4">
      <c r="I1589" s="1073">
        <f>IF($A$1=26,I1588+1,0)</f>
        <v>0</v>
      </c>
      <c r="J1589" s="156" t="s">
        <v>19</v>
      </c>
      <c r="K1589" s="1350" t="s">
        <v>839</v>
      </c>
      <c r="L1589" s="158"/>
      <c r="M1589" s="159">
        <v>0</v>
      </c>
      <c r="N1589" s="157">
        <v>0</v>
      </c>
      <c r="O1589" s="82">
        <f>M1589*N1589</f>
        <v>0</v>
      </c>
      <c r="P1589" s="158"/>
      <c r="Q1589" s="1071">
        <f>Q1588</f>
        <v>0</v>
      </c>
    </row>
    <row r="1590" spans="9:17" ht="13.9" x14ac:dyDescent="0.4">
      <c r="I1590" s="1071"/>
      <c r="J1590" s="86" t="s">
        <v>22</v>
      </c>
      <c r="K1590" s="86"/>
      <c r="L1590" s="86"/>
      <c r="M1590" s="81"/>
      <c r="N1590" s="87"/>
      <c r="O1590" s="88">
        <f>SUM(O1588:O1589)</f>
        <v>13.15390625</v>
      </c>
      <c r="P1590" s="86"/>
      <c r="Q1590" s="1071"/>
    </row>
    <row r="1591" spans="9:17" ht="13.9" x14ac:dyDescent="0.4">
      <c r="I1591" s="1071"/>
      <c r="J1591" s="83"/>
      <c r="K1591" s="83"/>
      <c r="L1591" s="83"/>
      <c r="M1591" s="83"/>
      <c r="N1591" s="84"/>
      <c r="O1591" s="83"/>
      <c r="P1591" s="83"/>
      <c r="Q1591" s="1071"/>
    </row>
    <row r="1592" spans="9:17" ht="13.9" x14ac:dyDescent="0.4">
      <c r="I1592" s="1071"/>
      <c r="J1592" s="78" t="str">
        <f>IF(A2_Budget_Look_Up!$B$7=1,"Growth Regulator Detail", IF(A2_Budget_Look_Up!$B$13=1,"Fungicide Detail","Other Chemical Detail"))</f>
        <v>Other Chemical Detail</v>
      </c>
      <c r="K1592" s="78"/>
      <c r="L1592" s="78"/>
      <c r="M1592" s="79"/>
      <c r="N1592" s="85"/>
      <c r="O1592" s="79"/>
      <c r="P1592" s="78"/>
      <c r="Q1592" s="1071"/>
    </row>
    <row r="1593" spans="9:17" ht="13.9" x14ac:dyDescent="0.4">
      <c r="I1593" s="1071"/>
      <c r="J1593" s="80" t="s">
        <v>212</v>
      </c>
      <c r="K1593" s="80" t="s">
        <v>838</v>
      </c>
      <c r="L1593" s="80" t="s">
        <v>2</v>
      </c>
      <c r="M1593" s="80" t="s">
        <v>21</v>
      </c>
      <c r="N1593" s="80" t="s">
        <v>174</v>
      </c>
      <c r="O1593" s="80" t="s">
        <v>14</v>
      </c>
      <c r="P1593" s="80" t="s">
        <v>890</v>
      </c>
      <c r="Q1593" s="1071"/>
    </row>
    <row r="1594" spans="9:17" ht="13.9" x14ac:dyDescent="0.4">
      <c r="I1594" s="1073">
        <f>IF($A$1=26,I1589+1,0)</f>
        <v>0</v>
      </c>
      <c r="J1594" s="156" t="s">
        <v>19</v>
      </c>
      <c r="K1594" s="1350" t="s">
        <v>839</v>
      </c>
      <c r="L1594" s="158"/>
      <c r="M1594" s="159">
        <v>0</v>
      </c>
      <c r="N1594" s="157">
        <v>0</v>
      </c>
      <c r="O1594" s="82">
        <f t="shared" ref="O1594:O1600" si="318">M1594*N1594</f>
        <v>0</v>
      </c>
      <c r="P1594" s="160"/>
      <c r="Q1594" s="1071">
        <f>Q1589</f>
        <v>0</v>
      </c>
    </row>
    <row r="1595" spans="9:17" ht="13.9" x14ac:dyDescent="0.4">
      <c r="I1595" s="1073">
        <f t="shared" ref="I1595:I1600" si="319">IF($A$1=26,I1594+1,0)</f>
        <v>0</v>
      </c>
      <c r="J1595" s="156" t="s">
        <v>19</v>
      </c>
      <c r="K1595" s="1350" t="s">
        <v>839</v>
      </c>
      <c r="L1595" s="158"/>
      <c r="M1595" s="159">
        <v>0</v>
      </c>
      <c r="N1595" s="157">
        <v>0</v>
      </c>
      <c r="O1595" s="82">
        <f t="shared" si="318"/>
        <v>0</v>
      </c>
      <c r="P1595" s="160"/>
      <c r="Q1595" s="1071">
        <f t="shared" ref="Q1595:Q1600" si="320">Q1594</f>
        <v>0</v>
      </c>
    </row>
    <row r="1596" spans="9:17" ht="13.9" x14ac:dyDescent="0.4">
      <c r="I1596" s="1073">
        <f t="shared" si="319"/>
        <v>0</v>
      </c>
      <c r="J1596" s="156" t="s">
        <v>19</v>
      </c>
      <c r="K1596" s="1350" t="s">
        <v>839</v>
      </c>
      <c r="L1596" s="158"/>
      <c r="M1596" s="159">
        <v>0</v>
      </c>
      <c r="N1596" s="157">
        <v>0</v>
      </c>
      <c r="O1596" s="82">
        <f t="shared" si="318"/>
        <v>0</v>
      </c>
      <c r="P1596" s="160"/>
      <c r="Q1596" s="1071">
        <f t="shared" si="320"/>
        <v>0</v>
      </c>
    </row>
    <row r="1597" spans="9:17" ht="13.9" x14ac:dyDescent="0.4">
      <c r="I1597" s="1073">
        <f t="shared" si="319"/>
        <v>0</v>
      </c>
      <c r="J1597" s="156" t="s">
        <v>19</v>
      </c>
      <c r="K1597" s="1350" t="s">
        <v>839</v>
      </c>
      <c r="L1597" s="158"/>
      <c r="M1597" s="159">
        <v>0</v>
      </c>
      <c r="N1597" s="157">
        <v>0</v>
      </c>
      <c r="O1597" s="82">
        <f t="shared" si="318"/>
        <v>0</v>
      </c>
      <c r="P1597" s="158"/>
      <c r="Q1597" s="1071">
        <f t="shared" si="320"/>
        <v>0</v>
      </c>
    </row>
    <row r="1598" spans="9:17" ht="13.9" x14ac:dyDescent="0.4">
      <c r="I1598" s="1073">
        <f t="shared" si="319"/>
        <v>0</v>
      </c>
      <c r="J1598" s="156" t="s">
        <v>19</v>
      </c>
      <c r="K1598" s="1350" t="s">
        <v>839</v>
      </c>
      <c r="L1598" s="158"/>
      <c r="M1598" s="159">
        <v>0</v>
      </c>
      <c r="N1598" s="157">
        <v>0</v>
      </c>
      <c r="O1598" s="82">
        <f t="shared" si="318"/>
        <v>0</v>
      </c>
      <c r="P1598" s="158"/>
      <c r="Q1598" s="1071">
        <f t="shared" si="320"/>
        <v>0</v>
      </c>
    </row>
    <row r="1599" spans="9:17" ht="13.9" x14ac:dyDescent="0.4">
      <c r="I1599" s="1073">
        <f t="shared" si="319"/>
        <v>0</v>
      </c>
      <c r="J1599" s="156" t="s">
        <v>19</v>
      </c>
      <c r="K1599" s="1350" t="s">
        <v>839</v>
      </c>
      <c r="L1599" s="158"/>
      <c r="M1599" s="159">
        <v>0</v>
      </c>
      <c r="N1599" s="157">
        <v>0</v>
      </c>
      <c r="O1599" s="82">
        <f t="shared" si="318"/>
        <v>0</v>
      </c>
      <c r="P1599" s="158"/>
      <c r="Q1599" s="1071">
        <f t="shared" si="320"/>
        <v>0</v>
      </c>
    </row>
    <row r="1600" spans="9:17" ht="13.9" x14ac:dyDescent="0.4">
      <c r="I1600" s="1073">
        <f t="shared" si="319"/>
        <v>0</v>
      </c>
      <c r="J1600" s="156" t="s">
        <v>19</v>
      </c>
      <c r="K1600" s="1350" t="s">
        <v>839</v>
      </c>
      <c r="L1600" s="158"/>
      <c r="M1600" s="159">
        <v>0</v>
      </c>
      <c r="N1600" s="157">
        <v>0</v>
      </c>
      <c r="O1600" s="82">
        <f t="shared" si="318"/>
        <v>0</v>
      </c>
      <c r="P1600" s="158"/>
      <c r="Q1600" s="1071">
        <f t="shared" si="320"/>
        <v>0</v>
      </c>
    </row>
    <row r="1601" spans="9:17" ht="13.9" x14ac:dyDescent="0.4">
      <c r="I1601" s="1071"/>
      <c r="J1601" s="86" t="s">
        <v>22</v>
      </c>
      <c r="K1601" s="86"/>
      <c r="L1601" s="86"/>
      <c r="M1601" s="81"/>
      <c r="N1601" s="87"/>
      <c r="O1601" s="88">
        <f>SUM(O1594:O1600)</f>
        <v>0</v>
      </c>
      <c r="P1601" s="86"/>
      <c r="Q1601" s="1071"/>
    </row>
    <row r="1602" spans="9:17" ht="13.9" x14ac:dyDescent="0.4">
      <c r="I1602" s="1071"/>
      <c r="J1602" s="83"/>
      <c r="K1602" s="83"/>
      <c r="L1602" s="83"/>
      <c r="M1602" s="83"/>
      <c r="N1602" s="84"/>
      <c r="O1602" s="83"/>
      <c r="P1602" s="83"/>
      <c r="Q1602" s="1071"/>
    </row>
    <row r="1603" spans="9:17" ht="13.9" x14ac:dyDescent="0.4">
      <c r="I1603" s="1071"/>
      <c r="J1603" s="78" t="str">
        <f>IF(A2_Budget_Look_Up!$B$7=1,"Defoliant Detail", "Other Chemical Detail")</f>
        <v>Other Chemical Detail</v>
      </c>
      <c r="K1603" s="78"/>
      <c r="L1603" s="78"/>
      <c r="M1603" s="79"/>
      <c r="N1603" s="85"/>
      <c r="O1603" s="79"/>
      <c r="P1603" s="78"/>
      <c r="Q1603" s="1071"/>
    </row>
    <row r="1604" spans="9:17" ht="13.9" x14ac:dyDescent="0.4">
      <c r="I1604" s="1071"/>
      <c r="J1604" s="80" t="s">
        <v>212</v>
      </c>
      <c r="K1604" s="80" t="s">
        <v>838</v>
      </c>
      <c r="L1604" s="80" t="s">
        <v>2</v>
      </c>
      <c r="M1604" s="80" t="s">
        <v>21</v>
      </c>
      <c r="N1604" s="80" t="s">
        <v>174</v>
      </c>
      <c r="O1604" s="80" t="s">
        <v>14</v>
      </c>
      <c r="P1604" s="80" t="s">
        <v>890</v>
      </c>
      <c r="Q1604" s="1071"/>
    </row>
    <row r="1605" spans="9:17" ht="13.9" x14ac:dyDescent="0.4">
      <c r="I1605" s="1073">
        <f>IF($A$1=26,I1600+1,0)</f>
        <v>0</v>
      </c>
      <c r="J1605" s="156" t="s">
        <v>19</v>
      </c>
      <c r="K1605" s="1350" t="s">
        <v>839</v>
      </c>
      <c r="L1605" s="158"/>
      <c r="M1605" s="159">
        <v>0</v>
      </c>
      <c r="N1605" s="157">
        <v>0</v>
      </c>
      <c r="O1605" s="82">
        <f t="shared" ref="O1605:O1611" si="321">M1605*N1605</f>
        <v>0</v>
      </c>
      <c r="P1605" s="160"/>
      <c r="Q1605" s="1071">
        <f>Q1600</f>
        <v>0</v>
      </c>
    </row>
    <row r="1606" spans="9:17" ht="13.9" x14ac:dyDescent="0.4">
      <c r="I1606" s="1073">
        <f t="shared" ref="I1606:I1611" si="322">IF($A$1=26,I1605+1,0)</f>
        <v>0</v>
      </c>
      <c r="J1606" s="156" t="s">
        <v>19</v>
      </c>
      <c r="K1606" s="1350" t="s">
        <v>839</v>
      </c>
      <c r="L1606" s="158"/>
      <c r="M1606" s="159">
        <v>0</v>
      </c>
      <c r="N1606" s="157">
        <v>0</v>
      </c>
      <c r="O1606" s="82">
        <f t="shared" si="321"/>
        <v>0</v>
      </c>
      <c r="P1606" s="160"/>
      <c r="Q1606" s="1071">
        <f t="shared" ref="Q1606:Q1611" si="323">Q1605</f>
        <v>0</v>
      </c>
    </row>
    <row r="1607" spans="9:17" ht="13.9" x14ac:dyDescent="0.4">
      <c r="I1607" s="1073">
        <f t="shared" si="322"/>
        <v>0</v>
      </c>
      <c r="J1607" s="156" t="s">
        <v>19</v>
      </c>
      <c r="K1607" s="1350" t="s">
        <v>839</v>
      </c>
      <c r="L1607" s="158"/>
      <c r="M1607" s="159">
        <v>0</v>
      </c>
      <c r="N1607" s="157">
        <v>0</v>
      </c>
      <c r="O1607" s="82">
        <f t="shared" si="321"/>
        <v>0</v>
      </c>
      <c r="P1607" s="160"/>
      <c r="Q1607" s="1071">
        <f t="shared" si="323"/>
        <v>0</v>
      </c>
    </row>
    <row r="1608" spans="9:17" ht="13.9" x14ac:dyDescent="0.4">
      <c r="I1608" s="1073">
        <f t="shared" si="322"/>
        <v>0</v>
      </c>
      <c r="J1608" s="156" t="s">
        <v>19</v>
      </c>
      <c r="K1608" s="1350" t="s">
        <v>839</v>
      </c>
      <c r="L1608" s="158"/>
      <c r="M1608" s="159">
        <v>0</v>
      </c>
      <c r="N1608" s="157">
        <v>0</v>
      </c>
      <c r="O1608" s="82">
        <f t="shared" si="321"/>
        <v>0</v>
      </c>
      <c r="P1608" s="160"/>
      <c r="Q1608" s="1071">
        <f t="shared" si="323"/>
        <v>0</v>
      </c>
    </row>
    <row r="1609" spans="9:17" ht="13.9" x14ac:dyDescent="0.4">
      <c r="I1609" s="1073">
        <f t="shared" si="322"/>
        <v>0</v>
      </c>
      <c r="J1609" s="156" t="s">
        <v>19</v>
      </c>
      <c r="K1609" s="1350" t="s">
        <v>839</v>
      </c>
      <c r="L1609" s="158"/>
      <c r="M1609" s="159">
        <v>0</v>
      </c>
      <c r="N1609" s="157">
        <v>0</v>
      </c>
      <c r="O1609" s="82">
        <f t="shared" si="321"/>
        <v>0</v>
      </c>
      <c r="P1609" s="160"/>
      <c r="Q1609" s="1071">
        <f t="shared" si="323"/>
        <v>0</v>
      </c>
    </row>
    <row r="1610" spans="9:17" ht="13.9" x14ac:dyDescent="0.4">
      <c r="I1610" s="1073">
        <f t="shared" si="322"/>
        <v>0</v>
      </c>
      <c r="J1610" s="156" t="s">
        <v>19</v>
      </c>
      <c r="K1610" s="1350" t="s">
        <v>839</v>
      </c>
      <c r="L1610" s="158"/>
      <c r="M1610" s="159">
        <v>0</v>
      </c>
      <c r="N1610" s="157">
        <v>0</v>
      </c>
      <c r="O1610" s="82">
        <f t="shared" si="321"/>
        <v>0</v>
      </c>
      <c r="P1610" s="158"/>
      <c r="Q1610" s="1071">
        <f t="shared" si="323"/>
        <v>0</v>
      </c>
    </row>
    <row r="1611" spans="9:17" ht="13.9" x14ac:dyDescent="0.4">
      <c r="I1611" s="1073">
        <f t="shared" si="322"/>
        <v>0</v>
      </c>
      <c r="J1611" s="156" t="s">
        <v>19</v>
      </c>
      <c r="K1611" s="1350" t="s">
        <v>839</v>
      </c>
      <c r="L1611" s="158"/>
      <c r="M1611" s="159">
        <v>0</v>
      </c>
      <c r="N1611" s="157">
        <v>0</v>
      </c>
      <c r="O1611" s="82">
        <f t="shared" si="321"/>
        <v>0</v>
      </c>
      <c r="P1611" s="158"/>
      <c r="Q1611" s="1071">
        <f t="shared" si="323"/>
        <v>0</v>
      </c>
    </row>
    <row r="1612" spans="9:17" ht="13.9" x14ac:dyDescent="0.4">
      <c r="I1612" s="1071"/>
      <c r="J1612" s="86" t="s">
        <v>22</v>
      </c>
      <c r="K1612" s="86"/>
      <c r="L1612" s="86"/>
      <c r="M1612" s="81"/>
      <c r="N1612" s="87"/>
      <c r="O1612" s="88">
        <f>SUM(O1605:O1611)</f>
        <v>0</v>
      </c>
      <c r="P1612" s="86"/>
      <c r="Q1612" s="1071"/>
    </row>
    <row r="1613" spans="9:17" ht="13.9" x14ac:dyDescent="0.4">
      <c r="I1613" s="1071"/>
      <c r="J1613" s="83"/>
      <c r="K1613" s="83"/>
      <c r="L1613" s="83"/>
      <c r="M1613" s="89"/>
      <c r="N1613" s="84"/>
      <c r="O1613" s="89"/>
      <c r="P1613" s="83"/>
      <c r="Q1613" s="1071"/>
    </row>
    <row r="1614" spans="9:17" ht="13.9" x14ac:dyDescent="0.4">
      <c r="I1614" s="1071"/>
      <c r="J1614" s="1168" t="str">
        <f>A2_Budget_Look_Up!H29</f>
        <v>Soybeans, Conventional, Furrow</v>
      </c>
      <c r="K1614" s="1168"/>
      <c r="L1614" s="1168">
        <f>A2_Budget_Look_Up!F29</f>
        <v>27</v>
      </c>
      <c r="M1614" s="1168"/>
      <c r="N1614" s="1168"/>
      <c r="O1614" s="1168"/>
      <c r="P1614" s="1168"/>
      <c r="Q1614" s="1071"/>
    </row>
    <row r="1615" spans="9:17" ht="13.9" x14ac:dyDescent="0.4">
      <c r="I1615" s="1071"/>
      <c r="J1615" s="83"/>
      <c r="K1615" s="83"/>
      <c r="L1615" s="83"/>
      <c r="M1615" s="83"/>
      <c r="N1615" s="84"/>
      <c r="O1615" s="83"/>
      <c r="P1615" s="83"/>
      <c r="Q1615" s="1071"/>
    </row>
    <row r="1616" spans="9:17" ht="13.9" x14ac:dyDescent="0.4">
      <c r="I1616" s="1071"/>
      <c r="J1616" s="78" t="s">
        <v>18</v>
      </c>
      <c r="K1616" s="78"/>
      <c r="L1616" s="78"/>
      <c r="M1616" s="79"/>
      <c r="N1616" s="85"/>
      <c r="O1616" s="79"/>
      <c r="P1616" s="78"/>
      <c r="Q1616" s="1071"/>
    </row>
    <row r="1617" spans="9:17" ht="13.9" x14ac:dyDescent="0.4">
      <c r="I1617" s="1071"/>
      <c r="J1617" s="80" t="s">
        <v>212</v>
      </c>
      <c r="K1617" s="80" t="s">
        <v>838</v>
      </c>
      <c r="L1617" s="80" t="s">
        <v>2</v>
      </c>
      <c r="M1617" s="80" t="s">
        <v>21</v>
      </c>
      <c r="N1617" s="80" t="s">
        <v>174</v>
      </c>
      <c r="O1617" s="80" t="s">
        <v>14</v>
      </c>
      <c r="P1617" s="80" t="s">
        <v>890</v>
      </c>
      <c r="Q1617" s="1071"/>
    </row>
    <row r="1618" spans="9:17" ht="13.9" x14ac:dyDescent="0.4">
      <c r="I1618" s="1073">
        <f>IF($A$1=27,1,0)</f>
        <v>0</v>
      </c>
      <c r="J1618" s="159" t="str">
        <f>A4_Chem_Prices!N$2</f>
        <v>Roundup Powermax 3</v>
      </c>
      <c r="K1618" s="1350" t="s">
        <v>839</v>
      </c>
      <c r="L1618" s="158" t="str">
        <f>A4_Chem_Prices!O$2</f>
        <v>oz</v>
      </c>
      <c r="M1618" s="159">
        <f>A4_Chem_Prices!P$2</f>
        <v>0.140625</v>
      </c>
      <c r="N1618" s="159">
        <v>32</v>
      </c>
      <c r="O1618" s="82">
        <f t="shared" ref="O1618:O1631" si="324">M1618*N1618</f>
        <v>4.5</v>
      </c>
      <c r="P1618" s="1449">
        <f>N1618</f>
        <v>32</v>
      </c>
      <c r="Q1618" s="1171">
        <f>IF(SUM(I1618:I1673)=820,L1614,0)</f>
        <v>0</v>
      </c>
    </row>
    <row r="1619" spans="9:17" ht="13.9" x14ac:dyDescent="0.4">
      <c r="I1619" s="1073">
        <f t="shared" ref="I1619:I1631" si="325">IF($A$1=27,I1618+1,0)</f>
        <v>0</v>
      </c>
      <c r="J1619" s="159" t="str">
        <f>A4_Chem_Prices!N$3</f>
        <v>2,4-D</v>
      </c>
      <c r="K1619" s="1350" t="s">
        <v>839</v>
      </c>
      <c r="L1619" s="158" t="str">
        <f>A4_Chem_Prices!O$3</f>
        <v>oz</v>
      </c>
      <c r="M1619" s="159">
        <f>A4_Chem_Prices!P$3</f>
        <v>0.2734375</v>
      </c>
      <c r="N1619" s="159">
        <v>32</v>
      </c>
      <c r="O1619" s="82">
        <f t="shared" si="324"/>
        <v>8.75</v>
      </c>
      <c r="P1619" s="1449">
        <f>N1619</f>
        <v>32</v>
      </c>
      <c r="Q1619" s="1071">
        <f>Q1618</f>
        <v>0</v>
      </c>
    </row>
    <row r="1620" spans="9:17" ht="13.9" x14ac:dyDescent="0.4">
      <c r="I1620" s="1073">
        <f t="shared" si="325"/>
        <v>0</v>
      </c>
      <c r="J1620" s="159" t="str">
        <f>A4_Chem_Prices!Q$9</f>
        <v>Boundary</v>
      </c>
      <c r="K1620" s="1350" t="s">
        <v>839</v>
      </c>
      <c r="L1620" s="160" t="str">
        <f>A4_Chem_Prices!R$9</f>
        <v>oz</v>
      </c>
      <c r="M1620" s="159">
        <f>A4_Chem_Prices!S$9</f>
        <v>0.68414062499999995</v>
      </c>
      <c r="N1620" s="157">
        <v>32</v>
      </c>
      <c r="O1620" s="82">
        <f t="shared" si="324"/>
        <v>21.892499999999998</v>
      </c>
      <c r="P1620" s="160">
        <f>N1620</f>
        <v>32</v>
      </c>
      <c r="Q1620" s="1071">
        <f t="shared" ref="Q1620:Q1631" si="326">Q1619</f>
        <v>0</v>
      </c>
    </row>
    <row r="1621" spans="9:17" ht="13.9" x14ac:dyDescent="0.4">
      <c r="I1621" s="1073">
        <f t="shared" si="325"/>
        <v>0</v>
      </c>
      <c r="J1621" s="159" t="str">
        <f>A4_Chem_Prices!N$8</f>
        <v>Select Max</v>
      </c>
      <c r="K1621" s="1350" t="s">
        <v>839</v>
      </c>
      <c r="L1621" s="160" t="str">
        <f>A4_Chem_Prices!O$8</f>
        <v>oz</v>
      </c>
      <c r="M1621" s="159">
        <f>A4_Chem_Prices!P$8</f>
        <v>0.27396484375000002</v>
      </c>
      <c r="N1621" s="157">
        <v>32</v>
      </c>
      <c r="O1621" s="82">
        <f t="shared" si="324"/>
        <v>8.7668750000000006</v>
      </c>
      <c r="P1621" s="1449">
        <f>N1621*16</f>
        <v>512</v>
      </c>
      <c r="Q1621" s="1071">
        <f t="shared" si="326"/>
        <v>0</v>
      </c>
    </row>
    <row r="1622" spans="9:17" ht="13.9" x14ac:dyDescent="0.4">
      <c r="I1622" s="1073">
        <f t="shared" si="325"/>
        <v>0</v>
      </c>
      <c r="J1622" s="159" t="str">
        <f>A4_Chem_Prices!N$11</f>
        <v>Zidua</v>
      </c>
      <c r="K1622" s="1350" t="s">
        <v>839</v>
      </c>
      <c r="L1622" s="160" t="str">
        <f>A4_Chem_Prices!O$11</f>
        <v>oz</v>
      </c>
      <c r="M1622" s="159">
        <f>A4_Chem_Prices!P$11</f>
        <v>5.7421875</v>
      </c>
      <c r="N1622" s="157">
        <v>3.5</v>
      </c>
      <c r="O1622" s="82">
        <f t="shared" si="324"/>
        <v>20.09765625</v>
      </c>
      <c r="P1622" s="1449">
        <f>N1622*16</f>
        <v>56</v>
      </c>
      <c r="Q1622" s="1071">
        <f t="shared" si="326"/>
        <v>0</v>
      </c>
    </row>
    <row r="1623" spans="9:17" ht="13.9" x14ac:dyDescent="0.4">
      <c r="I1623" s="1073">
        <f t="shared" si="325"/>
        <v>0</v>
      </c>
      <c r="J1623" s="159" t="str">
        <f>A4_Chem_Prices!Q$12</f>
        <v>Flexstar</v>
      </c>
      <c r="K1623" s="1350" t="s">
        <v>839</v>
      </c>
      <c r="L1623" s="160" t="str">
        <f>A4_Chem_Prices!R$12</f>
        <v>oz</v>
      </c>
      <c r="M1623" s="159">
        <f>A4_Chem_Prices!S$12</f>
        <v>0.453125</v>
      </c>
      <c r="N1623" s="157">
        <v>1.5</v>
      </c>
      <c r="O1623" s="82">
        <f t="shared" si="324"/>
        <v>0.6796875</v>
      </c>
      <c r="P1623" s="1449">
        <f>N1623</f>
        <v>1.5</v>
      </c>
      <c r="Q1623" s="1071">
        <f t="shared" si="326"/>
        <v>0</v>
      </c>
    </row>
    <row r="1624" spans="9:17" ht="13.9" x14ac:dyDescent="0.4">
      <c r="I1624" s="1073">
        <f t="shared" si="325"/>
        <v>0</v>
      </c>
      <c r="J1624" s="159" t="str">
        <f>A4_Chem_Prices!Q$16</f>
        <v>Outlook</v>
      </c>
      <c r="K1624" s="1350" t="s">
        <v>839</v>
      </c>
      <c r="L1624" s="160" t="str">
        <f>A4_Chem_Prices!R$16</f>
        <v>oz</v>
      </c>
      <c r="M1624" s="159">
        <f>A4_Chem_Prices!S$16</f>
        <v>0.984375</v>
      </c>
      <c r="N1624" s="157">
        <v>12.8</v>
      </c>
      <c r="O1624" s="82">
        <f t="shared" si="324"/>
        <v>12.600000000000001</v>
      </c>
      <c r="P1624" s="160"/>
      <c r="Q1624" s="1071">
        <f t="shared" si="326"/>
        <v>0</v>
      </c>
    </row>
    <row r="1625" spans="9:17" ht="13.9" x14ac:dyDescent="0.4">
      <c r="I1625" s="1073">
        <f t="shared" si="325"/>
        <v>0</v>
      </c>
      <c r="J1625" s="159" t="str">
        <f>A4_Chem_Prices!N$10</f>
        <v>Gramoxone</v>
      </c>
      <c r="K1625" s="1350" t="s">
        <v>839</v>
      </c>
      <c r="L1625" s="160" t="str">
        <f>A4_Chem_Prices!O$10</f>
        <v>oz</v>
      </c>
      <c r="M1625" s="159">
        <f>A4_Chem_Prices!P$10</f>
        <v>0.23046875</v>
      </c>
      <c r="N1625" s="157">
        <v>32</v>
      </c>
      <c r="O1625" s="82">
        <f t="shared" si="324"/>
        <v>7.375</v>
      </c>
      <c r="P1625" s="160"/>
      <c r="Q1625" s="1071">
        <f t="shared" si="326"/>
        <v>0</v>
      </c>
    </row>
    <row r="1626" spans="9:17" ht="13.9" x14ac:dyDescent="0.4">
      <c r="I1626" s="1073">
        <f t="shared" si="325"/>
        <v>0</v>
      </c>
      <c r="J1626" s="159" t="str">
        <f>A4_Chem_Prices!Q$13</f>
        <v>First Rate</v>
      </c>
      <c r="K1626" s="1350" t="s">
        <v>839</v>
      </c>
      <c r="L1626" s="160" t="str">
        <f>A4_Chem_Prices!R$13</f>
        <v>oz</v>
      </c>
      <c r="M1626" s="159">
        <f>A4_Chem_Prices!S$13</f>
        <v>40.119999999999997</v>
      </c>
      <c r="N1626" s="157">
        <v>0.3</v>
      </c>
      <c r="O1626" s="82">
        <f t="shared" si="324"/>
        <v>12.036</v>
      </c>
      <c r="P1626" s="160"/>
      <c r="Q1626" s="1071">
        <f t="shared" si="326"/>
        <v>0</v>
      </c>
    </row>
    <row r="1627" spans="9:17" ht="13.9" x14ac:dyDescent="0.4">
      <c r="I1627" s="1073">
        <f t="shared" si="325"/>
        <v>0</v>
      </c>
      <c r="J1627" s="159" t="str">
        <f>A4_Chem_Prices!Q$14</f>
        <v>Python</v>
      </c>
      <c r="K1627" s="1350" t="s">
        <v>839</v>
      </c>
      <c r="L1627" s="160" t="str">
        <f>A4_Chem_Prices!R$14</f>
        <v>oz</v>
      </c>
      <c r="M1627" s="159">
        <f>A4_Chem_Prices!S$14</f>
        <v>5.6749999999999998</v>
      </c>
      <c r="N1627" s="157">
        <v>0.125</v>
      </c>
      <c r="O1627" s="82">
        <f t="shared" si="324"/>
        <v>0.70937499999999998</v>
      </c>
      <c r="P1627" s="160"/>
      <c r="Q1627" s="1071">
        <f t="shared" si="326"/>
        <v>0</v>
      </c>
    </row>
    <row r="1628" spans="9:17" ht="13.9" x14ac:dyDescent="0.4">
      <c r="I1628" s="1073">
        <f t="shared" si="325"/>
        <v>0</v>
      </c>
      <c r="J1628" s="159" t="s">
        <v>19</v>
      </c>
      <c r="K1628" s="1350" t="s">
        <v>839</v>
      </c>
      <c r="L1628" s="160"/>
      <c r="M1628" s="159">
        <v>0</v>
      </c>
      <c r="N1628" s="157">
        <v>0</v>
      </c>
      <c r="O1628" s="82">
        <f t="shared" si="324"/>
        <v>0</v>
      </c>
      <c r="P1628" s="160"/>
      <c r="Q1628" s="1071">
        <f t="shared" si="326"/>
        <v>0</v>
      </c>
    </row>
    <row r="1629" spans="9:17" ht="13.9" x14ac:dyDescent="0.4">
      <c r="I1629" s="1073">
        <f t="shared" si="325"/>
        <v>0</v>
      </c>
      <c r="J1629" s="159" t="s">
        <v>19</v>
      </c>
      <c r="K1629" s="1350" t="s">
        <v>839</v>
      </c>
      <c r="L1629" s="160"/>
      <c r="M1629" s="159">
        <v>0</v>
      </c>
      <c r="N1629" s="157">
        <v>0</v>
      </c>
      <c r="O1629" s="82">
        <f t="shared" si="324"/>
        <v>0</v>
      </c>
      <c r="P1629" s="160"/>
      <c r="Q1629" s="1071">
        <f t="shared" si="326"/>
        <v>0</v>
      </c>
    </row>
    <row r="1630" spans="9:17" ht="13.9" x14ac:dyDescent="0.4">
      <c r="I1630" s="1073">
        <f t="shared" si="325"/>
        <v>0</v>
      </c>
      <c r="J1630" s="159" t="s">
        <v>19</v>
      </c>
      <c r="K1630" s="1350" t="s">
        <v>839</v>
      </c>
      <c r="L1630" s="160"/>
      <c r="M1630" s="159">
        <v>0</v>
      </c>
      <c r="N1630" s="157">
        <v>0</v>
      </c>
      <c r="O1630" s="82">
        <f t="shared" si="324"/>
        <v>0</v>
      </c>
      <c r="P1630" s="160"/>
      <c r="Q1630" s="1071">
        <f t="shared" si="326"/>
        <v>0</v>
      </c>
    </row>
    <row r="1631" spans="9:17" ht="13.9" x14ac:dyDescent="0.4">
      <c r="I1631" s="1073">
        <f t="shared" si="325"/>
        <v>0</v>
      </c>
      <c r="J1631" s="159" t="s">
        <v>19</v>
      </c>
      <c r="K1631" s="1350" t="s">
        <v>839</v>
      </c>
      <c r="L1631" s="160"/>
      <c r="M1631" s="159">
        <v>0</v>
      </c>
      <c r="N1631" s="157">
        <v>0</v>
      </c>
      <c r="O1631" s="82">
        <f t="shared" si="324"/>
        <v>0</v>
      </c>
      <c r="P1631" s="160"/>
      <c r="Q1631" s="1071">
        <f t="shared" si="326"/>
        <v>0</v>
      </c>
    </row>
    <row r="1632" spans="9:17" ht="13.9" x14ac:dyDescent="0.4">
      <c r="I1632" s="1071"/>
      <c r="J1632" s="86" t="s">
        <v>22</v>
      </c>
      <c r="K1632" s="86"/>
      <c r="L1632" s="86"/>
      <c r="M1632" s="81"/>
      <c r="N1632" s="87"/>
      <c r="O1632" s="88">
        <f>SUM(O1618:O1631)</f>
        <v>97.407093750000001</v>
      </c>
      <c r="P1632" s="86"/>
      <c r="Q1632" s="1071"/>
    </row>
    <row r="1634" spans="9:17" ht="13.9" x14ac:dyDescent="0.4">
      <c r="I1634" s="1071"/>
      <c r="J1634" s="78" t="s">
        <v>20</v>
      </c>
      <c r="K1634" s="78"/>
      <c r="L1634" s="78"/>
      <c r="M1634" s="79"/>
      <c r="N1634" s="85"/>
      <c r="O1634" s="79"/>
      <c r="P1634" s="78"/>
      <c r="Q1634" s="1071"/>
    </row>
    <row r="1635" spans="9:17" ht="13.9" x14ac:dyDescent="0.4">
      <c r="I1635" s="1071"/>
      <c r="J1635" s="80" t="s">
        <v>212</v>
      </c>
      <c r="K1635" s="80" t="s">
        <v>838</v>
      </c>
      <c r="L1635" s="80" t="s">
        <v>2</v>
      </c>
      <c r="M1635" s="80" t="s">
        <v>21</v>
      </c>
      <c r="N1635" s="80" t="s">
        <v>174</v>
      </c>
      <c r="O1635" s="80" t="s">
        <v>14</v>
      </c>
      <c r="P1635" s="80" t="s">
        <v>890</v>
      </c>
      <c r="Q1635" s="1071"/>
    </row>
    <row r="1636" spans="9:17" ht="13.9" x14ac:dyDescent="0.4">
      <c r="I1636" s="1073">
        <f>IF($A$1=27,I1631+1,0)</f>
        <v>0</v>
      </c>
      <c r="J1636" s="159" t="str">
        <f>A4_Chem_Prices!N$19</f>
        <v>Besiege</v>
      </c>
      <c r="K1636" s="1350" t="s">
        <v>839</v>
      </c>
      <c r="L1636" s="160" t="str">
        <f>A4_Chem_Prices!O$19</f>
        <v>oz</v>
      </c>
      <c r="M1636" s="159">
        <f>A4_Chem_Prices!P$19</f>
        <v>1.98</v>
      </c>
      <c r="N1636" s="157">
        <v>9</v>
      </c>
      <c r="O1636" s="82">
        <f t="shared" ref="O1636:O1645" si="327">M1636*N1636</f>
        <v>17.82</v>
      </c>
      <c r="P1636" s="1449">
        <f>N1636</f>
        <v>9</v>
      </c>
      <c r="Q1636" s="1071">
        <f>Q1618</f>
        <v>0</v>
      </c>
    </row>
    <row r="1637" spans="9:17" ht="13.9" x14ac:dyDescent="0.4">
      <c r="I1637" s="1073">
        <f t="shared" ref="I1637:I1645" si="328">IF($A$1=27,I1636+1,0)</f>
        <v>0</v>
      </c>
      <c r="J1637" s="159" t="s">
        <v>19</v>
      </c>
      <c r="K1637" s="1350" t="s">
        <v>839</v>
      </c>
      <c r="L1637" s="160"/>
      <c r="M1637" s="159">
        <v>0</v>
      </c>
      <c r="N1637" s="157">
        <v>0</v>
      </c>
      <c r="O1637" s="82">
        <f t="shared" si="327"/>
        <v>0</v>
      </c>
      <c r="P1637" s="158"/>
      <c r="Q1637" s="1071">
        <f>Q1636</f>
        <v>0</v>
      </c>
    </row>
    <row r="1638" spans="9:17" ht="13.9" x14ac:dyDescent="0.4">
      <c r="I1638" s="1073">
        <f t="shared" si="328"/>
        <v>0</v>
      </c>
      <c r="J1638" s="159" t="s">
        <v>19</v>
      </c>
      <c r="K1638" s="1350" t="s">
        <v>839</v>
      </c>
      <c r="L1638" s="160"/>
      <c r="M1638" s="159">
        <v>0</v>
      </c>
      <c r="N1638" s="157">
        <v>0</v>
      </c>
      <c r="O1638" s="82">
        <f t="shared" si="327"/>
        <v>0</v>
      </c>
      <c r="P1638" s="158"/>
      <c r="Q1638" s="1071">
        <f t="shared" ref="Q1638:Q1645" si="329">Q1637</f>
        <v>0</v>
      </c>
    </row>
    <row r="1639" spans="9:17" ht="13.9" x14ac:dyDescent="0.4">
      <c r="I1639" s="1073">
        <f t="shared" si="328"/>
        <v>0</v>
      </c>
      <c r="J1639" s="159" t="s">
        <v>19</v>
      </c>
      <c r="K1639" s="1350" t="s">
        <v>839</v>
      </c>
      <c r="L1639" s="160"/>
      <c r="M1639" s="159">
        <v>0</v>
      </c>
      <c r="N1639" s="157">
        <v>0</v>
      </c>
      <c r="O1639" s="82">
        <f t="shared" si="327"/>
        <v>0</v>
      </c>
      <c r="P1639" s="158"/>
      <c r="Q1639" s="1071">
        <f t="shared" si="329"/>
        <v>0</v>
      </c>
    </row>
    <row r="1640" spans="9:17" ht="13.9" x14ac:dyDescent="0.4">
      <c r="I1640" s="1073">
        <f t="shared" si="328"/>
        <v>0</v>
      </c>
      <c r="J1640" s="159" t="s">
        <v>19</v>
      </c>
      <c r="K1640" s="1350" t="s">
        <v>839</v>
      </c>
      <c r="L1640" s="160"/>
      <c r="M1640" s="159">
        <v>0</v>
      </c>
      <c r="N1640" s="157">
        <v>0</v>
      </c>
      <c r="O1640" s="82">
        <f t="shared" si="327"/>
        <v>0</v>
      </c>
      <c r="P1640" s="158"/>
      <c r="Q1640" s="1071">
        <f t="shared" si="329"/>
        <v>0</v>
      </c>
    </row>
    <row r="1641" spans="9:17" ht="13.9" x14ac:dyDescent="0.4">
      <c r="I1641" s="1073">
        <f t="shared" si="328"/>
        <v>0</v>
      </c>
      <c r="J1641" s="159" t="s">
        <v>19</v>
      </c>
      <c r="K1641" s="1350" t="s">
        <v>839</v>
      </c>
      <c r="L1641" s="160"/>
      <c r="M1641" s="159">
        <v>0</v>
      </c>
      <c r="N1641" s="157">
        <v>0</v>
      </c>
      <c r="O1641" s="82">
        <f t="shared" si="327"/>
        <v>0</v>
      </c>
      <c r="P1641" s="158"/>
      <c r="Q1641" s="1071">
        <f t="shared" si="329"/>
        <v>0</v>
      </c>
    </row>
    <row r="1642" spans="9:17" ht="13.9" x14ac:dyDescent="0.4">
      <c r="I1642" s="1073">
        <f t="shared" si="328"/>
        <v>0</v>
      </c>
      <c r="J1642" s="159" t="s">
        <v>19</v>
      </c>
      <c r="K1642" s="1350" t="s">
        <v>839</v>
      </c>
      <c r="L1642" s="160"/>
      <c r="M1642" s="159">
        <v>0</v>
      </c>
      <c r="N1642" s="157">
        <v>0</v>
      </c>
      <c r="O1642" s="82">
        <f t="shared" si="327"/>
        <v>0</v>
      </c>
      <c r="P1642" s="158"/>
      <c r="Q1642" s="1071">
        <f t="shared" si="329"/>
        <v>0</v>
      </c>
    </row>
    <row r="1643" spans="9:17" ht="13.9" x14ac:dyDescent="0.4">
      <c r="I1643" s="1073">
        <f t="shared" si="328"/>
        <v>0</v>
      </c>
      <c r="J1643" s="159" t="s">
        <v>19</v>
      </c>
      <c r="K1643" s="1350" t="s">
        <v>839</v>
      </c>
      <c r="L1643" s="160"/>
      <c r="M1643" s="159">
        <v>0</v>
      </c>
      <c r="N1643" s="157">
        <v>0</v>
      </c>
      <c r="O1643" s="82">
        <f t="shared" si="327"/>
        <v>0</v>
      </c>
      <c r="P1643" s="158"/>
      <c r="Q1643" s="1071">
        <f t="shared" si="329"/>
        <v>0</v>
      </c>
    </row>
    <row r="1644" spans="9:17" ht="13.9" x14ac:dyDescent="0.4">
      <c r="I1644" s="1073">
        <f t="shared" si="328"/>
        <v>0</v>
      </c>
      <c r="J1644" s="159" t="s">
        <v>19</v>
      </c>
      <c r="K1644" s="1350" t="s">
        <v>839</v>
      </c>
      <c r="L1644" s="160"/>
      <c r="M1644" s="159">
        <v>0</v>
      </c>
      <c r="N1644" s="157">
        <v>0</v>
      </c>
      <c r="O1644" s="82">
        <f t="shared" si="327"/>
        <v>0</v>
      </c>
      <c r="P1644" s="158"/>
      <c r="Q1644" s="1071">
        <f t="shared" si="329"/>
        <v>0</v>
      </c>
    </row>
    <row r="1645" spans="9:17" ht="13.9" x14ac:dyDescent="0.4">
      <c r="I1645" s="1073">
        <f t="shared" si="328"/>
        <v>0</v>
      </c>
      <c r="J1645" s="159" t="s">
        <v>19</v>
      </c>
      <c r="K1645" s="1350" t="s">
        <v>839</v>
      </c>
      <c r="L1645" s="160"/>
      <c r="M1645" s="159">
        <v>0</v>
      </c>
      <c r="N1645" s="157">
        <v>0</v>
      </c>
      <c r="O1645" s="82">
        <f t="shared" si="327"/>
        <v>0</v>
      </c>
      <c r="P1645" s="158"/>
      <c r="Q1645" s="1071">
        <f t="shared" si="329"/>
        <v>0</v>
      </c>
    </row>
    <row r="1646" spans="9:17" ht="13.9" x14ac:dyDescent="0.4">
      <c r="I1646" s="1071"/>
      <c r="J1646" s="86" t="s">
        <v>22</v>
      </c>
      <c r="K1646" s="86"/>
      <c r="L1646" s="86"/>
      <c r="M1646" s="81"/>
      <c r="N1646" s="87"/>
      <c r="O1646" s="88">
        <f>SUM(O1636:O1645)</f>
        <v>17.82</v>
      </c>
      <c r="P1646" s="86"/>
      <c r="Q1646" s="1071"/>
    </row>
    <row r="1647" spans="9:17" ht="13.9" x14ac:dyDescent="0.4">
      <c r="I1647" s="1071"/>
      <c r="J1647" s="83"/>
      <c r="K1647" s="83"/>
      <c r="L1647" s="83"/>
      <c r="M1647" s="83"/>
      <c r="N1647" s="84"/>
      <c r="O1647" s="83"/>
      <c r="P1647" s="83"/>
      <c r="Q1647" s="1071"/>
    </row>
    <row r="1648" spans="9:17" ht="13.9" x14ac:dyDescent="0.4">
      <c r="I1648" s="1071"/>
      <c r="J1648" s="78" t="str">
        <f>IF(OR(A2_Budget_Look_Up!$B$7=1,A2_Budget_Look_Up!$B$13=1),"Nematicide Detail", "Fungicide Detail")</f>
        <v>Fungicide Detail</v>
      </c>
      <c r="K1648" s="78"/>
      <c r="L1648" s="78"/>
      <c r="M1648" s="79"/>
      <c r="N1648" s="85"/>
      <c r="O1648" s="79"/>
      <c r="P1648" s="78"/>
      <c r="Q1648" s="1071"/>
    </row>
    <row r="1649" spans="9:17" ht="13.9" x14ac:dyDescent="0.4">
      <c r="I1649" s="1071"/>
      <c r="J1649" s="80" t="s">
        <v>212</v>
      </c>
      <c r="K1649" s="80" t="s">
        <v>838</v>
      </c>
      <c r="L1649" s="80" t="s">
        <v>2</v>
      </c>
      <c r="M1649" s="80" t="s">
        <v>21</v>
      </c>
      <c r="N1649" s="80" t="s">
        <v>174</v>
      </c>
      <c r="O1649" s="80" t="s">
        <v>14</v>
      </c>
      <c r="P1649" s="80" t="s">
        <v>890</v>
      </c>
      <c r="Q1649" s="1071"/>
    </row>
    <row r="1650" spans="9:17" ht="13.9" x14ac:dyDescent="0.4">
      <c r="I1650" s="1073">
        <f>IF($A$1=27,I1645+1,0)</f>
        <v>0</v>
      </c>
      <c r="J1650" s="156" t="str">
        <f>A4_Chem_Prices!N$32</f>
        <v>Quadris Top</v>
      </c>
      <c r="K1650" s="1350" t="s">
        <v>839</v>
      </c>
      <c r="L1650" s="158" t="str">
        <f>A4_Chem_Prices!O$32</f>
        <v>oz</v>
      </c>
      <c r="M1650" s="159">
        <f>A4_Chem_Prices!P$32</f>
        <v>1.315390625</v>
      </c>
      <c r="N1650" s="157">
        <v>10</v>
      </c>
      <c r="O1650" s="82">
        <f>M1650*N1650</f>
        <v>13.15390625</v>
      </c>
      <c r="P1650" s="1449">
        <f>N1650</f>
        <v>10</v>
      </c>
      <c r="Q1650" s="1071">
        <f>Q1645</f>
        <v>0</v>
      </c>
    </row>
    <row r="1651" spans="9:17" ht="13.9" x14ac:dyDescent="0.4">
      <c r="I1651" s="1073">
        <f>IF($A$1=27,I1650+1,0)</f>
        <v>0</v>
      </c>
      <c r="J1651" s="156" t="s">
        <v>19</v>
      </c>
      <c r="K1651" s="1350" t="s">
        <v>839</v>
      </c>
      <c r="L1651" s="158"/>
      <c r="M1651" s="159">
        <v>0</v>
      </c>
      <c r="N1651" s="157">
        <v>0</v>
      </c>
      <c r="O1651" s="82">
        <f>M1651*N1651</f>
        <v>0</v>
      </c>
      <c r="P1651" s="158"/>
      <c r="Q1651" s="1071">
        <f>Q1650</f>
        <v>0</v>
      </c>
    </row>
    <row r="1652" spans="9:17" ht="13.9" x14ac:dyDescent="0.4">
      <c r="I1652" s="1071"/>
      <c r="J1652" s="86" t="s">
        <v>22</v>
      </c>
      <c r="K1652" s="86"/>
      <c r="L1652" s="86"/>
      <c r="M1652" s="81"/>
      <c r="N1652" s="87"/>
      <c r="O1652" s="88">
        <f>SUM(O1650:O1651)</f>
        <v>13.15390625</v>
      </c>
      <c r="P1652" s="86"/>
      <c r="Q1652" s="1071"/>
    </row>
    <row r="1653" spans="9:17" ht="13.9" x14ac:dyDescent="0.4">
      <c r="I1653" s="1071"/>
      <c r="J1653" s="83"/>
      <c r="K1653" s="83"/>
      <c r="L1653" s="83"/>
      <c r="M1653" s="83"/>
      <c r="N1653" s="84"/>
      <c r="O1653" s="83"/>
      <c r="P1653" s="83"/>
      <c r="Q1653" s="1071"/>
    </row>
    <row r="1654" spans="9:17" ht="13.9" x14ac:dyDescent="0.4">
      <c r="I1654" s="1071"/>
      <c r="J1654" s="78" t="str">
        <f>IF(A2_Budget_Look_Up!$B$7=1,"Growth Regulator Detail", IF(A2_Budget_Look_Up!$B$13=1,"Fungicide Detail","Other Chemical Detail"))</f>
        <v>Other Chemical Detail</v>
      </c>
      <c r="K1654" s="78"/>
      <c r="L1654" s="78"/>
      <c r="M1654" s="79"/>
      <c r="N1654" s="85"/>
      <c r="O1654" s="79"/>
      <c r="P1654" s="78"/>
      <c r="Q1654" s="1071"/>
    </row>
    <row r="1655" spans="9:17" ht="13.9" x14ac:dyDescent="0.4">
      <c r="I1655" s="1071"/>
      <c r="J1655" s="80" t="s">
        <v>212</v>
      </c>
      <c r="K1655" s="80" t="s">
        <v>838</v>
      </c>
      <c r="L1655" s="80" t="s">
        <v>2</v>
      </c>
      <c r="M1655" s="80" t="s">
        <v>21</v>
      </c>
      <c r="N1655" s="80" t="s">
        <v>174</v>
      </c>
      <c r="O1655" s="80" t="s">
        <v>14</v>
      </c>
      <c r="P1655" s="80" t="s">
        <v>890</v>
      </c>
      <c r="Q1655" s="1071"/>
    </row>
    <row r="1656" spans="9:17" ht="13.9" x14ac:dyDescent="0.4">
      <c r="I1656" s="1073">
        <f>IF($A$1=27,I1651+1,0)</f>
        <v>0</v>
      </c>
      <c r="J1656" s="156" t="s">
        <v>19</v>
      </c>
      <c r="K1656" s="1350" t="s">
        <v>839</v>
      </c>
      <c r="L1656" s="158"/>
      <c r="M1656" s="159">
        <v>0</v>
      </c>
      <c r="N1656" s="157">
        <v>0</v>
      </c>
      <c r="O1656" s="82">
        <f t="shared" ref="O1656:O1662" si="330">M1656*N1656</f>
        <v>0</v>
      </c>
      <c r="P1656" s="158"/>
      <c r="Q1656" s="1071">
        <f>Q1651</f>
        <v>0</v>
      </c>
    </row>
    <row r="1657" spans="9:17" ht="13.9" x14ac:dyDescent="0.4">
      <c r="I1657" s="1073">
        <f t="shared" ref="I1657:I1662" si="331">IF($A$1=27,I1656+1,0)</f>
        <v>0</v>
      </c>
      <c r="J1657" s="156" t="s">
        <v>19</v>
      </c>
      <c r="K1657" s="1350" t="s">
        <v>839</v>
      </c>
      <c r="L1657" s="158"/>
      <c r="M1657" s="159">
        <v>0</v>
      </c>
      <c r="N1657" s="157">
        <v>0</v>
      </c>
      <c r="O1657" s="82">
        <f t="shared" si="330"/>
        <v>0</v>
      </c>
      <c r="P1657" s="158"/>
      <c r="Q1657" s="1071">
        <f t="shared" ref="Q1657:Q1662" si="332">Q1656</f>
        <v>0</v>
      </c>
    </row>
    <row r="1658" spans="9:17" ht="13.9" x14ac:dyDescent="0.4">
      <c r="I1658" s="1073">
        <f t="shared" si="331"/>
        <v>0</v>
      </c>
      <c r="J1658" s="156" t="s">
        <v>19</v>
      </c>
      <c r="K1658" s="1350" t="s">
        <v>839</v>
      </c>
      <c r="L1658" s="158"/>
      <c r="M1658" s="159">
        <v>0</v>
      </c>
      <c r="N1658" s="157">
        <v>0</v>
      </c>
      <c r="O1658" s="82">
        <f t="shared" si="330"/>
        <v>0</v>
      </c>
      <c r="P1658" s="158"/>
      <c r="Q1658" s="1071">
        <f t="shared" si="332"/>
        <v>0</v>
      </c>
    </row>
    <row r="1659" spans="9:17" ht="13.9" x14ac:dyDescent="0.4">
      <c r="I1659" s="1073">
        <f t="shared" si="331"/>
        <v>0</v>
      </c>
      <c r="J1659" s="156" t="s">
        <v>19</v>
      </c>
      <c r="K1659" s="1350" t="s">
        <v>839</v>
      </c>
      <c r="L1659" s="158"/>
      <c r="M1659" s="159">
        <v>0</v>
      </c>
      <c r="N1659" s="157">
        <v>0</v>
      </c>
      <c r="O1659" s="82">
        <f t="shared" si="330"/>
        <v>0</v>
      </c>
      <c r="P1659" s="158"/>
      <c r="Q1659" s="1071">
        <f t="shared" si="332"/>
        <v>0</v>
      </c>
    </row>
    <row r="1660" spans="9:17" ht="13.9" x14ac:dyDescent="0.4">
      <c r="I1660" s="1073">
        <f t="shared" si="331"/>
        <v>0</v>
      </c>
      <c r="J1660" s="156" t="s">
        <v>19</v>
      </c>
      <c r="K1660" s="1350" t="s">
        <v>839</v>
      </c>
      <c r="L1660" s="158"/>
      <c r="M1660" s="159">
        <v>0</v>
      </c>
      <c r="N1660" s="157">
        <v>0</v>
      </c>
      <c r="O1660" s="82">
        <f t="shared" si="330"/>
        <v>0</v>
      </c>
      <c r="P1660" s="158"/>
      <c r="Q1660" s="1071">
        <f t="shared" si="332"/>
        <v>0</v>
      </c>
    </row>
    <row r="1661" spans="9:17" ht="13.9" x14ac:dyDescent="0.4">
      <c r="I1661" s="1073">
        <f t="shared" si="331"/>
        <v>0</v>
      </c>
      <c r="J1661" s="156" t="s">
        <v>19</v>
      </c>
      <c r="K1661" s="1350" t="s">
        <v>839</v>
      </c>
      <c r="L1661" s="158"/>
      <c r="M1661" s="159">
        <v>0</v>
      </c>
      <c r="N1661" s="157">
        <v>0</v>
      </c>
      <c r="O1661" s="82">
        <f t="shared" si="330"/>
        <v>0</v>
      </c>
      <c r="P1661" s="158"/>
      <c r="Q1661" s="1071">
        <f t="shared" si="332"/>
        <v>0</v>
      </c>
    </row>
    <row r="1662" spans="9:17" ht="13.9" x14ac:dyDescent="0.4">
      <c r="I1662" s="1073">
        <f t="shared" si="331"/>
        <v>0</v>
      </c>
      <c r="J1662" s="156" t="s">
        <v>19</v>
      </c>
      <c r="K1662" s="1350" t="s">
        <v>839</v>
      </c>
      <c r="L1662" s="158"/>
      <c r="M1662" s="159">
        <v>0</v>
      </c>
      <c r="N1662" s="157">
        <v>0</v>
      </c>
      <c r="O1662" s="82">
        <f t="shared" si="330"/>
        <v>0</v>
      </c>
      <c r="P1662" s="158"/>
      <c r="Q1662" s="1071">
        <f t="shared" si="332"/>
        <v>0</v>
      </c>
    </row>
    <row r="1663" spans="9:17" ht="13.9" x14ac:dyDescent="0.4">
      <c r="I1663" s="1071"/>
      <c r="J1663" s="86" t="s">
        <v>22</v>
      </c>
      <c r="K1663" s="86"/>
      <c r="L1663" s="86"/>
      <c r="M1663" s="81"/>
      <c r="N1663" s="87"/>
      <c r="O1663" s="88">
        <f>SUM(O1656:O1662)</f>
        <v>0</v>
      </c>
      <c r="P1663" s="86"/>
      <c r="Q1663" s="1071"/>
    </row>
    <row r="1665" spans="9:17" ht="13.9" x14ac:dyDescent="0.4">
      <c r="I1665" s="1071"/>
      <c r="J1665" s="78" t="str">
        <f>IF(A2_Budget_Look_Up!$B$7=1,"Defoliant Detail", "Other Chemical Detail")</f>
        <v>Other Chemical Detail</v>
      </c>
      <c r="K1665" s="78"/>
      <c r="L1665" s="78"/>
      <c r="M1665" s="79"/>
      <c r="N1665" s="85"/>
      <c r="O1665" s="79"/>
      <c r="P1665" s="78"/>
      <c r="Q1665" s="1071"/>
    </row>
    <row r="1666" spans="9:17" ht="13.9" x14ac:dyDescent="0.4">
      <c r="I1666" s="1071"/>
      <c r="J1666" s="80" t="s">
        <v>212</v>
      </c>
      <c r="K1666" s="80" t="s">
        <v>838</v>
      </c>
      <c r="L1666" s="80" t="s">
        <v>2</v>
      </c>
      <c r="M1666" s="80" t="s">
        <v>21</v>
      </c>
      <c r="N1666" s="80" t="s">
        <v>174</v>
      </c>
      <c r="O1666" s="80" t="s">
        <v>14</v>
      </c>
      <c r="P1666" s="80" t="s">
        <v>890</v>
      </c>
      <c r="Q1666" s="1071"/>
    </row>
    <row r="1667" spans="9:17" ht="13.9" x14ac:dyDescent="0.4">
      <c r="I1667" s="1073">
        <f>IF($A$1=27,I1662+1,0)</f>
        <v>0</v>
      </c>
      <c r="J1667" s="156" t="s">
        <v>19</v>
      </c>
      <c r="K1667" s="1350" t="s">
        <v>839</v>
      </c>
      <c r="L1667" s="158"/>
      <c r="M1667" s="159">
        <v>0</v>
      </c>
      <c r="N1667" s="157">
        <v>0</v>
      </c>
      <c r="O1667" s="82">
        <f t="shared" ref="O1667:O1673" si="333">M1667*N1667</f>
        <v>0</v>
      </c>
      <c r="P1667" s="158"/>
      <c r="Q1667" s="1071">
        <f>Q1662</f>
        <v>0</v>
      </c>
    </row>
    <row r="1668" spans="9:17" ht="13.9" x14ac:dyDescent="0.4">
      <c r="I1668" s="1073">
        <f t="shared" ref="I1668:I1673" si="334">IF($A$1=27,I1667+1,0)</f>
        <v>0</v>
      </c>
      <c r="J1668" s="156" t="s">
        <v>19</v>
      </c>
      <c r="K1668" s="1350" t="s">
        <v>839</v>
      </c>
      <c r="L1668" s="158"/>
      <c r="M1668" s="159">
        <v>0</v>
      </c>
      <c r="N1668" s="157">
        <v>0</v>
      </c>
      <c r="O1668" s="82">
        <f t="shared" si="333"/>
        <v>0</v>
      </c>
      <c r="P1668" s="158"/>
      <c r="Q1668" s="1071">
        <f t="shared" ref="Q1668:Q1673" si="335">Q1667</f>
        <v>0</v>
      </c>
    </row>
    <row r="1669" spans="9:17" ht="13.9" x14ac:dyDescent="0.4">
      <c r="I1669" s="1073">
        <f t="shared" si="334"/>
        <v>0</v>
      </c>
      <c r="J1669" s="156" t="s">
        <v>19</v>
      </c>
      <c r="K1669" s="1350" t="s">
        <v>839</v>
      </c>
      <c r="L1669" s="158"/>
      <c r="M1669" s="159">
        <v>0</v>
      </c>
      <c r="N1669" s="157">
        <v>0</v>
      </c>
      <c r="O1669" s="82">
        <f t="shared" si="333"/>
        <v>0</v>
      </c>
      <c r="P1669" s="158"/>
      <c r="Q1669" s="1071">
        <f t="shared" si="335"/>
        <v>0</v>
      </c>
    </row>
    <row r="1670" spans="9:17" ht="13.9" x14ac:dyDescent="0.4">
      <c r="I1670" s="1073">
        <f t="shared" si="334"/>
        <v>0</v>
      </c>
      <c r="J1670" s="156" t="s">
        <v>19</v>
      </c>
      <c r="K1670" s="1350" t="s">
        <v>839</v>
      </c>
      <c r="L1670" s="158"/>
      <c r="M1670" s="159">
        <v>0</v>
      </c>
      <c r="N1670" s="157">
        <v>0</v>
      </c>
      <c r="O1670" s="82">
        <f t="shared" si="333"/>
        <v>0</v>
      </c>
      <c r="P1670" s="158"/>
      <c r="Q1670" s="1071">
        <f t="shared" si="335"/>
        <v>0</v>
      </c>
    </row>
    <row r="1671" spans="9:17" ht="13.9" x14ac:dyDescent="0.4">
      <c r="I1671" s="1073">
        <f t="shared" si="334"/>
        <v>0</v>
      </c>
      <c r="J1671" s="156" t="s">
        <v>19</v>
      </c>
      <c r="K1671" s="1350" t="s">
        <v>839</v>
      </c>
      <c r="L1671" s="158"/>
      <c r="M1671" s="159">
        <v>0</v>
      </c>
      <c r="N1671" s="157">
        <v>0</v>
      </c>
      <c r="O1671" s="82">
        <f t="shared" si="333"/>
        <v>0</v>
      </c>
      <c r="P1671" s="158"/>
      <c r="Q1671" s="1071">
        <f t="shared" si="335"/>
        <v>0</v>
      </c>
    </row>
    <row r="1672" spans="9:17" ht="13.9" x14ac:dyDescent="0.4">
      <c r="I1672" s="1073">
        <f t="shared" si="334"/>
        <v>0</v>
      </c>
      <c r="J1672" s="156" t="s">
        <v>19</v>
      </c>
      <c r="K1672" s="1350" t="s">
        <v>839</v>
      </c>
      <c r="L1672" s="158"/>
      <c r="M1672" s="159">
        <v>0</v>
      </c>
      <c r="N1672" s="157">
        <v>0</v>
      </c>
      <c r="O1672" s="82">
        <f t="shared" si="333"/>
        <v>0</v>
      </c>
      <c r="P1672" s="158"/>
      <c r="Q1672" s="1071">
        <f t="shared" si="335"/>
        <v>0</v>
      </c>
    </row>
    <row r="1673" spans="9:17" ht="13.9" x14ac:dyDescent="0.4">
      <c r="I1673" s="1073">
        <f t="shared" si="334"/>
        <v>0</v>
      </c>
      <c r="J1673" s="156" t="s">
        <v>19</v>
      </c>
      <c r="K1673" s="1350" t="s">
        <v>839</v>
      </c>
      <c r="L1673" s="158"/>
      <c r="M1673" s="159">
        <v>0</v>
      </c>
      <c r="N1673" s="157">
        <v>0</v>
      </c>
      <c r="O1673" s="82">
        <f t="shared" si="333"/>
        <v>0</v>
      </c>
      <c r="P1673" s="158"/>
      <c r="Q1673" s="1071">
        <f t="shared" si="335"/>
        <v>0</v>
      </c>
    </row>
    <row r="1674" spans="9:17" ht="13.9" x14ac:dyDescent="0.4">
      <c r="I1674" s="1071"/>
      <c r="J1674" s="86" t="s">
        <v>22</v>
      </c>
      <c r="K1674" s="86"/>
      <c r="L1674" s="86"/>
      <c r="M1674" s="81"/>
      <c r="N1674" s="87"/>
      <c r="O1674" s="88">
        <f>SUM(O1667:O1673)</f>
        <v>0</v>
      </c>
      <c r="P1674" s="86"/>
      <c r="Q1674" s="1071"/>
    </row>
    <row r="1675" spans="9:17" ht="13.9" x14ac:dyDescent="0.4">
      <c r="I1675" s="1071"/>
      <c r="J1675" s="83"/>
      <c r="K1675" s="83"/>
      <c r="L1675" s="83"/>
      <c r="M1675" s="89"/>
      <c r="N1675" s="84"/>
      <c r="O1675" s="89"/>
      <c r="P1675" s="83"/>
      <c r="Q1675" s="1071"/>
    </row>
    <row r="1676" spans="9:17" ht="13.9" x14ac:dyDescent="0.4">
      <c r="I1676" s="1071"/>
      <c r="J1676" s="1168" t="str">
        <f>A2_Budget_Look_Up!H30</f>
        <v>Wheat</v>
      </c>
      <c r="K1676" s="1168"/>
      <c r="L1676" s="1168">
        <f>A2_Budget_Look_Up!F30</f>
        <v>28</v>
      </c>
      <c r="M1676" s="1168"/>
      <c r="N1676" s="1168"/>
      <c r="O1676" s="1168"/>
      <c r="P1676" s="1168"/>
      <c r="Q1676" s="1071"/>
    </row>
    <row r="1677" spans="9:17" ht="13.9" x14ac:dyDescent="0.4">
      <c r="I1677" s="1071"/>
      <c r="J1677" s="83"/>
      <c r="K1677" s="83"/>
      <c r="L1677" s="83"/>
      <c r="M1677" s="83"/>
      <c r="N1677" s="84"/>
      <c r="O1677" s="83"/>
      <c r="P1677" s="83"/>
      <c r="Q1677" s="1071"/>
    </row>
    <row r="1678" spans="9:17" ht="13.9" x14ac:dyDescent="0.4">
      <c r="I1678" s="1071"/>
      <c r="J1678" s="78" t="s">
        <v>18</v>
      </c>
      <c r="K1678" s="78"/>
      <c r="L1678" s="78"/>
      <c r="M1678" s="79"/>
      <c r="N1678" s="85"/>
      <c r="O1678" s="79"/>
      <c r="P1678" s="78"/>
      <c r="Q1678" s="1071"/>
    </row>
    <row r="1679" spans="9:17" ht="13.9" x14ac:dyDescent="0.4">
      <c r="I1679" s="1071"/>
      <c r="J1679" s="80" t="s">
        <v>212</v>
      </c>
      <c r="K1679" s="80" t="s">
        <v>838</v>
      </c>
      <c r="L1679" s="80" t="s">
        <v>2</v>
      </c>
      <c r="M1679" s="80" t="s">
        <v>21</v>
      </c>
      <c r="N1679" s="80" t="s">
        <v>174</v>
      </c>
      <c r="O1679" s="80" t="s">
        <v>14</v>
      </c>
      <c r="P1679" s="80" t="s">
        <v>890</v>
      </c>
      <c r="Q1679" s="1071"/>
    </row>
    <row r="1680" spans="9:17" ht="13.9" x14ac:dyDescent="0.4">
      <c r="I1680" s="1073">
        <f>IF($A$1=28,1,0)</f>
        <v>0</v>
      </c>
      <c r="J1680" s="159" t="str">
        <f>A4_Chem_Prices!Q$6</f>
        <v>Zidua SC</v>
      </c>
      <c r="K1680" s="1350" t="s">
        <v>839</v>
      </c>
      <c r="L1680" s="158" t="str">
        <f>A4_Chem_Prices!R$6</f>
        <v>oz</v>
      </c>
      <c r="M1680" s="159">
        <f>A4_Chem_Prices!S$6</f>
        <v>5.7421875</v>
      </c>
      <c r="N1680" s="157">
        <v>3</v>
      </c>
      <c r="O1680" s="82">
        <f t="shared" ref="O1680:O1693" si="336">M1680*N1680</f>
        <v>17.2265625</v>
      </c>
      <c r="P1680" s="1449">
        <f>N1680</f>
        <v>3</v>
      </c>
      <c r="Q1680" s="1171">
        <f>IF(SUM(I1680:I1735)=820,L1676,0)</f>
        <v>0</v>
      </c>
    </row>
    <row r="1681" spans="9:17" ht="13.9" x14ac:dyDescent="0.4">
      <c r="I1681" s="1073">
        <f t="shared" ref="I1681:I1693" si="337">IF($A$1=28,I1680+1,0)</f>
        <v>0</v>
      </c>
      <c r="J1681" s="159" t="str">
        <f>A4_Chem_Prices!Q$7</f>
        <v>Gramoxone</v>
      </c>
      <c r="K1681" s="1350" t="s">
        <v>839</v>
      </c>
      <c r="L1681" s="160" t="str">
        <f>A4_Chem_Prices!R$7</f>
        <v>oz</v>
      </c>
      <c r="M1681" s="159">
        <f>A4_Chem_Prices!S$7</f>
        <v>0.234375</v>
      </c>
      <c r="N1681" s="157">
        <v>40</v>
      </c>
      <c r="O1681" s="82">
        <f t="shared" si="336"/>
        <v>9.375</v>
      </c>
      <c r="P1681" s="1449">
        <f>N1681</f>
        <v>40</v>
      </c>
      <c r="Q1681" s="1071">
        <f>Q1680</f>
        <v>0</v>
      </c>
    </row>
    <row r="1682" spans="9:17" ht="13.9" x14ac:dyDescent="0.4">
      <c r="I1682" s="1073">
        <f t="shared" si="337"/>
        <v>0</v>
      </c>
      <c r="J1682" s="159" t="str">
        <f>A4_Chem_Prices!Q$2</f>
        <v>Axial</v>
      </c>
      <c r="K1682" s="1350" t="s">
        <v>839</v>
      </c>
      <c r="L1682" s="160" t="str">
        <f>A4_Chem_Prices!R$4</f>
        <v>oz</v>
      </c>
      <c r="M1682" s="159">
        <f>A4_Chem_Prices!S$4</f>
        <v>0.21867187500000002</v>
      </c>
      <c r="N1682" s="157">
        <v>15</v>
      </c>
      <c r="O1682" s="82">
        <f t="shared" si="336"/>
        <v>3.2800781250000002</v>
      </c>
      <c r="P1682" s="1449">
        <f>N1682</f>
        <v>15</v>
      </c>
      <c r="Q1682" s="1071">
        <f t="shared" ref="Q1682:Q1693" si="338">Q1681</f>
        <v>0</v>
      </c>
    </row>
    <row r="1683" spans="9:17" ht="13.9" x14ac:dyDescent="0.4">
      <c r="I1683" s="1073">
        <f t="shared" si="337"/>
        <v>0</v>
      </c>
      <c r="J1683" s="159" t="str">
        <f>A4_Chem_Prices!Q$3</f>
        <v>Harmony Extra XP</v>
      </c>
      <c r="K1683" s="1350" t="s">
        <v>839</v>
      </c>
      <c r="L1683" s="160" t="str">
        <f>A4_Chem_Prices!R$3</f>
        <v>oz</v>
      </c>
      <c r="M1683" s="159">
        <f>A4_Chem_Prices!S$3</f>
        <v>13.5</v>
      </c>
      <c r="N1683" s="157">
        <v>0.9</v>
      </c>
      <c r="O1683" s="82">
        <f t="shared" si="336"/>
        <v>12.15</v>
      </c>
      <c r="P1683" s="158"/>
      <c r="Q1683" s="1071">
        <f t="shared" si="338"/>
        <v>0</v>
      </c>
    </row>
    <row r="1684" spans="9:17" ht="13.9" x14ac:dyDescent="0.4">
      <c r="I1684" s="1073">
        <f t="shared" si="337"/>
        <v>0</v>
      </c>
      <c r="J1684" s="159" t="str">
        <f>A4_Chem_Prices!Q$4</f>
        <v>Surfactant</v>
      </c>
      <c r="K1684" s="1350" t="s">
        <v>839</v>
      </c>
      <c r="L1684" s="160" t="str">
        <f>A4_Chem_Prices!R$4</f>
        <v>oz</v>
      </c>
      <c r="M1684" s="159">
        <f>A4_Chem_Prices!S$4</f>
        <v>0.21867187500000002</v>
      </c>
      <c r="N1684" s="157">
        <v>3.2</v>
      </c>
      <c r="O1684" s="82">
        <f t="shared" si="336"/>
        <v>0.69975000000000009</v>
      </c>
      <c r="P1684" s="158"/>
      <c r="Q1684" s="1071">
        <f t="shared" si="338"/>
        <v>0</v>
      </c>
    </row>
    <row r="1685" spans="9:17" ht="13.9" x14ac:dyDescent="0.4">
      <c r="I1685" s="1073">
        <f t="shared" si="337"/>
        <v>0</v>
      </c>
      <c r="J1685" s="159" t="s">
        <v>19</v>
      </c>
      <c r="K1685" s="1350" t="s">
        <v>839</v>
      </c>
      <c r="L1685" s="160"/>
      <c r="M1685" s="159">
        <v>0</v>
      </c>
      <c r="N1685" s="157">
        <v>0</v>
      </c>
      <c r="O1685" s="82">
        <f t="shared" si="336"/>
        <v>0</v>
      </c>
      <c r="P1685" s="158"/>
      <c r="Q1685" s="1071">
        <f t="shared" si="338"/>
        <v>0</v>
      </c>
    </row>
    <row r="1686" spans="9:17" ht="13.9" x14ac:dyDescent="0.4">
      <c r="I1686" s="1073">
        <f t="shared" si="337"/>
        <v>0</v>
      </c>
      <c r="J1686" s="159" t="s">
        <v>19</v>
      </c>
      <c r="K1686" s="1350" t="s">
        <v>839</v>
      </c>
      <c r="L1686" s="160"/>
      <c r="M1686" s="159">
        <v>0</v>
      </c>
      <c r="N1686" s="157">
        <v>0</v>
      </c>
      <c r="O1686" s="82">
        <f t="shared" si="336"/>
        <v>0</v>
      </c>
      <c r="P1686" s="158"/>
      <c r="Q1686" s="1071">
        <f t="shared" si="338"/>
        <v>0</v>
      </c>
    </row>
    <row r="1687" spans="9:17" ht="13.9" x14ac:dyDescent="0.4">
      <c r="I1687" s="1073">
        <f t="shared" si="337"/>
        <v>0</v>
      </c>
      <c r="J1687" s="159" t="s">
        <v>19</v>
      </c>
      <c r="K1687" s="1350" t="s">
        <v>839</v>
      </c>
      <c r="L1687" s="160"/>
      <c r="M1687" s="159">
        <v>0</v>
      </c>
      <c r="N1687" s="157">
        <v>0</v>
      </c>
      <c r="O1687" s="82">
        <f t="shared" si="336"/>
        <v>0</v>
      </c>
      <c r="P1687" s="158"/>
      <c r="Q1687" s="1071">
        <f t="shared" si="338"/>
        <v>0</v>
      </c>
    </row>
    <row r="1688" spans="9:17" ht="13.9" x14ac:dyDescent="0.4">
      <c r="I1688" s="1073">
        <f t="shared" si="337"/>
        <v>0</v>
      </c>
      <c r="J1688" s="159" t="s">
        <v>19</v>
      </c>
      <c r="K1688" s="1350" t="s">
        <v>839</v>
      </c>
      <c r="L1688" s="160"/>
      <c r="M1688" s="159">
        <v>0</v>
      </c>
      <c r="N1688" s="157">
        <v>0</v>
      </c>
      <c r="O1688" s="82">
        <f t="shared" si="336"/>
        <v>0</v>
      </c>
      <c r="P1688" s="158"/>
      <c r="Q1688" s="1071">
        <f t="shared" si="338"/>
        <v>0</v>
      </c>
    </row>
    <row r="1689" spans="9:17" ht="13.9" x14ac:dyDescent="0.4">
      <c r="I1689" s="1073">
        <f t="shared" si="337"/>
        <v>0</v>
      </c>
      <c r="J1689" s="159" t="s">
        <v>19</v>
      </c>
      <c r="K1689" s="1350" t="s">
        <v>839</v>
      </c>
      <c r="L1689" s="160"/>
      <c r="M1689" s="159">
        <v>0</v>
      </c>
      <c r="N1689" s="157">
        <v>0</v>
      </c>
      <c r="O1689" s="82">
        <f t="shared" si="336"/>
        <v>0</v>
      </c>
      <c r="P1689" s="160"/>
      <c r="Q1689" s="1071">
        <f t="shared" si="338"/>
        <v>0</v>
      </c>
    </row>
    <row r="1690" spans="9:17" ht="13.9" x14ac:dyDescent="0.4">
      <c r="I1690" s="1073">
        <f t="shared" si="337"/>
        <v>0</v>
      </c>
      <c r="J1690" s="159" t="s">
        <v>19</v>
      </c>
      <c r="K1690" s="1350" t="s">
        <v>839</v>
      </c>
      <c r="L1690" s="160"/>
      <c r="M1690" s="159">
        <v>0</v>
      </c>
      <c r="N1690" s="157">
        <v>0</v>
      </c>
      <c r="O1690" s="82">
        <f t="shared" si="336"/>
        <v>0</v>
      </c>
      <c r="P1690" s="160"/>
      <c r="Q1690" s="1071">
        <f t="shared" si="338"/>
        <v>0</v>
      </c>
    </row>
    <row r="1691" spans="9:17" ht="13.9" x14ac:dyDescent="0.4">
      <c r="I1691" s="1073">
        <f t="shared" si="337"/>
        <v>0</v>
      </c>
      <c r="J1691" s="159" t="s">
        <v>19</v>
      </c>
      <c r="K1691" s="1350" t="s">
        <v>839</v>
      </c>
      <c r="L1691" s="160"/>
      <c r="M1691" s="159">
        <v>0</v>
      </c>
      <c r="N1691" s="157">
        <v>0</v>
      </c>
      <c r="O1691" s="82">
        <f t="shared" si="336"/>
        <v>0</v>
      </c>
      <c r="P1691" s="160"/>
      <c r="Q1691" s="1071">
        <f t="shared" si="338"/>
        <v>0</v>
      </c>
    </row>
    <row r="1692" spans="9:17" ht="13.9" x14ac:dyDescent="0.4">
      <c r="I1692" s="1073">
        <f t="shared" si="337"/>
        <v>0</v>
      </c>
      <c r="J1692" s="159" t="s">
        <v>19</v>
      </c>
      <c r="K1692" s="1350" t="s">
        <v>839</v>
      </c>
      <c r="L1692" s="160"/>
      <c r="M1692" s="159">
        <v>0</v>
      </c>
      <c r="N1692" s="157">
        <v>0</v>
      </c>
      <c r="O1692" s="82">
        <f t="shared" si="336"/>
        <v>0</v>
      </c>
      <c r="P1692" s="160"/>
      <c r="Q1692" s="1071">
        <f t="shared" si="338"/>
        <v>0</v>
      </c>
    </row>
    <row r="1693" spans="9:17" ht="13.9" x14ac:dyDescent="0.4">
      <c r="I1693" s="1073">
        <f t="shared" si="337"/>
        <v>0</v>
      </c>
      <c r="J1693" s="159" t="s">
        <v>19</v>
      </c>
      <c r="K1693" s="1350" t="s">
        <v>839</v>
      </c>
      <c r="L1693" s="160"/>
      <c r="M1693" s="159">
        <v>0</v>
      </c>
      <c r="N1693" s="157">
        <v>0</v>
      </c>
      <c r="O1693" s="82">
        <f t="shared" si="336"/>
        <v>0</v>
      </c>
      <c r="P1693" s="160"/>
      <c r="Q1693" s="1071">
        <f t="shared" si="338"/>
        <v>0</v>
      </c>
    </row>
    <row r="1694" spans="9:17" ht="13.9" x14ac:dyDescent="0.4">
      <c r="I1694" s="1071"/>
      <c r="J1694" s="86" t="s">
        <v>22</v>
      </c>
      <c r="K1694" s="86"/>
      <c r="L1694" s="86"/>
      <c r="M1694" s="81"/>
      <c r="N1694" s="87"/>
      <c r="O1694" s="88">
        <f>SUM(O1680:O1693)</f>
        <v>42.731390625000003</v>
      </c>
      <c r="P1694" s="86"/>
      <c r="Q1694" s="1071"/>
    </row>
    <row r="1695" spans="9:17" ht="13.9" x14ac:dyDescent="0.4">
      <c r="I1695" s="1071"/>
      <c r="J1695" s="83"/>
      <c r="K1695" s="83"/>
      <c r="L1695" s="83"/>
      <c r="M1695" s="83"/>
      <c r="N1695" s="84"/>
      <c r="O1695" s="83"/>
      <c r="P1695" s="83"/>
      <c r="Q1695" s="1071"/>
    </row>
    <row r="1696" spans="9:17" ht="13.9" x14ac:dyDescent="0.4">
      <c r="I1696" s="1071"/>
      <c r="J1696" s="78" t="s">
        <v>20</v>
      </c>
      <c r="K1696" s="78"/>
      <c r="L1696" s="78"/>
      <c r="M1696" s="79"/>
      <c r="N1696" s="85"/>
      <c r="O1696" s="79"/>
      <c r="P1696" s="78"/>
      <c r="Q1696" s="1071"/>
    </row>
    <row r="1697" spans="9:17" ht="13.9" x14ac:dyDescent="0.4">
      <c r="I1697" s="1071"/>
      <c r="J1697" s="80" t="s">
        <v>212</v>
      </c>
      <c r="K1697" s="80" t="s">
        <v>838</v>
      </c>
      <c r="L1697" s="80" t="s">
        <v>2</v>
      </c>
      <c r="M1697" s="80" t="s">
        <v>21</v>
      </c>
      <c r="N1697" s="80" t="s">
        <v>174</v>
      </c>
      <c r="O1697" s="80" t="s">
        <v>14</v>
      </c>
      <c r="P1697" s="80" t="s">
        <v>890</v>
      </c>
      <c r="Q1697" s="1071"/>
    </row>
    <row r="1698" spans="9:17" ht="13.9" x14ac:dyDescent="0.4">
      <c r="I1698" s="1073">
        <f>IF($A$1=28,I1693+1,0)</f>
        <v>0</v>
      </c>
      <c r="J1698" s="159" t="s">
        <v>19</v>
      </c>
      <c r="K1698" s="1350" t="s">
        <v>839</v>
      </c>
      <c r="L1698" s="160"/>
      <c r="M1698" s="159">
        <v>0</v>
      </c>
      <c r="N1698" s="157">
        <v>0</v>
      </c>
      <c r="O1698" s="82">
        <f t="shared" ref="O1698:O1707" si="339">M1698*N1698</f>
        <v>0</v>
      </c>
      <c r="P1698" s="158"/>
      <c r="Q1698" s="1071">
        <f>Q1680</f>
        <v>0</v>
      </c>
    </row>
    <row r="1699" spans="9:17" ht="13.9" x14ac:dyDescent="0.4">
      <c r="I1699" s="1073">
        <f t="shared" ref="I1699:I1707" si="340">IF($A$1=28,I1698+1,0)</f>
        <v>0</v>
      </c>
      <c r="J1699" s="159" t="s">
        <v>19</v>
      </c>
      <c r="K1699" s="1350" t="s">
        <v>839</v>
      </c>
      <c r="L1699" s="160"/>
      <c r="M1699" s="159">
        <v>0</v>
      </c>
      <c r="N1699" s="157">
        <v>0</v>
      </c>
      <c r="O1699" s="82">
        <f t="shared" si="339"/>
        <v>0</v>
      </c>
      <c r="P1699" s="158"/>
      <c r="Q1699" s="1071">
        <f>Q1698</f>
        <v>0</v>
      </c>
    </row>
    <row r="1700" spans="9:17" ht="13.9" x14ac:dyDescent="0.4">
      <c r="I1700" s="1073">
        <f t="shared" si="340"/>
        <v>0</v>
      </c>
      <c r="J1700" s="159" t="s">
        <v>19</v>
      </c>
      <c r="K1700" s="1350" t="s">
        <v>839</v>
      </c>
      <c r="L1700" s="160"/>
      <c r="M1700" s="159">
        <v>0</v>
      </c>
      <c r="N1700" s="157">
        <v>0</v>
      </c>
      <c r="O1700" s="82">
        <f t="shared" si="339"/>
        <v>0</v>
      </c>
      <c r="P1700" s="158"/>
      <c r="Q1700" s="1071">
        <f t="shared" ref="Q1700:Q1707" si="341">Q1699</f>
        <v>0</v>
      </c>
    </row>
    <row r="1701" spans="9:17" ht="13.9" x14ac:dyDescent="0.4">
      <c r="I1701" s="1073">
        <f t="shared" si="340"/>
        <v>0</v>
      </c>
      <c r="J1701" s="159" t="s">
        <v>19</v>
      </c>
      <c r="K1701" s="1350" t="s">
        <v>839</v>
      </c>
      <c r="L1701" s="160"/>
      <c r="M1701" s="159">
        <v>0</v>
      </c>
      <c r="N1701" s="157">
        <v>0</v>
      </c>
      <c r="O1701" s="82">
        <f t="shared" si="339"/>
        <v>0</v>
      </c>
      <c r="P1701" s="158"/>
      <c r="Q1701" s="1071">
        <f t="shared" si="341"/>
        <v>0</v>
      </c>
    </row>
    <row r="1702" spans="9:17" ht="13.9" x14ac:dyDescent="0.4">
      <c r="I1702" s="1073">
        <f t="shared" si="340"/>
        <v>0</v>
      </c>
      <c r="J1702" s="159" t="s">
        <v>19</v>
      </c>
      <c r="K1702" s="1350" t="s">
        <v>839</v>
      </c>
      <c r="L1702" s="160"/>
      <c r="M1702" s="159">
        <v>0</v>
      </c>
      <c r="N1702" s="157">
        <v>0</v>
      </c>
      <c r="O1702" s="82">
        <f t="shared" si="339"/>
        <v>0</v>
      </c>
      <c r="P1702" s="158"/>
      <c r="Q1702" s="1071">
        <f t="shared" si="341"/>
        <v>0</v>
      </c>
    </row>
    <row r="1703" spans="9:17" ht="13.9" x14ac:dyDescent="0.4">
      <c r="I1703" s="1073">
        <f t="shared" si="340"/>
        <v>0</v>
      </c>
      <c r="J1703" s="159" t="s">
        <v>19</v>
      </c>
      <c r="K1703" s="1350" t="s">
        <v>839</v>
      </c>
      <c r="L1703" s="160"/>
      <c r="M1703" s="159">
        <v>0</v>
      </c>
      <c r="N1703" s="157">
        <v>0</v>
      </c>
      <c r="O1703" s="82">
        <f t="shared" si="339"/>
        <v>0</v>
      </c>
      <c r="P1703" s="158"/>
      <c r="Q1703" s="1071">
        <f t="shared" si="341"/>
        <v>0</v>
      </c>
    </row>
    <row r="1704" spans="9:17" ht="13.9" x14ac:dyDescent="0.4">
      <c r="I1704" s="1073">
        <f t="shared" si="340"/>
        <v>0</v>
      </c>
      <c r="J1704" s="159" t="s">
        <v>19</v>
      </c>
      <c r="K1704" s="1350" t="s">
        <v>839</v>
      </c>
      <c r="L1704" s="160"/>
      <c r="M1704" s="159">
        <v>0</v>
      </c>
      <c r="N1704" s="157">
        <v>0</v>
      </c>
      <c r="O1704" s="82">
        <f t="shared" si="339"/>
        <v>0</v>
      </c>
      <c r="P1704" s="158"/>
      <c r="Q1704" s="1071">
        <f t="shared" si="341"/>
        <v>0</v>
      </c>
    </row>
    <row r="1705" spans="9:17" ht="13.9" x14ac:dyDescent="0.4">
      <c r="I1705" s="1073">
        <f t="shared" si="340"/>
        <v>0</v>
      </c>
      <c r="J1705" s="159" t="s">
        <v>19</v>
      </c>
      <c r="K1705" s="1350" t="s">
        <v>839</v>
      </c>
      <c r="L1705" s="160"/>
      <c r="M1705" s="159">
        <v>0</v>
      </c>
      <c r="N1705" s="157">
        <v>0</v>
      </c>
      <c r="O1705" s="82">
        <f t="shared" si="339"/>
        <v>0</v>
      </c>
      <c r="P1705" s="158"/>
      <c r="Q1705" s="1071">
        <f t="shared" si="341"/>
        <v>0</v>
      </c>
    </row>
    <row r="1706" spans="9:17" ht="13.9" x14ac:dyDescent="0.4">
      <c r="I1706" s="1073">
        <f t="shared" si="340"/>
        <v>0</v>
      </c>
      <c r="J1706" s="159" t="s">
        <v>19</v>
      </c>
      <c r="K1706" s="1350" t="s">
        <v>839</v>
      </c>
      <c r="L1706" s="160"/>
      <c r="M1706" s="159">
        <v>0</v>
      </c>
      <c r="N1706" s="157">
        <v>0</v>
      </c>
      <c r="O1706" s="82">
        <f t="shared" si="339"/>
        <v>0</v>
      </c>
      <c r="P1706" s="158"/>
      <c r="Q1706" s="1071">
        <f t="shared" si="341"/>
        <v>0</v>
      </c>
    </row>
    <row r="1707" spans="9:17" ht="13.9" x14ac:dyDescent="0.4">
      <c r="I1707" s="1073">
        <f t="shared" si="340"/>
        <v>0</v>
      </c>
      <c r="J1707" s="159" t="s">
        <v>19</v>
      </c>
      <c r="K1707" s="1350" t="s">
        <v>839</v>
      </c>
      <c r="L1707" s="160"/>
      <c r="M1707" s="159">
        <v>0</v>
      </c>
      <c r="N1707" s="157">
        <v>0</v>
      </c>
      <c r="O1707" s="82">
        <f t="shared" si="339"/>
        <v>0</v>
      </c>
      <c r="P1707" s="158"/>
      <c r="Q1707" s="1071">
        <f t="shared" si="341"/>
        <v>0</v>
      </c>
    </row>
    <row r="1708" spans="9:17" ht="13.9" x14ac:dyDescent="0.4">
      <c r="I1708" s="1071"/>
      <c r="J1708" s="86" t="s">
        <v>22</v>
      </c>
      <c r="K1708" s="86"/>
      <c r="L1708" s="86"/>
      <c r="M1708" s="81"/>
      <c r="N1708" s="87"/>
      <c r="O1708" s="88">
        <f>SUM(O1698:O1707)</f>
        <v>0</v>
      </c>
      <c r="P1708" s="86"/>
      <c r="Q1708" s="1071"/>
    </row>
    <row r="1709" spans="9:17" ht="13.9" x14ac:dyDescent="0.4">
      <c r="I1709" s="1071"/>
      <c r="J1709" s="83"/>
      <c r="K1709" s="83"/>
      <c r="L1709" s="83"/>
      <c r="M1709" s="83"/>
      <c r="N1709" s="84"/>
      <c r="O1709" s="83"/>
      <c r="P1709" s="83"/>
      <c r="Q1709" s="1071"/>
    </row>
    <row r="1710" spans="9:17" ht="13.9" x14ac:dyDescent="0.4">
      <c r="I1710" s="1071"/>
      <c r="J1710" s="78" t="str">
        <f>IF(OR(A2_Budget_Look_Up!$B$7=1,A2_Budget_Look_Up!$B$13=1),"Nematicide Detail", "Fungicide Detail")</f>
        <v>Fungicide Detail</v>
      </c>
      <c r="K1710" s="78"/>
      <c r="L1710" s="78"/>
      <c r="M1710" s="79"/>
      <c r="N1710" s="85"/>
      <c r="O1710" s="79"/>
      <c r="P1710" s="78"/>
      <c r="Q1710" s="1071"/>
    </row>
    <row r="1711" spans="9:17" ht="13.9" x14ac:dyDescent="0.4">
      <c r="I1711" s="1071"/>
      <c r="J1711" s="80" t="s">
        <v>212</v>
      </c>
      <c r="K1711" s="80" t="s">
        <v>838</v>
      </c>
      <c r="L1711" s="80" t="s">
        <v>2</v>
      </c>
      <c r="M1711" s="80" t="s">
        <v>21</v>
      </c>
      <c r="N1711" s="80" t="s">
        <v>174</v>
      </c>
      <c r="O1711" s="80" t="s">
        <v>14</v>
      </c>
      <c r="P1711" s="80" t="s">
        <v>890</v>
      </c>
      <c r="Q1711" s="1071"/>
    </row>
    <row r="1712" spans="9:17" ht="13.9" x14ac:dyDescent="0.4">
      <c r="I1712" s="1073">
        <f>IF($A$1=28,I1707+1,0)</f>
        <v>0</v>
      </c>
      <c r="J1712" s="156" t="str">
        <f>A4_Chem_Prices!Q$32</f>
        <v>Quilt</v>
      </c>
      <c r="K1712" s="1350" t="s">
        <v>839</v>
      </c>
      <c r="L1712" s="158" t="str">
        <f>A4_Chem_Prices!R$32</f>
        <v>oz</v>
      </c>
      <c r="M1712" s="159">
        <f>A4_Chem_Prices!S$32</f>
        <v>0.25</v>
      </c>
      <c r="N1712" s="157">
        <v>14</v>
      </c>
      <c r="O1712" s="82">
        <f>M1712*N1712</f>
        <v>3.5</v>
      </c>
      <c r="P1712" s="1449">
        <f>N1712</f>
        <v>14</v>
      </c>
      <c r="Q1712" s="1071">
        <f>Q1707</f>
        <v>0</v>
      </c>
    </row>
    <row r="1713" spans="9:17" ht="13.9" x14ac:dyDescent="0.4">
      <c r="I1713" s="1073">
        <f>IF($A$1=28,I1712+1,0)</f>
        <v>0</v>
      </c>
      <c r="J1713" s="156" t="s">
        <v>19</v>
      </c>
      <c r="K1713" s="1350" t="s">
        <v>839</v>
      </c>
      <c r="L1713" s="158"/>
      <c r="M1713" s="159">
        <v>0</v>
      </c>
      <c r="N1713" s="157">
        <v>0</v>
      </c>
      <c r="O1713" s="82">
        <f>M1713*N1713</f>
        <v>0</v>
      </c>
      <c r="P1713" s="158"/>
      <c r="Q1713" s="1071">
        <f>Q1712</f>
        <v>0</v>
      </c>
    </row>
    <row r="1714" spans="9:17" ht="13.9" x14ac:dyDescent="0.4">
      <c r="I1714" s="1071"/>
      <c r="J1714" s="86" t="s">
        <v>22</v>
      </c>
      <c r="K1714" s="86"/>
      <c r="L1714" s="86"/>
      <c r="M1714" s="81"/>
      <c r="N1714" s="87"/>
      <c r="O1714" s="88">
        <f>SUM(O1712:O1713)</f>
        <v>3.5</v>
      </c>
      <c r="P1714" s="86"/>
      <c r="Q1714" s="1071"/>
    </row>
    <row r="1715" spans="9:17" ht="13.9" x14ac:dyDescent="0.4">
      <c r="I1715" s="1071"/>
      <c r="J1715" s="83"/>
      <c r="K1715" s="83"/>
      <c r="L1715" s="83"/>
      <c r="M1715" s="83"/>
      <c r="N1715" s="84"/>
      <c r="O1715" s="83"/>
      <c r="P1715" s="83"/>
      <c r="Q1715" s="1071"/>
    </row>
    <row r="1716" spans="9:17" ht="13.9" x14ac:dyDescent="0.4">
      <c r="I1716" s="1071"/>
      <c r="J1716" s="78" t="str">
        <f>IF(A2_Budget_Look_Up!$B$7=1,"Growth Regulator Detail", IF(A2_Budget_Look_Up!$B$13=1,"Fungicide Detail","Other Chemical Detail"))</f>
        <v>Other Chemical Detail</v>
      </c>
      <c r="K1716" s="78"/>
      <c r="L1716" s="78"/>
      <c r="M1716" s="79"/>
      <c r="N1716" s="85"/>
      <c r="O1716" s="79"/>
      <c r="P1716" s="78"/>
      <c r="Q1716" s="1071"/>
    </row>
    <row r="1717" spans="9:17" ht="13.9" x14ac:dyDescent="0.4">
      <c r="I1717" s="1071"/>
      <c r="J1717" s="80" t="s">
        <v>212</v>
      </c>
      <c r="K1717" s="80" t="s">
        <v>838</v>
      </c>
      <c r="L1717" s="80" t="s">
        <v>2</v>
      </c>
      <c r="M1717" s="80" t="s">
        <v>21</v>
      </c>
      <c r="N1717" s="80" t="s">
        <v>174</v>
      </c>
      <c r="O1717" s="80" t="s">
        <v>14</v>
      </c>
      <c r="P1717" s="80" t="s">
        <v>890</v>
      </c>
      <c r="Q1717" s="1071"/>
    </row>
    <row r="1718" spans="9:17" ht="13.9" x14ac:dyDescent="0.4">
      <c r="I1718" s="1073">
        <f>IF($A$1=28,I1713+1,0)</f>
        <v>0</v>
      </c>
      <c r="J1718" s="156" t="s">
        <v>19</v>
      </c>
      <c r="K1718" s="1350" t="s">
        <v>839</v>
      </c>
      <c r="L1718" s="158"/>
      <c r="M1718" s="159">
        <v>0</v>
      </c>
      <c r="N1718" s="157">
        <v>0</v>
      </c>
      <c r="O1718" s="82">
        <f t="shared" ref="O1718:O1724" si="342">M1718*N1718</f>
        <v>0</v>
      </c>
      <c r="P1718" s="158"/>
      <c r="Q1718" s="1071">
        <f>Q1713</f>
        <v>0</v>
      </c>
    </row>
    <row r="1719" spans="9:17" ht="13.9" x14ac:dyDescent="0.4">
      <c r="I1719" s="1073">
        <f t="shared" ref="I1719:I1724" si="343">IF($A$1=28,I1718+1,0)</f>
        <v>0</v>
      </c>
      <c r="J1719" s="156" t="s">
        <v>19</v>
      </c>
      <c r="K1719" s="1350" t="s">
        <v>839</v>
      </c>
      <c r="L1719" s="158"/>
      <c r="M1719" s="159">
        <v>0</v>
      </c>
      <c r="N1719" s="157">
        <v>0</v>
      </c>
      <c r="O1719" s="82">
        <f t="shared" si="342"/>
        <v>0</v>
      </c>
      <c r="P1719" s="158"/>
      <c r="Q1719" s="1071">
        <f t="shared" ref="Q1719:Q1724" si="344">Q1718</f>
        <v>0</v>
      </c>
    </row>
    <row r="1720" spans="9:17" ht="13.9" x14ac:dyDescent="0.4">
      <c r="I1720" s="1073">
        <f t="shared" si="343"/>
        <v>0</v>
      </c>
      <c r="J1720" s="156" t="s">
        <v>19</v>
      </c>
      <c r="K1720" s="1350" t="s">
        <v>839</v>
      </c>
      <c r="L1720" s="158"/>
      <c r="M1720" s="159">
        <v>0</v>
      </c>
      <c r="N1720" s="157">
        <v>0</v>
      </c>
      <c r="O1720" s="82">
        <f t="shared" si="342"/>
        <v>0</v>
      </c>
      <c r="P1720" s="158"/>
      <c r="Q1720" s="1071">
        <f t="shared" si="344"/>
        <v>0</v>
      </c>
    </row>
    <row r="1721" spans="9:17" ht="13.9" x14ac:dyDescent="0.4">
      <c r="I1721" s="1073">
        <f t="shared" si="343"/>
        <v>0</v>
      </c>
      <c r="J1721" s="156" t="s">
        <v>19</v>
      </c>
      <c r="K1721" s="1350" t="s">
        <v>839</v>
      </c>
      <c r="L1721" s="158"/>
      <c r="M1721" s="159">
        <v>0</v>
      </c>
      <c r="N1721" s="157">
        <v>0</v>
      </c>
      <c r="O1721" s="82">
        <f t="shared" si="342"/>
        <v>0</v>
      </c>
      <c r="P1721" s="158"/>
      <c r="Q1721" s="1071">
        <f t="shared" si="344"/>
        <v>0</v>
      </c>
    </row>
    <row r="1722" spans="9:17" ht="13.9" x14ac:dyDescent="0.4">
      <c r="I1722" s="1073">
        <f t="shared" si="343"/>
        <v>0</v>
      </c>
      <c r="J1722" s="156" t="s">
        <v>19</v>
      </c>
      <c r="K1722" s="1350" t="s">
        <v>839</v>
      </c>
      <c r="L1722" s="158"/>
      <c r="M1722" s="159">
        <v>0</v>
      </c>
      <c r="N1722" s="157">
        <v>0</v>
      </c>
      <c r="O1722" s="82">
        <f t="shared" si="342"/>
        <v>0</v>
      </c>
      <c r="P1722" s="158"/>
      <c r="Q1722" s="1071">
        <f t="shared" si="344"/>
        <v>0</v>
      </c>
    </row>
    <row r="1723" spans="9:17" ht="13.9" x14ac:dyDescent="0.4">
      <c r="I1723" s="1073">
        <f t="shared" si="343"/>
        <v>0</v>
      </c>
      <c r="J1723" s="156" t="s">
        <v>19</v>
      </c>
      <c r="K1723" s="1350" t="s">
        <v>839</v>
      </c>
      <c r="L1723" s="158"/>
      <c r="M1723" s="159">
        <v>0</v>
      </c>
      <c r="N1723" s="157">
        <v>0</v>
      </c>
      <c r="O1723" s="82">
        <f t="shared" si="342"/>
        <v>0</v>
      </c>
      <c r="P1723" s="158"/>
      <c r="Q1723" s="1071">
        <f t="shared" si="344"/>
        <v>0</v>
      </c>
    </row>
    <row r="1724" spans="9:17" ht="13.9" x14ac:dyDescent="0.4">
      <c r="I1724" s="1073">
        <f t="shared" si="343"/>
        <v>0</v>
      </c>
      <c r="J1724" s="156" t="s">
        <v>19</v>
      </c>
      <c r="K1724" s="1350" t="s">
        <v>839</v>
      </c>
      <c r="L1724" s="158"/>
      <c r="M1724" s="159">
        <v>0</v>
      </c>
      <c r="N1724" s="157">
        <v>0</v>
      </c>
      <c r="O1724" s="82">
        <f t="shared" si="342"/>
        <v>0</v>
      </c>
      <c r="P1724" s="158"/>
      <c r="Q1724" s="1071">
        <f t="shared" si="344"/>
        <v>0</v>
      </c>
    </row>
    <row r="1725" spans="9:17" ht="13.9" x14ac:dyDescent="0.4">
      <c r="I1725" s="1071"/>
      <c r="J1725" s="86" t="s">
        <v>22</v>
      </c>
      <c r="K1725" s="86"/>
      <c r="L1725" s="86"/>
      <c r="M1725" s="81"/>
      <c r="N1725" s="87"/>
      <c r="O1725" s="88">
        <f>SUM(O1718:O1724)</f>
        <v>0</v>
      </c>
      <c r="P1725" s="86"/>
      <c r="Q1725" s="1071"/>
    </row>
    <row r="1726" spans="9:17" ht="13.9" x14ac:dyDescent="0.4">
      <c r="I1726" s="1071"/>
      <c r="J1726" s="83"/>
      <c r="K1726" s="83"/>
      <c r="L1726" s="83"/>
      <c r="M1726" s="83"/>
      <c r="N1726" s="84"/>
      <c r="O1726" s="83"/>
      <c r="P1726" s="83"/>
      <c r="Q1726" s="1071"/>
    </row>
    <row r="1727" spans="9:17" ht="13.9" x14ac:dyDescent="0.4">
      <c r="I1727" s="1071"/>
      <c r="J1727" s="78" t="str">
        <f>IF(A2_Budget_Look_Up!$B$7=1,"Defoliant Detail", "Other Chemical Detail")</f>
        <v>Other Chemical Detail</v>
      </c>
      <c r="K1727" s="78"/>
      <c r="L1727" s="78"/>
      <c r="M1727" s="79"/>
      <c r="N1727" s="85"/>
      <c r="O1727" s="79"/>
      <c r="P1727" s="78"/>
      <c r="Q1727" s="1071"/>
    </row>
    <row r="1728" spans="9:17" ht="13.9" x14ac:dyDescent="0.4">
      <c r="I1728" s="1071"/>
      <c r="J1728" s="80" t="s">
        <v>212</v>
      </c>
      <c r="K1728" s="80" t="s">
        <v>838</v>
      </c>
      <c r="L1728" s="80" t="s">
        <v>2</v>
      </c>
      <c r="M1728" s="80" t="s">
        <v>21</v>
      </c>
      <c r="N1728" s="80" t="s">
        <v>174</v>
      </c>
      <c r="O1728" s="80" t="s">
        <v>14</v>
      </c>
      <c r="P1728" s="80" t="s">
        <v>890</v>
      </c>
      <c r="Q1728" s="1071"/>
    </row>
    <row r="1729" spans="9:17" ht="13.9" x14ac:dyDescent="0.4">
      <c r="I1729" s="1073">
        <f>IF($A$1=28,I1724+1,0)</f>
        <v>0</v>
      </c>
      <c r="J1729" s="156" t="s">
        <v>19</v>
      </c>
      <c r="K1729" s="1350" t="s">
        <v>839</v>
      </c>
      <c r="L1729" s="158"/>
      <c r="M1729" s="159">
        <v>0</v>
      </c>
      <c r="N1729" s="157">
        <v>0</v>
      </c>
      <c r="O1729" s="82">
        <f t="shared" ref="O1729:O1735" si="345">M1729*N1729</f>
        <v>0</v>
      </c>
      <c r="P1729" s="158"/>
      <c r="Q1729" s="1071">
        <f>Q1724</f>
        <v>0</v>
      </c>
    </row>
    <row r="1730" spans="9:17" ht="13.9" x14ac:dyDescent="0.4">
      <c r="I1730" s="1073">
        <f t="shared" ref="I1730:I1735" si="346">IF($A$1=28,I1729+1,0)</f>
        <v>0</v>
      </c>
      <c r="J1730" s="156" t="s">
        <v>19</v>
      </c>
      <c r="K1730" s="1350" t="s">
        <v>839</v>
      </c>
      <c r="L1730" s="158"/>
      <c r="M1730" s="159">
        <v>0</v>
      </c>
      <c r="N1730" s="157">
        <v>0</v>
      </c>
      <c r="O1730" s="82">
        <f t="shared" si="345"/>
        <v>0</v>
      </c>
      <c r="P1730" s="158"/>
      <c r="Q1730" s="1071">
        <f t="shared" ref="Q1730:Q1735" si="347">Q1729</f>
        <v>0</v>
      </c>
    </row>
    <row r="1731" spans="9:17" ht="13.9" x14ac:dyDescent="0.4">
      <c r="I1731" s="1073">
        <f t="shared" si="346"/>
        <v>0</v>
      </c>
      <c r="J1731" s="156" t="s">
        <v>19</v>
      </c>
      <c r="K1731" s="1350" t="s">
        <v>839</v>
      </c>
      <c r="L1731" s="158"/>
      <c r="M1731" s="159">
        <v>0</v>
      </c>
      <c r="N1731" s="157">
        <v>0</v>
      </c>
      <c r="O1731" s="82">
        <f t="shared" si="345"/>
        <v>0</v>
      </c>
      <c r="P1731" s="158"/>
      <c r="Q1731" s="1071">
        <f t="shared" si="347"/>
        <v>0</v>
      </c>
    </row>
    <row r="1732" spans="9:17" ht="13.9" x14ac:dyDescent="0.4">
      <c r="I1732" s="1073">
        <f t="shared" si="346"/>
        <v>0</v>
      </c>
      <c r="J1732" s="156" t="s">
        <v>19</v>
      </c>
      <c r="K1732" s="1350" t="s">
        <v>839</v>
      </c>
      <c r="L1732" s="158"/>
      <c r="M1732" s="159">
        <v>0</v>
      </c>
      <c r="N1732" s="157">
        <v>0</v>
      </c>
      <c r="O1732" s="82">
        <f t="shared" si="345"/>
        <v>0</v>
      </c>
      <c r="P1732" s="158"/>
      <c r="Q1732" s="1071">
        <f t="shared" si="347"/>
        <v>0</v>
      </c>
    </row>
    <row r="1733" spans="9:17" ht="13.9" x14ac:dyDescent="0.4">
      <c r="I1733" s="1073">
        <f t="shared" si="346"/>
        <v>0</v>
      </c>
      <c r="J1733" s="156" t="s">
        <v>19</v>
      </c>
      <c r="K1733" s="1350" t="s">
        <v>839</v>
      </c>
      <c r="L1733" s="158"/>
      <c r="M1733" s="159">
        <v>0</v>
      </c>
      <c r="N1733" s="157">
        <v>0</v>
      </c>
      <c r="O1733" s="82">
        <f t="shared" si="345"/>
        <v>0</v>
      </c>
      <c r="P1733" s="158"/>
      <c r="Q1733" s="1071">
        <f t="shared" si="347"/>
        <v>0</v>
      </c>
    </row>
    <row r="1734" spans="9:17" ht="13.9" x14ac:dyDescent="0.4">
      <c r="I1734" s="1073">
        <f t="shared" si="346"/>
        <v>0</v>
      </c>
      <c r="J1734" s="156" t="s">
        <v>19</v>
      </c>
      <c r="K1734" s="1350" t="s">
        <v>839</v>
      </c>
      <c r="L1734" s="158"/>
      <c r="M1734" s="159">
        <v>0</v>
      </c>
      <c r="N1734" s="157">
        <v>0</v>
      </c>
      <c r="O1734" s="82">
        <f t="shared" si="345"/>
        <v>0</v>
      </c>
      <c r="P1734" s="158"/>
      <c r="Q1734" s="1071">
        <f t="shared" si="347"/>
        <v>0</v>
      </c>
    </row>
    <row r="1735" spans="9:17" ht="13.9" x14ac:dyDescent="0.4">
      <c r="I1735" s="1073">
        <f t="shared" si="346"/>
        <v>0</v>
      </c>
      <c r="J1735" s="156" t="s">
        <v>19</v>
      </c>
      <c r="K1735" s="1350" t="s">
        <v>839</v>
      </c>
      <c r="L1735" s="158"/>
      <c r="M1735" s="159">
        <v>0</v>
      </c>
      <c r="N1735" s="157">
        <v>0</v>
      </c>
      <c r="O1735" s="82">
        <f t="shared" si="345"/>
        <v>0</v>
      </c>
      <c r="P1735" s="158"/>
      <c r="Q1735" s="1071">
        <f t="shared" si="347"/>
        <v>0</v>
      </c>
    </row>
    <row r="1736" spans="9:17" ht="13.9" x14ac:dyDescent="0.4">
      <c r="I1736" s="1071"/>
      <c r="J1736" s="86" t="s">
        <v>22</v>
      </c>
      <c r="K1736" s="86"/>
      <c r="L1736" s="86"/>
      <c r="M1736" s="81"/>
      <c r="N1736" s="87"/>
      <c r="O1736" s="88">
        <f>SUM(O1729:O1735)</f>
        <v>0</v>
      </c>
      <c r="P1736" s="86"/>
      <c r="Q1736" s="1071"/>
    </row>
    <row r="1737" spans="9:17" ht="13.9" x14ac:dyDescent="0.4">
      <c r="I1737" s="1071"/>
      <c r="J1737" s="83"/>
      <c r="K1737" s="83"/>
      <c r="L1737" s="83"/>
      <c r="M1737" s="89"/>
      <c r="N1737" s="84"/>
      <c r="O1737" s="89"/>
      <c r="P1737" s="83"/>
      <c r="Q1737" s="1071"/>
    </row>
    <row r="1738" spans="9:17" ht="13.9" x14ac:dyDescent="0.4">
      <c r="I1738" s="1071"/>
      <c r="J1738" s="1168" t="str">
        <f>A2_Budget_Look_Up!H31</f>
        <v>Peanuts, Furrow</v>
      </c>
      <c r="K1738" s="1168"/>
      <c r="L1738" s="1168">
        <f>A2_Budget_Look_Up!F31</f>
        <v>29</v>
      </c>
      <c r="M1738" s="1168"/>
      <c r="N1738" s="1168"/>
      <c r="O1738" s="1168"/>
      <c r="P1738" s="1168"/>
      <c r="Q1738" s="1071"/>
    </row>
    <row r="1739" spans="9:17" ht="13.9" x14ac:dyDescent="0.4">
      <c r="I1739" s="1071"/>
      <c r="J1739" s="83"/>
      <c r="K1739" s="83"/>
      <c r="L1739" s="83"/>
      <c r="M1739" s="83"/>
      <c r="N1739" s="84"/>
      <c r="O1739" s="83"/>
      <c r="P1739" s="83"/>
      <c r="Q1739" s="1071"/>
    </row>
    <row r="1740" spans="9:17" ht="13.9" x14ac:dyDescent="0.4">
      <c r="I1740" s="1071"/>
      <c r="J1740" s="78" t="s">
        <v>18</v>
      </c>
      <c r="K1740" s="78"/>
      <c r="L1740" s="78"/>
      <c r="M1740" s="79"/>
      <c r="N1740" s="85"/>
      <c r="O1740" s="79"/>
      <c r="P1740" s="78"/>
      <c r="Q1740" s="1071"/>
    </row>
    <row r="1741" spans="9:17" ht="13.9" x14ac:dyDescent="0.4">
      <c r="I1741" s="1071"/>
      <c r="J1741" s="80" t="s">
        <v>212</v>
      </c>
      <c r="K1741" s="80" t="s">
        <v>838</v>
      </c>
      <c r="L1741" s="80" t="s">
        <v>2</v>
      </c>
      <c r="M1741" s="80" t="s">
        <v>21</v>
      </c>
      <c r="N1741" s="80" t="s">
        <v>174</v>
      </c>
      <c r="O1741" s="80" t="s">
        <v>14</v>
      </c>
      <c r="P1741" s="80" t="s">
        <v>890</v>
      </c>
      <c r="Q1741" s="1071"/>
    </row>
    <row r="1742" spans="9:17" ht="13.9" x14ac:dyDescent="0.4">
      <c r="I1742" s="1073">
        <f>IF($A$1=29,1,0)</f>
        <v>0</v>
      </c>
      <c r="J1742" s="159" t="str">
        <f>A4_Chem_Prices!T$3</f>
        <v>Valor</v>
      </c>
      <c r="K1742" s="1350" t="s">
        <v>839</v>
      </c>
      <c r="L1742" s="158" t="str">
        <f>A4_Chem_Prices!U$3</f>
        <v>oz</v>
      </c>
      <c r="M1742" s="159">
        <f>A4_Chem_Prices!V$3</f>
        <v>5.9375</v>
      </c>
      <c r="N1742" s="159">
        <v>2</v>
      </c>
      <c r="O1742" s="82">
        <f t="shared" ref="O1742:O1755" si="348">M1742*N1742</f>
        <v>11.875</v>
      </c>
      <c r="P1742" s="160">
        <f t="shared" ref="P1742:P1748" si="349">N1742</f>
        <v>2</v>
      </c>
      <c r="Q1742" s="1171">
        <f>IF(SUM(I1742:I1797)=820,L1738,0)</f>
        <v>0</v>
      </c>
    </row>
    <row r="1743" spans="9:17" ht="13.9" x14ac:dyDescent="0.4">
      <c r="I1743" s="1073">
        <f t="shared" ref="I1743:I1755" si="350">IF($A$1=29,I1742+1,0)</f>
        <v>0</v>
      </c>
      <c r="J1743" s="159" t="str">
        <f>A4_Chem_Prices!T$10</f>
        <v>Brake</v>
      </c>
      <c r="K1743" s="1350" t="s">
        <v>839</v>
      </c>
      <c r="L1743" s="158" t="str">
        <f>A4_Chem_Prices!U$10</f>
        <v>oz</v>
      </c>
      <c r="M1743" s="159">
        <f>A4_Chem_Prices!V$10</f>
        <v>1.59375</v>
      </c>
      <c r="N1743" s="159">
        <v>12</v>
      </c>
      <c r="O1743" s="82">
        <f t="shared" si="348"/>
        <v>19.125</v>
      </c>
      <c r="P1743" s="1449">
        <f t="shared" si="349"/>
        <v>12</v>
      </c>
      <c r="Q1743" s="1071">
        <f>Q1742</f>
        <v>0</v>
      </c>
    </row>
    <row r="1744" spans="9:17" ht="13.9" x14ac:dyDescent="0.4">
      <c r="I1744" s="1073">
        <f t="shared" si="350"/>
        <v>0</v>
      </c>
      <c r="J1744" s="159" t="str">
        <f>A4_Chem_Prices!T$4</f>
        <v>Gramoxone</v>
      </c>
      <c r="K1744" s="1350" t="s">
        <v>839</v>
      </c>
      <c r="L1744" s="160" t="str">
        <f>A4_Chem_Prices!U$4</f>
        <v>oz</v>
      </c>
      <c r="M1744" s="159">
        <f>A4_Chem_Prices!V$4</f>
        <v>0.23046875</v>
      </c>
      <c r="N1744" s="157">
        <v>10.67</v>
      </c>
      <c r="O1744" s="82">
        <f t="shared" si="348"/>
        <v>2.4591015624999999</v>
      </c>
      <c r="P1744" s="1449">
        <f t="shared" si="349"/>
        <v>10.67</v>
      </c>
      <c r="Q1744" s="1071">
        <f t="shared" ref="Q1744:Q1755" si="351">Q1743</f>
        <v>0</v>
      </c>
    </row>
    <row r="1745" spans="9:17" ht="13.9" x14ac:dyDescent="0.4">
      <c r="I1745" s="1073">
        <f t="shared" si="350"/>
        <v>0</v>
      </c>
      <c r="J1745" s="159" t="str">
        <f>A4_Chem_Prices!T$8</f>
        <v>Zidua</v>
      </c>
      <c r="K1745" s="1350" t="s">
        <v>839</v>
      </c>
      <c r="L1745" s="158" t="str">
        <f>A4_Chem_Prices!U$8</f>
        <v>oz</v>
      </c>
      <c r="M1745" s="159">
        <f>A4_Chem_Prices!V$8</f>
        <v>5.7421875</v>
      </c>
      <c r="N1745" s="157">
        <v>3.25</v>
      </c>
      <c r="O1745" s="82">
        <f t="shared" si="348"/>
        <v>18.662109375</v>
      </c>
      <c r="P1745" s="160">
        <f t="shared" si="349"/>
        <v>3.25</v>
      </c>
      <c r="Q1745" s="1071">
        <f t="shared" si="351"/>
        <v>0</v>
      </c>
    </row>
    <row r="1746" spans="9:17" ht="13.9" x14ac:dyDescent="0.4">
      <c r="I1746" s="1073">
        <f t="shared" si="350"/>
        <v>0</v>
      </c>
      <c r="J1746" s="159" t="str">
        <f>A4_Chem_Prices!T$11</f>
        <v>Basagran</v>
      </c>
      <c r="K1746" s="1350" t="s">
        <v>839</v>
      </c>
      <c r="L1746" s="160" t="str">
        <f>A4_Chem_Prices!U$11</f>
        <v>oz</v>
      </c>
      <c r="M1746" s="159">
        <f>A4_Chem_Prices!V$11</f>
        <v>4.1904296874999997E-2</v>
      </c>
      <c r="N1746" s="157">
        <v>8</v>
      </c>
      <c r="O1746" s="82">
        <f t="shared" si="348"/>
        <v>0.33523437499999997</v>
      </c>
      <c r="P1746" s="160">
        <f t="shared" si="349"/>
        <v>8</v>
      </c>
      <c r="Q1746" s="1071">
        <f t="shared" si="351"/>
        <v>0</v>
      </c>
    </row>
    <row r="1747" spans="9:17" ht="13.9" x14ac:dyDescent="0.4">
      <c r="I1747" s="1073">
        <f t="shared" si="350"/>
        <v>0</v>
      </c>
      <c r="J1747" s="159" t="str">
        <f>A4_Chem_Prices!T$9</f>
        <v>Select</v>
      </c>
      <c r="K1747" s="1350" t="s">
        <v>839</v>
      </c>
      <c r="L1747" s="160" t="str">
        <f>A4_Chem_Prices!U$9</f>
        <v>oz</v>
      </c>
      <c r="M1747" s="159">
        <f>A4_Chem_Prices!V$9</f>
        <v>0.27396484375000002</v>
      </c>
      <c r="N1747" s="157">
        <v>16</v>
      </c>
      <c r="O1747" s="82">
        <f t="shared" si="348"/>
        <v>4.3834375000000003</v>
      </c>
      <c r="P1747" s="160">
        <f t="shared" si="349"/>
        <v>16</v>
      </c>
      <c r="Q1747" s="1071">
        <f t="shared" si="351"/>
        <v>0</v>
      </c>
    </row>
    <row r="1748" spans="9:17" ht="13.9" x14ac:dyDescent="0.4">
      <c r="I1748" s="1073">
        <f t="shared" si="350"/>
        <v>0</v>
      </c>
      <c r="J1748" s="159" t="str">
        <f>A4_Chem_Prices!T$12</f>
        <v>Outlook</v>
      </c>
      <c r="K1748" s="1350" t="s">
        <v>839</v>
      </c>
      <c r="L1748" s="160" t="str">
        <f>A4_Chem_Prices!U$12</f>
        <v>oz</v>
      </c>
      <c r="M1748" s="159">
        <f>A4_Chem_Prices!V$12</f>
        <v>0.984375</v>
      </c>
      <c r="N1748" s="157">
        <v>16</v>
      </c>
      <c r="O1748" s="82">
        <f t="shared" si="348"/>
        <v>15.75</v>
      </c>
      <c r="P1748" s="160">
        <f t="shared" si="349"/>
        <v>16</v>
      </c>
      <c r="Q1748" s="1071">
        <f t="shared" si="351"/>
        <v>0</v>
      </c>
    </row>
    <row r="1749" spans="9:17" ht="13.9" x14ac:dyDescent="0.4">
      <c r="I1749" s="1073">
        <f t="shared" si="350"/>
        <v>0</v>
      </c>
      <c r="J1749" s="159" t="str">
        <f>A4_Chem_Prices!T$7</f>
        <v>2,4-DB</v>
      </c>
      <c r="K1749" s="1350" t="s">
        <v>839</v>
      </c>
      <c r="L1749" s="160" t="str">
        <f>A4_Chem_Prices!U$7</f>
        <v>pt</v>
      </c>
      <c r="M1749" s="159">
        <f>A4_Chem_Prices!V$7</f>
        <v>4.375</v>
      </c>
      <c r="N1749" s="157">
        <v>0.8</v>
      </c>
      <c r="O1749" s="82">
        <f t="shared" si="348"/>
        <v>3.5</v>
      </c>
      <c r="P1749" s="160">
        <f>N1749*16</f>
        <v>12.8</v>
      </c>
      <c r="Q1749" s="1071">
        <f t="shared" si="351"/>
        <v>0</v>
      </c>
    </row>
    <row r="1750" spans="9:17" ht="13.9" x14ac:dyDescent="0.4">
      <c r="I1750" s="1073">
        <f t="shared" si="350"/>
        <v>0</v>
      </c>
      <c r="J1750" s="159" t="s">
        <v>19</v>
      </c>
      <c r="K1750" s="1350" t="s">
        <v>839</v>
      </c>
      <c r="L1750" s="160"/>
      <c r="M1750" s="159">
        <v>0</v>
      </c>
      <c r="N1750" s="157">
        <v>0</v>
      </c>
      <c r="O1750" s="82">
        <f t="shared" si="348"/>
        <v>0</v>
      </c>
      <c r="P1750" s="160"/>
      <c r="Q1750" s="1071">
        <f t="shared" si="351"/>
        <v>0</v>
      </c>
    </row>
    <row r="1751" spans="9:17" ht="13.9" x14ac:dyDescent="0.4">
      <c r="I1751" s="1073">
        <f t="shared" si="350"/>
        <v>0</v>
      </c>
      <c r="J1751" s="159" t="s">
        <v>19</v>
      </c>
      <c r="K1751" s="1350" t="s">
        <v>839</v>
      </c>
      <c r="L1751" s="160"/>
      <c r="M1751" s="159">
        <v>0</v>
      </c>
      <c r="N1751" s="157">
        <v>0</v>
      </c>
      <c r="O1751" s="82">
        <f t="shared" si="348"/>
        <v>0</v>
      </c>
      <c r="P1751" s="160"/>
      <c r="Q1751" s="1071">
        <f t="shared" si="351"/>
        <v>0</v>
      </c>
    </row>
    <row r="1752" spans="9:17" ht="13.9" x14ac:dyDescent="0.4">
      <c r="I1752" s="1073">
        <f t="shared" si="350"/>
        <v>0</v>
      </c>
      <c r="J1752" s="159" t="s">
        <v>19</v>
      </c>
      <c r="K1752" s="1350" t="s">
        <v>839</v>
      </c>
      <c r="L1752" s="160"/>
      <c r="M1752" s="159">
        <v>0</v>
      </c>
      <c r="N1752" s="157">
        <v>0</v>
      </c>
      <c r="O1752" s="82">
        <f t="shared" si="348"/>
        <v>0</v>
      </c>
      <c r="P1752" s="160"/>
      <c r="Q1752" s="1071">
        <f t="shared" si="351"/>
        <v>0</v>
      </c>
    </row>
    <row r="1753" spans="9:17" ht="13.9" x14ac:dyDescent="0.4">
      <c r="I1753" s="1073">
        <f t="shared" si="350"/>
        <v>0</v>
      </c>
      <c r="J1753" s="159" t="s">
        <v>19</v>
      </c>
      <c r="K1753" s="1350" t="s">
        <v>839</v>
      </c>
      <c r="L1753" s="160"/>
      <c r="M1753" s="159">
        <v>0</v>
      </c>
      <c r="N1753" s="157">
        <v>0</v>
      </c>
      <c r="O1753" s="82">
        <f t="shared" si="348"/>
        <v>0</v>
      </c>
      <c r="P1753" s="160"/>
      <c r="Q1753" s="1071">
        <f t="shared" si="351"/>
        <v>0</v>
      </c>
    </row>
    <row r="1754" spans="9:17" ht="13.9" x14ac:dyDescent="0.4">
      <c r="I1754" s="1073">
        <f t="shared" si="350"/>
        <v>0</v>
      </c>
      <c r="J1754" s="159" t="s">
        <v>19</v>
      </c>
      <c r="K1754" s="1350" t="s">
        <v>839</v>
      </c>
      <c r="L1754" s="160"/>
      <c r="M1754" s="159">
        <v>0</v>
      </c>
      <c r="N1754" s="157">
        <v>0</v>
      </c>
      <c r="O1754" s="82">
        <f t="shared" si="348"/>
        <v>0</v>
      </c>
      <c r="P1754" s="160"/>
      <c r="Q1754" s="1071">
        <f t="shared" si="351"/>
        <v>0</v>
      </c>
    </row>
    <row r="1755" spans="9:17" ht="13.9" x14ac:dyDescent="0.4">
      <c r="I1755" s="1073">
        <f t="shared" si="350"/>
        <v>0</v>
      </c>
      <c r="J1755" s="159" t="s">
        <v>19</v>
      </c>
      <c r="K1755" s="1350" t="s">
        <v>839</v>
      </c>
      <c r="L1755" s="160"/>
      <c r="M1755" s="159">
        <v>0</v>
      </c>
      <c r="N1755" s="157">
        <v>0</v>
      </c>
      <c r="O1755" s="82">
        <f t="shared" si="348"/>
        <v>0</v>
      </c>
      <c r="P1755" s="160"/>
      <c r="Q1755" s="1071">
        <f t="shared" si="351"/>
        <v>0</v>
      </c>
    </row>
    <row r="1756" spans="9:17" ht="13.9" x14ac:dyDescent="0.4">
      <c r="I1756" s="1071"/>
      <c r="J1756" s="86" t="s">
        <v>22</v>
      </c>
      <c r="K1756" s="86"/>
      <c r="L1756" s="86"/>
      <c r="M1756" s="81"/>
      <c r="N1756" s="87"/>
      <c r="O1756" s="88">
        <f>SUM(O1742:O1755)</f>
        <v>76.089882812500008</v>
      </c>
      <c r="P1756" s="86"/>
      <c r="Q1756" s="1071"/>
    </row>
    <row r="1757" spans="9:17" ht="13.9" x14ac:dyDescent="0.4">
      <c r="I1757" s="1071"/>
      <c r="J1757" s="83"/>
      <c r="K1757" s="83"/>
      <c r="L1757" s="83"/>
      <c r="M1757" s="83"/>
      <c r="N1757" s="84"/>
      <c r="O1757" s="83"/>
      <c r="P1757" s="83"/>
      <c r="Q1757" s="1071"/>
    </row>
    <row r="1758" spans="9:17" ht="13.9" x14ac:dyDescent="0.4">
      <c r="I1758" s="1071"/>
      <c r="J1758" s="78" t="s">
        <v>20</v>
      </c>
      <c r="K1758" s="78"/>
      <c r="L1758" s="78"/>
      <c r="M1758" s="79"/>
      <c r="N1758" s="85"/>
      <c r="O1758" s="79"/>
      <c r="P1758" s="78"/>
      <c r="Q1758" s="1071"/>
    </row>
    <row r="1759" spans="9:17" ht="13.9" x14ac:dyDescent="0.4">
      <c r="I1759" s="1071"/>
      <c r="J1759" s="80" t="s">
        <v>212</v>
      </c>
      <c r="K1759" s="80" t="s">
        <v>838</v>
      </c>
      <c r="L1759" s="80" t="s">
        <v>2</v>
      </c>
      <c r="M1759" s="80" t="s">
        <v>21</v>
      </c>
      <c r="N1759" s="80" t="s">
        <v>174</v>
      </c>
      <c r="O1759" s="80" t="s">
        <v>14</v>
      </c>
      <c r="P1759" s="80" t="s">
        <v>890</v>
      </c>
      <c r="Q1759" s="1071"/>
    </row>
    <row r="1760" spans="9:17" ht="13.9" x14ac:dyDescent="0.4">
      <c r="I1760" s="1073">
        <f>IF($A$1=29,I1755+1,0)</f>
        <v>0</v>
      </c>
      <c r="J1760" s="159" t="str">
        <f>A4_Chem_Prices!T$18</f>
        <v>Admire Pro, furrow</v>
      </c>
      <c r="K1760" s="1350" t="s">
        <v>973</v>
      </c>
      <c r="L1760" s="160" t="str">
        <f>A4_Chem_Prices!U$18</f>
        <v>oz</v>
      </c>
      <c r="M1760" s="159">
        <f>A4_Chem_Prices!V$18</f>
        <v>2.56</v>
      </c>
      <c r="N1760" s="157">
        <v>9</v>
      </c>
      <c r="O1760" s="82">
        <f t="shared" ref="O1760:O1769" si="352">M1760*N1760</f>
        <v>23.04</v>
      </c>
      <c r="P1760" s="1449">
        <f>N1760</f>
        <v>9</v>
      </c>
      <c r="Q1760" s="1071">
        <f>Q1742</f>
        <v>0</v>
      </c>
    </row>
    <row r="1761" spans="9:17" ht="13.9" x14ac:dyDescent="0.4">
      <c r="I1761" s="1073">
        <f t="shared" ref="I1761:I1769" si="353">IF($A$1=29,I1760+1,0)</f>
        <v>0</v>
      </c>
      <c r="J1761" s="159" t="s">
        <v>19</v>
      </c>
      <c r="K1761" s="1350" t="s">
        <v>839</v>
      </c>
      <c r="L1761" s="160"/>
      <c r="M1761" s="159">
        <v>0</v>
      </c>
      <c r="N1761" s="157">
        <v>0</v>
      </c>
      <c r="O1761" s="82">
        <f t="shared" si="352"/>
        <v>0</v>
      </c>
      <c r="P1761" s="160"/>
      <c r="Q1761" s="1071">
        <f>Q1760</f>
        <v>0</v>
      </c>
    </row>
    <row r="1762" spans="9:17" ht="13.9" x14ac:dyDescent="0.4">
      <c r="I1762" s="1073">
        <f t="shared" si="353"/>
        <v>0</v>
      </c>
      <c r="J1762" s="159" t="s">
        <v>19</v>
      </c>
      <c r="K1762" s="1350" t="s">
        <v>839</v>
      </c>
      <c r="L1762" s="160"/>
      <c r="M1762" s="159">
        <v>0</v>
      </c>
      <c r="N1762" s="157">
        <v>0</v>
      </c>
      <c r="O1762" s="82">
        <f t="shared" si="352"/>
        <v>0</v>
      </c>
      <c r="P1762" s="160"/>
      <c r="Q1762" s="1071">
        <f t="shared" ref="Q1762:Q1769" si="354">Q1761</f>
        <v>0</v>
      </c>
    </row>
    <row r="1763" spans="9:17" ht="13.9" x14ac:dyDescent="0.4">
      <c r="I1763" s="1073">
        <f t="shared" si="353"/>
        <v>0</v>
      </c>
      <c r="J1763" s="159" t="s">
        <v>19</v>
      </c>
      <c r="K1763" s="1350" t="s">
        <v>839</v>
      </c>
      <c r="L1763" s="160"/>
      <c r="M1763" s="159">
        <v>0</v>
      </c>
      <c r="N1763" s="157">
        <v>0</v>
      </c>
      <c r="O1763" s="82">
        <f t="shared" si="352"/>
        <v>0</v>
      </c>
      <c r="P1763" s="160"/>
      <c r="Q1763" s="1071">
        <f t="shared" si="354"/>
        <v>0</v>
      </c>
    </row>
    <row r="1764" spans="9:17" ht="13.9" x14ac:dyDescent="0.4">
      <c r="I1764" s="1073">
        <f t="shared" si="353"/>
        <v>0</v>
      </c>
      <c r="J1764" s="159" t="s">
        <v>19</v>
      </c>
      <c r="K1764" s="1350" t="s">
        <v>839</v>
      </c>
      <c r="L1764" s="160"/>
      <c r="M1764" s="159">
        <v>0</v>
      </c>
      <c r="N1764" s="157">
        <v>0</v>
      </c>
      <c r="O1764" s="82">
        <f t="shared" si="352"/>
        <v>0</v>
      </c>
      <c r="P1764" s="158"/>
      <c r="Q1764" s="1071">
        <f t="shared" si="354"/>
        <v>0</v>
      </c>
    </row>
    <row r="1765" spans="9:17" ht="13.9" x14ac:dyDescent="0.4">
      <c r="I1765" s="1073">
        <f t="shared" si="353"/>
        <v>0</v>
      </c>
      <c r="J1765" s="159" t="s">
        <v>19</v>
      </c>
      <c r="K1765" s="1350" t="s">
        <v>839</v>
      </c>
      <c r="L1765" s="160"/>
      <c r="M1765" s="159">
        <v>0</v>
      </c>
      <c r="N1765" s="157">
        <v>0</v>
      </c>
      <c r="O1765" s="82">
        <f t="shared" si="352"/>
        <v>0</v>
      </c>
      <c r="P1765" s="158"/>
      <c r="Q1765" s="1071">
        <f t="shared" si="354"/>
        <v>0</v>
      </c>
    </row>
    <row r="1766" spans="9:17" ht="13.9" x14ac:dyDescent="0.4">
      <c r="I1766" s="1073">
        <f t="shared" si="353"/>
        <v>0</v>
      </c>
      <c r="J1766" s="159" t="s">
        <v>19</v>
      </c>
      <c r="K1766" s="1350" t="s">
        <v>839</v>
      </c>
      <c r="L1766" s="160"/>
      <c r="M1766" s="159">
        <v>0</v>
      </c>
      <c r="N1766" s="157">
        <v>0</v>
      </c>
      <c r="O1766" s="82">
        <f t="shared" si="352"/>
        <v>0</v>
      </c>
      <c r="P1766" s="158"/>
      <c r="Q1766" s="1071">
        <f t="shared" si="354"/>
        <v>0</v>
      </c>
    </row>
    <row r="1767" spans="9:17" ht="13.9" x14ac:dyDescent="0.4">
      <c r="I1767" s="1073">
        <f t="shared" si="353"/>
        <v>0</v>
      </c>
      <c r="J1767" s="159" t="s">
        <v>19</v>
      </c>
      <c r="K1767" s="1350" t="s">
        <v>839</v>
      </c>
      <c r="L1767" s="160"/>
      <c r="M1767" s="159">
        <v>0</v>
      </c>
      <c r="N1767" s="157">
        <v>0</v>
      </c>
      <c r="O1767" s="82">
        <f t="shared" si="352"/>
        <v>0</v>
      </c>
      <c r="P1767" s="158"/>
      <c r="Q1767" s="1071">
        <f t="shared" si="354"/>
        <v>0</v>
      </c>
    </row>
    <row r="1768" spans="9:17" ht="13.9" x14ac:dyDescent="0.4">
      <c r="I1768" s="1073">
        <f t="shared" si="353"/>
        <v>0</v>
      </c>
      <c r="J1768" s="159" t="s">
        <v>19</v>
      </c>
      <c r="K1768" s="1350" t="s">
        <v>839</v>
      </c>
      <c r="L1768" s="160"/>
      <c r="M1768" s="159">
        <v>0</v>
      </c>
      <c r="N1768" s="157">
        <v>0</v>
      </c>
      <c r="O1768" s="82">
        <f t="shared" si="352"/>
        <v>0</v>
      </c>
      <c r="P1768" s="158"/>
      <c r="Q1768" s="1071">
        <f t="shared" si="354"/>
        <v>0</v>
      </c>
    </row>
    <row r="1769" spans="9:17" ht="13.9" x14ac:dyDescent="0.4">
      <c r="I1769" s="1073">
        <f t="shared" si="353"/>
        <v>0</v>
      </c>
      <c r="J1769" s="159" t="s">
        <v>19</v>
      </c>
      <c r="K1769" s="1350" t="s">
        <v>839</v>
      </c>
      <c r="L1769" s="160"/>
      <c r="M1769" s="159">
        <v>0</v>
      </c>
      <c r="N1769" s="157">
        <v>0</v>
      </c>
      <c r="O1769" s="82">
        <f t="shared" si="352"/>
        <v>0</v>
      </c>
      <c r="P1769" s="158"/>
      <c r="Q1769" s="1071">
        <f t="shared" si="354"/>
        <v>0</v>
      </c>
    </row>
    <row r="1770" spans="9:17" ht="13.9" x14ac:dyDescent="0.4">
      <c r="I1770" s="1071"/>
      <c r="J1770" s="86" t="s">
        <v>22</v>
      </c>
      <c r="K1770" s="86"/>
      <c r="L1770" s="86"/>
      <c r="M1770" s="81"/>
      <c r="N1770" s="87"/>
      <c r="O1770" s="88">
        <f>SUM(O1760:O1769)</f>
        <v>23.04</v>
      </c>
      <c r="P1770" s="86"/>
      <c r="Q1770" s="1071"/>
    </row>
    <row r="1771" spans="9:17" ht="13.9" x14ac:dyDescent="0.4">
      <c r="I1771" s="1071"/>
      <c r="J1771" s="83"/>
      <c r="K1771" s="83"/>
      <c r="L1771" s="83"/>
      <c r="M1771" s="83"/>
      <c r="N1771" s="84"/>
      <c r="O1771" s="83"/>
      <c r="P1771" s="83"/>
      <c r="Q1771" s="1071"/>
    </row>
    <row r="1772" spans="9:17" ht="13.9" x14ac:dyDescent="0.4">
      <c r="I1772" s="1071"/>
      <c r="J1772" s="78" t="str">
        <f>IF(OR(A2_Budget_Look_Up!$B$7=1,A2_Budget_Look_Up!$B$13=1),"Nematicide Detail", "Fungicide Detail")</f>
        <v>Fungicide Detail</v>
      </c>
      <c r="K1772" s="78"/>
      <c r="L1772" s="78"/>
      <c r="M1772" s="79"/>
      <c r="N1772" s="85"/>
      <c r="O1772" s="79"/>
      <c r="P1772" s="78"/>
      <c r="Q1772" s="1071"/>
    </row>
    <row r="1773" spans="9:17" ht="13.9" x14ac:dyDescent="0.4">
      <c r="I1773" s="1071"/>
      <c r="J1773" s="80" t="s">
        <v>212</v>
      </c>
      <c r="K1773" s="80" t="s">
        <v>838</v>
      </c>
      <c r="L1773" s="80" t="s">
        <v>2</v>
      </c>
      <c r="M1773" s="80" t="s">
        <v>21</v>
      </c>
      <c r="N1773" s="80" t="s">
        <v>174</v>
      </c>
      <c r="O1773" s="80" t="s">
        <v>14</v>
      </c>
      <c r="P1773" s="80" t="s">
        <v>890</v>
      </c>
      <c r="Q1773" s="1071"/>
    </row>
    <row r="1774" spans="9:17" ht="13.9" x14ac:dyDescent="0.4">
      <c r="I1774" s="1073">
        <f>IF($A$1=29,I1769+1,0)</f>
        <v>0</v>
      </c>
      <c r="J1774" s="159" t="s">
        <v>19</v>
      </c>
      <c r="K1774" s="1350" t="s">
        <v>839</v>
      </c>
      <c r="L1774" s="160"/>
      <c r="M1774" s="159">
        <v>0</v>
      </c>
      <c r="N1774" s="157">
        <v>0</v>
      </c>
      <c r="O1774" s="82">
        <f>M1774*N1774</f>
        <v>0</v>
      </c>
      <c r="P1774" s="158"/>
      <c r="Q1774" s="1071">
        <f>Q1769</f>
        <v>0</v>
      </c>
    </row>
    <row r="1775" spans="9:17" ht="13.9" x14ac:dyDescent="0.4">
      <c r="I1775" s="1073">
        <f>IF($A$1=29,I1774+1,0)</f>
        <v>0</v>
      </c>
      <c r="J1775" s="159" t="s">
        <v>19</v>
      </c>
      <c r="K1775" s="1350" t="s">
        <v>839</v>
      </c>
      <c r="L1775" s="160"/>
      <c r="M1775" s="159">
        <v>0</v>
      </c>
      <c r="N1775" s="157">
        <v>0</v>
      </c>
      <c r="O1775" s="82">
        <f>M1775*N1775</f>
        <v>0</v>
      </c>
      <c r="P1775" s="158"/>
      <c r="Q1775" s="1071">
        <f>Q1774</f>
        <v>0</v>
      </c>
    </row>
    <row r="1776" spans="9:17" ht="13.9" x14ac:dyDescent="0.4">
      <c r="I1776" s="1071"/>
      <c r="J1776" s="86" t="s">
        <v>22</v>
      </c>
      <c r="K1776" s="86"/>
      <c r="L1776" s="86"/>
      <c r="M1776" s="81"/>
      <c r="N1776" s="87"/>
      <c r="O1776" s="88">
        <f>SUM(O1774:O1775)</f>
        <v>0</v>
      </c>
      <c r="P1776" s="86"/>
      <c r="Q1776" s="1071"/>
    </row>
    <row r="1778" spans="9:17" ht="13.9" x14ac:dyDescent="0.4">
      <c r="I1778" s="1071"/>
      <c r="J1778" s="78" t="str">
        <f>IF(A2_Budget_Look_Up!$B$7=1,"Growth Regulator Detail", IF(A2_Budget_Look_Up!$B$13=1,"Fungicide Detail","Other Chemical Detail"))</f>
        <v>Other Chemical Detail</v>
      </c>
      <c r="K1778" s="78"/>
      <c r="L1778" s="78"/>
      <c r="M1778" s="79"/>
      <c r="N1778" s="85"/>
      <c r="O1778" s="79"/>
      <c r="P1778" s="78"/>
      <c r="Q1778" s="1071"/>
    </row>
    <row r="1779" spans="9:17" ht="13.9" x14ac:dyDescent="0.4">
      <c r="I1779" s="1071"/>
      <c r="J1779" s="80" t="s">
        <v>212</v>
      </c>
      <c r="K1779" s="80" t="s">
        <v>838</v>
      </c>
      <c r="L1779" s="80" t="s">
        <v>2</v>
      </c>
      <c r="M1779" s="80" t="s">
        <v>21</v>
      </c>
      <c r="N1779" s="80" t="s">
        <v>174</v>
      </c>
      <c r="O1779" s="80" t="s">
        <v>14</v>
      </c>
      <c r="P1779" s="80" t="s">
        <v>890</v>
      </c>
      <c r="Q1779" s="1071"/>
    </row>
    <row r="1780" spans="9:17" ht="13.9" x14ac:dyDescent="0.4">
      <c r="I1780" s="1073">
        <f>IF($A$1=29,I1775+1,0)</f>
        <v>0</v>
      </c>
      <c r="J1780" s="156" t="str">
        <f>A4_Chem_Prices!T$32</f>
        <v>Musle ADV</v>
      </c>
      <c r="K1780" s="1350" t="s">
        <v>839</v>
      </c>
      <c r="L1780" s="158" t="str">
        <f>A4_Chem_Prices!U$32</f>
        <v>pt</v>
      </c>
      <c r="M1780" s="159">
        <f>A4_Chem_Prices!V$32</f>
        <v>4.4937500000000004</v>
      </c>
      <c r="N1780" s="157">
        <v>2</v>
      </c>
      <c r="O1780" s="82">
        <f t="shared" ref="O1780:O1786" si="355">M1780*N1780</f>
        <v>8.9875000000000007</v>
      </c>
      <c r="P1780" s="160">
        <f>N1780</f>
        <v>2</v>
      </c>
      <c r="Q1780" s="1071">
        <f>Q1775</f>
        <v>0</v>
      </c>
    </row>
    <row r="1781" spans="9:17" ht="13.9" x14ac:dyDescent="0.4">
      <c r="I1781" s="1073">
        <f t="shared" ref="I1781:I1786" si="356">IF($A$1=29,I1780+1,0)</f>
        <v>0</v>
      </c>
      <c r="J1781" s="156" t="str">
        <f>A4_Chem_Prices!T$33</f>
        <v>Convoy</v>
      </c>
      <c r="K1781" s="1350" t="s">
        <v>839</v>
      </c>
      <c r="L1781" s="158" t="str">
        <f>A4_Chem_Prices!U$33</f>
        <v>oz</v>
      </c>
      <c r="M1781" s="159">
        <f>A4_Chem_Prices!V$33</f>
        <v>23.04</v>
      </c>
      <c r="N1781" s="157">
        <v>1.5</v>
      </c>
      <c r="O1781" s="82">
        <f t="shared" si="355"/>
        <v>34.56</v>
      </c>
      <c r="P1781" s="160">
        <f>N1781*16</f>
        <v>24</v>
      </c>
      <c r="Q1781" s="1071">
        <f t="shared" ref="Q1781:Q1786" si="357">Q1780</f>
        <v>0</v>
      </c>
    </row>
    <row r="1782" spans="9:17" ht="13.9" x14ac:dyDescent="0.4">
      <c r="I1782" s="1073">
        <f t="shared" si="356"/>
        <v>0</v>
      </c>
      <c r="J1782" s="156" t="str">
        <f>A4_Chem_Prices!T$32</f>
        <v>Musle ADV</v>
      </c>
      <c r="K1782" s="1350" t="s">
        <v>839</v>
      </c>
      <c r="L1782" s="158" t="str">
        <f>A4_Chem_Prices!U$32</f>
        <v>pt</v>
      </c>
      <c r="M1782" s="159">
        <f>A4_Chem_Prices!V$32</f>
        <v>4.4937500000000004</v>
      </c>
      <c r="N1782" s="157">
        <v>2</v>
      </c>
      <c r="O1782" s="82">
        <f t="shared" si="355"/>
        <v>8.9875000000000007</v>
      </c>
      <c r="P1782" s="160">
        <f>N1782*16</f>
        <v>32</v>
      </c>
      <c r="Q1782" s="1071">
        <f t="shared" si="357"/>
        <v>0</v>
      </c>
    </row>
    <row r="1783" spans="9:17" ht="13.9" x14ac:dyDescent="0.4">
      <c r="I1783" s="1073">
        <f t="shared" si="356"/>
        <v>0</v>
      </c>
      <c r="J1783" s="156" t="s">
        <v>19</v>
      </c>
      <c r="K1783" s="1350" t="s">
        <v>839</v>
      </c>
      <c r="L1783" s="158"/>
      <c r="M1783" s="159">
        <v>0</v>
      </c>
      <c r="N1783" s="157">
        <v>0</v>
      </c>
      <c r="O1783" s="82">
        <f t="shared" si="355"/>
        <v>0</v>
      </c>
      <c r="P1783" s="160"/>
      <c r="Q1783" s="1071">
        <f t="shared" si="357"/>
        <v>0</v>
      </c>
    </row>
    <row r="1784" spans="9:17" ht="13.9" x14ac:dyDescent="0.4">
      <c r="I1784" s="1073">
        <f t="shared" si="356"/>
        <v>0</v>
      </c>
      <c r="J1784" s="156" t="s">
        <v>19</v>
      </c>
      <c r="K1784" s="1350" t="s">
        <v>839</v>
      </c>
      <c r="L1784" s="158"/>
      <c r="M1784" s="159">
        <v>0</v>
      </c>
      <c r="N1784" s="157">
        <v>0</v>
      </c>
      <c r="O1784" s="82">
        <f t="shared" si="355"/>
        <v>0</v>
      </c>
      <c r="P1784" s="158"/>
      <c r="Q1784" s="1071">
        <f t="shared" si="357"/>
        <v>0</v>
      </c>
    </row>
    <row r="1785" spans="9:17" ht="13.9" x14ac:dyDescent="0.4">
      <c r="I1785" s="1073">
        <f t="shared" si="356"/>
        <v>0</v>
      </c>
      <c r="J1785" s="156" t="s">
        <v>19</v>
      </c>
      <c r="K1785" s="1350" t="s">
        <v>839</v>
      </c>
      <c r="L1785" s="158"/>
      <c r="M1785" s="159">
        <v>0</v>
      </c>
      <c r="N1785" s="157">
        <v>0</v>
      </c>
      <c r="O1785" s="82">
        <f t="shared" si="355"/>
        <v>0</v>
      </c>
      <c r="P1785" s="158"/>
      <c r="Q1785" s="1071">
        <f t="shared" si="357"/>
        <v>0</v>
      </c>
    </row>
    <row r="1786" spans="9:17" ht="13.9" x14ac:dyDescent="0.4">
      <c r="I1786" s="1073">
        <f t="shared" si="356"/>
        <v>0</v>
      </c>
      <c r="J1786" s="156" t="s">
        <v>19</v>
      </c>
      <c r="K1786" s="1350" t="s">
        <v>839</v>
      </c>
      <c r="L1786" s="158"/>
      <c r="M1786" s="159">
        <v>0</v>
      </c>
      <c r="N1786" s="157">
        <v>0</v>
      </c>
      <c r="O1786" s="82">
        <f t="shared" si="355"/>
        <v>0</v>
      </c>
      <c r="P1786" s="158"/>
      <c r="Q1786" s="1071">
        <f t="shared" si="357"/>
        <v>0</v>
      </c>
    </row>
    <row r="1787" spans="9:17" ht="13.9" x14ac:dyDescent="0.4">
      <c r="I1787" s="1071"/>
      <c r="J1787" s="86" t="s">
        <v>22</v>
      </c>
      <c r="K1787" s="86"/>
      <c r="L1787" s="86"/>
      <c r="M1787" s="81"/>
      <c r="N1787" s="87"/>
      <c r="O1787" s="88">
        <f>SUM(O1780:O1786)</f>
        <v>52.534999999999997</v>
      </c>
      <c r="P1787" s="86"/>
      <c r="Q1787" s="1071"/>
    </row>
    <row r="1788" spans="9:17" ht="13.9" x14ac:dyDescent="0.4">
      <c r="I1788" s="1071"/>
      <c r="J1788" s="83"/>
      <c r="K1788" s="83"/>
      <c r="L1788" s="83"/>
      <c r="M1788" s="83"/>
      <c r="N1788" s="84"/>
      <c r="O1788" s="83"/>
      <c r="P1788" s="83"/>
      <c r="Q1788" s="1071"/>
    </row>
    <row r="1789" spans="9:17" ht="13.9" x14ac:dyDescent="0.4">
      <c r="I1789" s="1071"/>
      <c r="J1789" s="78" t="str">
        <f>IF(A2_Budget_Look_Up!$B$7=1,"Defoliant Detail", "Other Chemical Detail")</f>
        <v>Other Chemical Detail</v>
      </c>
      <c r="K1789" s="78"/>
      <c r="L1789" s="78"/>
      <c r="M1789" s="79"/>
      <c r="N1789" s="85"/>
      <c r="O1789" s="79"/>
      <c r="P1789" s="78"/>
      <c r="Q1789" s="1071"/>
    </row>
    <row r="1790" spans="9:17" ht="13.9" x14ac:dyDescent="0.4">
      <c r="I1790" s="1071"/>
      <c r="J1790" s="80" t="s">
        <v>212</v>
      </c>
      <c r="K1790" s="80" t="s">
        <v>838</v>
      </c>
      <c r="L1790" s="80" t="s">
        <v>2</v>
      </c>
      <c r="M1790" s="80" t="s">
        <v>21</v>
      </c>
      <c r="N1790" s="80" t="s">
        <v>174</v>
      </c>
      <c r="O1790" s="80" t="s">
        <v>14</v>
      </c>
      <c r="P1790" s="80" t="s">
        <v>890</v>
      </c>
      <c r="Q1790" s="1071"/>
    </row>
    <row r="1791" spans="9:17" ht="13.9" x14ac:dyDescent="0.4">
      <c r="I1791" s="1073">
        <f>IF($A$1=29,I1786+1,0)</f>
        <v>0</v>
      </c>
      <c r="J1791" s="156" t="str">
        <f>A4_Chem_Prices!T$38</f>
        <v>Optimize LIFT</v>
      </c>
      <c r="K1791" s="1538" t="s">
        <v>976</v>
      </c>
      <c r="L1791" s="158" t="str">
        <f>A4_Chem_Prices!U$38</f>
        <v>oz</v>
      </c>
      <c r="M1791" s="159">
        <f>A4_Chem_Prices!V$38</f>
        <v>0.15</v>
      </c>
      <c r="N1791" s="157">
        <v>8</v>
      </c>
      <c r="O1791" s="82">
        <f t="shared" ref="O1791:O1797" si="358">M1791*N1791</f>
        <v>1.2</v>
      </c>
      <c r="P1791" s="160">
        <f>N1791</f>
        <v>8</v>
      </c>
      <c r="Q1791" s="1071">
        <f>Q1786</f>
        <v>0</v>
      </c>
    </row>
    <row r="1792" spans="9:17" ht="13.9" x14ac:dyDescent="0.4">
      <c r="I1792" s="1073">
        <f t="shared" ref="I1792:I1797" si="359">IF($A$1=29,I1791+1,0)</f>
        <v>0</v>
      </c>
      <c r="J1792" s="156" t="s">
        <v>19</v>
      </c>
      <c r="K1792" s="1350" t="s">
        <v>839</v>
      </c>
      <c r="L1792" s="158"/>
      <c r="M1792" s="159">
        <v>0</v>
      </c>
      <c r="N1792" s="157">
        <v>0</v>
      </c>
      <c r="O1792" s="82">
        <f t="shared" si="358"/>
        <v>0</v>
      </c>
      <c r="P1792" s="160"/>
      <c r="Q1792" s="1071">
        <f t="shared" ref="Q1792:Q1797" si="360">Q1791</f>
        <v>0</v>
      </c>
    </row>
    <row r="1793" spans="9:17" ht="13.9" x14ac:dyDescent="0.4">
      <c r="I1793" s="1073">
        <f t="shared" si="359"/>
        <v>0</v>
      </c>
      <c r="J1793" s="156" t="s">
        <v>19</v>
      </c>
      <c r="K1793" s="1350" t="s">
        <v>839</v>
      </c>
      <c r="L1793" s="158"/>
      <c r="M1793" s="159">
        <v>0</v>
      </c>
      <c r="N1793" s="157">
        <v>0</v>
      </c>
      <c r="O1793" s="82">
        <f t="shared" si="358"/>
        <v>0</v>
      </c>
      <c r="P1793" s="160"/>
      <c r="Q1793" s="1071">
        <f t="shared" si="360"/>
        <v>0</v>
      </c>
    </row>
    <row r="1794" spans="9:17" ht="13.9" x14ac:dyDescent="0.4">
      <c r="I1794" s="1073">
        <f t="shared" si="359"/>
        <v>0</v>
      </c>
      <c r="J1794" s="156" t="s">
        <v>19</v>
      </c>
      <c r="K1794" s="1350" t="s">
        <v>839</v>
      </c>
      <c r="L1794" s="158"/>
      <c r="M1794" s="159">
        <v>0</v>
      </c>
      <c r="N1794" s="157">
        <v>0</v>
      </c>
      <c r="O1794" s="82">
        <f t="shared" si="358"/>
        <v>0</v>
      </c>
      <c r="P1794" s="160"/>
      <c r="Q1794" s="1071">
        <f t="shared" si="360"/>
        <v>0</v>
      </c>
    </row>
    <row r="1795" spans="9:17" ht="13.9" x14ac:dyDescent="0.4">
      <c r="I1795" s="1073">
        <f t="shared" si="359"/>
        <v>0</v>
      </c>
      <c r="J1795" s="156" t="s">
        <v>19</v>
      </c>
      <c r="K1795" s="1350" t="s">
        <v>839</v>
      </c>
      <c r="L1795" s="158"/>
      <c r="M1795" s="159">
        <v>0</v>
      </c>
      <c r="N1795" s="157">
        <v>0</v>
      </c>
      <c r="O1795" s="82">
        <f t="shared" si="358"/>
        <v>0</v>
      </c>
      <c r="P1795" s="160"/>
      <c r="Q1795" s="1071">
        <f t="shared" si="360"/>
        <v>0</v>
      </c>
    </row>
    <row r="1796" spans="9:17" ht="13.9" x14ac:dyDescent="0.4">
      <c r="I1796" s="1073">
        <f t="shared" si="359"/>
        <v>0</v>
      </c>
      <c r="J1796" s="156" t="s">
        <v>19</v>
      </c>
      <c r="K1796" s="1350" t="s">
        <v>839</v>
      </c>
      <c r="L1796" s="158"/>
      <c r="M1796" s="159">
        <v>0</v>
      </c>
      <c r="N1796" s="157">
        <v>0</v>
      </c>
      <c r="O1796" s="82">
        <f t="shared" si="358"/>
        <v>0</v>
      </c>
      <c r="P1796" s="158"/>
      <c r="Q1796" s="1071">
        <f t="shared" si="360"/>
        <v>0</v>
      </c>
    </row>
    <row r="1797" spans="9:17" ht="13.9" x14ac:dyDescent="0.4">
      <c r="I1797" s="1073">
        <f t="shared" si="359"/>
        <v>0</v>
      </c>
      <c r="J1797" s="156" t="s">
        <v>19</v>
      </c>
      <c r="K1797" s="1350" t="s">
        <v>839</v>
      </c>
      <c r="L1797" s="158"/>
      <c r="M1797" s="159">
        <v>0</v>
      </c>
      <c r="N1797" s="157">
        <v>0</v>
      </c>
      <c r="O1797" s="82">
        <f t="shared" si="358"/>
        <v>0</v>
      </c>
      <c r="P1797" s="158"/>
      <c r="Q1797" s="1071">
        <f t="shared" si="360"/>
        <v>0</v>
      </c>
    </row>
    <row r="1798" spans="9:17" ht="13.9" x14ac:dyDescent="0.4">
      <c r="I1798" s="1071"/>
      <c r="J1798" s="86" t="s">
        <v>22</v>
      </c>
      <c r="K1798" s="86"/>
      <c r="L1798" s="86"/>
      <c r="M1798" s="81"/>
      <c r="N1798" s="87"/>
      <c r="O1798" s="88">
        <f>SUM(O1791:O1797)</f>
        <v>1.2</v>
      </c>
      <c r="P1798" s="86"/>
      <c r="Q1798" s="1071"/>
    </row>
    <row r="1799" spans="9:17" ht="13.9" x14ac:dyDescent="0.4">
      <c r="I1799" s="1071"/>
      <c r="J1799" s="83"/>
      <c r="K1799" s="83"/>
      <c r="L1799" s="83"/>
      <c r="M1799" s="89"/>
      <c r="N1799" s="84"/>
      <c r="O1799" s="89"/>
      <c r="P1799" s="83"/>
      <c r="Q1799" s="1071"/>
    </row>
    <row r="1800" spans="9:17" ht="13.9" x14ac:dyDescent="0.4">
      <c r="I1800" s="1071"/>
      <c r="J1800" s="1168" t="str">
        <f>A2_Budget_Look_Up!H32</f>
        <v>Peanuts, Pivot</v>
      </c>
      <c r="K1800" s="1168"/>
      <c r="L1800" s="1168">
        <f>A2_Budget_Look_Up!F32</f>
        <v>30</v>
      </c>
      <c r="M1800" s="1168"/>
      <c r="N1800" s="1168"/>
      <c r="O1800" s="1168"/>
      <c r="P1800" s="1168"/>
      <c r="Q1800" s="1071"/>
    </row>
    <row r="1801" spans="9:17" ht="13.9" x14ac:dyDescent="0.4">
      <c r="I1801" s="1071"/>
      <c r="J1801" s="83"/>
      <c r="K1801" s="83"/>
      <c r="L1801" s="83"/>
      <c r="M1801" s="83"/>
      <c r="N1801" s="84"/>
      <c r="O1801" s="83"/>
      <c r="P1801" s="83"/>
      <c r="Q1801" s="1071"/>
    </row>
    <row r="1802" spans="9:17" ht="13.9" x14ac:dyDescent="0.4">
      <c r="I1802" s="1071"/>
      <c r="J1802" s="78" t="s">
        <v>18</v>
      </c>
      <c r="K1802" s="78"/>
      <c r="L1802" s="78"/>
      <c r="M1802" s="79"/>
      <c r="N1802" s="85"/>
      <c r="O1802" s="79"/>
      <c r="P1802" s="78"/>
      <c r="Q1802" s="1071"/>
    </row>
    <row r="1803" spans="9:17" ht="13.9" x14ac:dyDescent="0.4">
      <c r="I1803" s="1071"/>
      <c r="J1803" s="80" t="s">
        <v>212</v>
      </c>
      <c r="K1803" s="80" t="s">
        <v>838</v>
      </c>
      <c r="L1803" s="80" t="s">
        <v>2</v>
      </c>
      <c r="M1803" s="80" t="s">
        <v>21</v>
      </c>
      <c r="N1803" s="80" t="s">
        <v>174</v>
      </c>
      <c r="O1803" s="80" t="s">
        <v>14</v>
      </c>
      <c r="P1803" s="80" t="s">
        <v>890</v>
      </c>
      <c r="Q1803" s="1071"/>
    </row>
    <row r="1804" spans="9:17" ht="13.9" x14ac:dyDescent="0.4">
      <c r="I1804" s="1073">
        <f>IF($A$1=30,1,0)</f>
        <v>0</v>
      </c>
      <c r="J1804" s="159" t="str">
        <f>A4_Chem_Prices!T$3</f>
        <v>Valor</v>
      </c>
      <c r="K1804" s="1350" t="s">
        <v>839</v>
      </c>
      <c r="L1804" s="158" t="str">
        <f>A4_Chem_Prices!U$3</f>
        <v>oz</v>
      </c>
      <c r="M1804" s="159">
        <f>A4_Chem_Prices!V$3</f>
        <v>5.9375</v>
      </c>
      <c r="N1804" s="159">
        <v>2</v>
      </c>
      <c r="O1804" s="82">
        <f t="shared" ref="O1804:O1817" si="361">M1804*N1804</f>
        <v>11.875</v>
      </c>
      <c r="P1804" s="160">
        <f>N1804*16</f>
        <v>32</v>
      </c>
      <c r="Q1804" s="1171">
        <f>IF(SUM(I1804:I1859)=820,L1800,0)</f>
        <v>0</v>
      </c>
    </row>
    <row r="1805" spans="9:17" ht="13.9" x14ac:dyDescent="0.4">
      <c r="I1805" s="1073">
        <f t="shared" ref="I1805:I1817" si="362">IF($A$1=30,I1804+1,0)</f>
        <v>0</v>
      </c>
      <c r="J1805" s="159" t="str">
        <f>A4_Chem_Prices!T$10</f>
        <v>Brake</v>
      </c>
      <c r="K1805" s="1350" t="s">
        <v>839</v>
      </c>
      <c r="L1805" s="158" t="str">
        <f>A4_Chem_Prices!U$10</f>
        <v>oz</v>
      </c>
      <c r="M1805" s="159">
        <f>A4_Chem_Prices!V$10</f>
        <v>1.59375</v>
      </c>
      <c r="N1805" s="159">
        <v>12</v>
      </c>
      <c r="O1805" s="82">
        <f t="shared" si="361"/>
        <v>19.125</v>
      </c>
      <c r="P1805" s="1449">
        <f>N1805</f>
        <v>12</v>
      </c>
      <c r="Q1805" s="1071">
        <f>Q1804</f>
        <v>0</v>
      </c>
    </row>
    <row r="1806" spans="9:17" ht="13.9" x14ac:dyDescent="0.4">
      <c r="I1806" s="1073">
        <f t="shared" si="362"/>
        <v>0</v>
      </c>
      <c r="J1806" s="159" t="str">
        <f>A4_Chem_Prices!T$4</f>
        <v>Gramoxone</v>
      </c>
      <c r="K1806" s="1350" t="s">
        <v>839</v>
      </c>
      <c r="L1806" s="160" t="str">
        <f>A4_Chem_Prices!U$4</f>
        <v>oz</v>
      </c>
      <c r="M1806" s="159">
        <f>A4_Chem_Prices!V$4</f>
        <v>0.23046875</v>
      </c>
      <c r="N1806" s="157">
        <v>10.67</v>
      </c>
      <c r="O1806" s="82">
        <f t="shared" si="361"/>
        <v>2.4591015624999999</v>
      </c>
      <c r="P1806" s="1449">
        <f>N1806</f>
        <v>10.67</v>
      </c>
      <c r="Q1806" s="1071">
        <f t="shared" ref="Q1806:Q1817" si="363">Q1805</f>
        <v>0</v>
      </c>
    </row>
    <row r="1807" spans="9:17" ht="13.9" x14ac:dyDescent="0.4">
      <c r="I1807" s="1073">
        <f t="shared" si="362"/>
        <v>0</v>
      </c>
      <c r="J1807" s="159" t="str">
        <f>A4_Chem_Prices!T$8</f>
        <v>Zidua</v>
      </c>
      <c r="K1807" s="1350" t="s">
        <v>839</v>
      </c>
      <c r="L1807" s="158" t="str">
        <f>A4_Chem_Prices!U$8</f>
        <v>oz</v>
      </c>
      <c r="M1807" s="159">
        <f>A4_Chem_Prices!V$8</f>
        <v>5.7421875</v>
      </c>
      <c r="N1807" s="157">
        <v>3.25</v>
      </c>
      <c r="O1807" s="82">
        <f t="shared" si="361"/>
        <v>18.662109375</v>
      </c>
      <c r="P1807" s="160">
        <f>N1807*16</f>
        <v>52</v>
      </c>
      <c r="Q1807" s="1071">
        <f t="shared" si="363"/>
        <v>0</v>
      </c>
    </row>
    <row r="1808" spans="9:17" ht="13.9" x14ac:dyDescent="0.4">
      <c r="I1808" s="1073">
        <f t="shared" si="362"/>
        <v>0</v>
      </c>
      <c r="J1808" s="159" t="str">
        <f>A4_Chem_Prices!T$11</f>
        <v>Basagran</v>
      </c>
      <c r="K1808" s="1350" t="s">
        <v>839</v>
      </c>
      <c r="L1808" s="160" t="str">
        <f>A4_Chem_Prices!U$11</f>
        <v>oz</v>
      </c>
      <c r="M1808" s="159">
        <f>A4_Chem_Prices!V$11</f>
        <v>4.1904296874999997E-2</v>
      </c>
      <c r="N1808" s="157">
        <v>8</v>
      </c>
      <c r="O1808" s="82">
        <f t="shared" si="361"/>
        <v>0.33523437499999997</v>
      </c>
      <c r="P1808" s="160">
        <f>N1808*16</f>
        <v>128</v>
      </c>
      <c r="Q1808" s="1071">
        <f t="shared" si="363"/>
        <v>0</v>
      </c>
    </row>
    <row r="1809" spans="9:17" ht="13.9" x14ac:dyDescent="0.4">
      <c r="I1809" s="1073">
        <f t="shared" si="362"/>
        <v>0</v>
      </c>
      <c r="J1809" s="159" t="str">
        <f>A4_Chem_Prices!T$9</f>
        <v>Select</v>
      </c>
      <c r="K1809" s="1350" t="s">
        <v>839</v>
      </c>
      <c r="L1809" s="160" t="str">
        <f>A4_Chem_Prices!U$9</f>
        <v>oz</v>
      </c>
      <c r="M1809" s="159">
        <f>A4_Chem_Prices!V$9</f>
        <v>0.27396484375000002</v>
      </c>
      <c r="N1809" s="157">
        <v>16</v>
      </c>
      <c r="O1809" s="82">
        <f t="shared" si="361"/>
        <v>4.3834375000000003</v>
      </c>
      <c r="P1809" s="160">
        <f>N1809*16</f>
        <v>256</v>
      </c>
      <c r="Q1809" s="1071">
        <f t="shared" si="363"/>
        <v>0</v>
      </c>
    </row>
    <row r="1810" spans="9:17" ht="13.9" x14ac:dyDescent="0.4">
      <c r="I1810" s="1073">
        <f t="shared" si="362"/>
        <v>0</v>
      </c>
      <c r="J1810" s="159" t="str">
        <f>A4_Chem_Prices!T$12</f>
        <v>Outlook</v>
      </c>
      <c r="K1810" s="1350" t="s">
        <v>839</v>
      </c>
      <c r="L1810" s="160" t="str">
        <f>A4_Chem_Prices!U$12</f>
        <v>oz</v>
      </c>
      <c r="M1810" s="159">
        <f>A4_Chem_Prices!V$12</f>
        <v>0.984375</v>
      </c>
      <c r="N1810" s="157">
        <v>16</v>
      </c>
      <c r="O1810" s="82">
        <f t="shared" si="361"/>
        <v>15.75</v>
      </c>
      <c r="P1810" s="160"/>
      <c r="Q1810" s="1071">
        <f t="shared" si="363"/>
        <v>0</v>
      </c>
    </row>
    <row r="1811" spans="9:17" ht="13.9" x14ac:dyDescent="0.4">
      <c r="I1811" s="1073">
        <f t="shared" si="362"/>
        <v>0</v>
      </c>
      <c r="J1811" s="159" t="str">
        <f>A4_Chem_Prices!T$7</f>
        <v>2,4-DB</v>
      </c>
      <c r="K1811" s="1350" t="s">
        <v>839</v>
      </c>
      <c r="L1811" s="160" t="str">
        <f>A4_Chem_Prices!U$7</f>
        <v>pt</v>
      </c>
      <c r="M1811" s="159">
        <f>A4_Chem_Prices!V$7</f>
        <v>4.375</v>
      </c>
      <c r="N1811" s="157">
        <v>0.8</v>
      </c>
      <c r="O1811" s="82">
        <f t="shared" si="361"/>
        <v>3.5</v>
      </c>
      <c r="P1811" s="160"/>
      <c r="Q1811" s="1071">
        <f t="shared" si="363"/>
        <v>0</v>
      </c>
    </row>
    <row r="1812" spans="9:17" ht="13.9" x14ac:dyDescent="0.4">
      <c r="I1812" s="1073">
        <f t="shared" si="362"/>
        <v>0</v>
      </c>
      <c r="J1812" s="159" t="s">
        <v>19</v>
      </c>
      <c r="K1812" s="1350" t="s">
        <v>839</v>
      </c>
      <c r="L1812" s="160"/>
      <c r="M1812" s="159">
        <v>0</v>
      </c>
      <c r="N1812" s="157">
        <v>0</v>
      </c>
      <c r="O1812" s="82">
        <f t="shared" si="361"/>
        <v>0</v>
      </c>
      <c r="P1812" s="160"/>
      <c r="Q1812" s="1071">
        <f t="shared" si="363"/>
        <v>0</v>
      </c>
    </row>
    <row r="1813" spans="9:17" ht="13.9" x14ac:dyDescent="0.4">
      <c r="I1813" s="1073">
        <f t="shared" si="362"/>
        <v>0</v>
      </c>
      <c r="J1813" s="159" t="s">
        <v>19</v>
      </c>
      <c r="K1813" s="1350" t="s">
        <v>839</v>
      </c>
      <c r="L1813" s="160"/>
      <c r="M1813" s="159">
        <v>0</v>
      </c>
      <c r="N1813" s="157">
        <v>0</v>
      </c>
      <c r="O1813" s="82">
        <f t="shared" si="361"/>
        <v>0</v>
      </c>
      <c r="P1813" s="160"/>
      <c r="Q1813" s="1071">
        <f t="shared" si="363"/>
        <v>0</v>
      </c>
    </row>
    <row r="1814" spans="9:17" ht="13.9" x14ac:dyDescent="0.4">
      <c r="I1814" s="1073">
        <f t="shared" si="362"/>
        <v>0</v>
      </c>
      <c r="J1814" s="159" t="s">
        <v>19</v>
      </c>
      <c r="K1814" s="1350" t="s">
        <v>839</v>
      </c>
      <c r="L1814" s="160"/>
      <c r="M1814" s="159">
        <v>0</v>
      </c>
      <c r="N1814" s="157">
        <v>0</v>
      </c>
      <c r="O1814" s="82">
        <f t="shared" si="361"/>
        <v>0</v>
      </c>
      <c r="P1814" s="160"/>
      <c r="Q1814" s="1071">
        <f t="shared" si="363"/>
        <v>0</v>
      </c>
    </row>
    <row r="1815" spans="9:17" ht="13.9" x14ac:dyDescent="0.4">
      <c r="I1815" s="1073">
        <f t="shared" si="362"/>
        <v>0</v>
      </c>
      <c r="J1815" s="159" t="s">
        <v>19</v>
      </c>
      <c r="K1815" s="1350" t="s">
        <v>839</v>
      </c>
      <c r="L1815" s="160"/>
      <c r="M1815" s="159">
        <v>0</v>
      </c>
      <c r="N1815" s="157">
        <v>0</v>
      </c>
      <c r="O1815" s="82">
        <f t="shared" si="361"/>
        <v>0</v>
      </c>
      <c r="P1815" s="160"/>
      <c r="Q1815" s="1071">
        <f t="shared" si="363"/>
        <v>0</v>
      </c>
    </row>
    <row r="1816" spans="9:17" ht="13.9" x14ac:dyDescent="0.4">
      <c r="I1816" s="1073">
        <f t="shared" si="362"/>
        <v>0</v>
      </c>
      <c r="J1816" s="159" t="s">
        <v>19</v>
      </c>
      <c r="K1816" s="1350" t="s">
        <v>839</v>
      </c>
      <c r="L1816" s="160"/>
      <c r="M1816" s="159">
        <v>0</v>
      </c>
      <c r="N1816" s="157">
        <v>0</v>
      </c>
      <c r="O1816" s="82">
        <f t="shared" si="361"/>
        <v>0</v>
      </c>
      <c r="P1816" s="160"/>
      <c r="Q1816" s="1071">
        <f t="shared" si="363"/>
        <v>0</v>
      </c>
    </row>
    <row r="1817" spans="9:17" ht="13.9" x14ac:dyDescent="0.4">
      <c r="I1817" s="1073">
        <f t="shared" si="362"/>
        <v>0</v>
      </c>
      <c r="J1817" s="159" t="s">
        <v>19</v>
      </c>
      <c r="K1817" s="1350" t="s">
        <v>839</v>
      </c>
      <c r="L1817" s="160"/>
      <c r="M1817" s="159">
        <v>0</v>
      </c>
      <c r="N1817" s="157">
        <v>0</v>
      </c>
      <c r="O1817" s="82">
        <f t="shared" si="361"/>
        <v>0</v>
      </c>
      <c r="P1817" s="160"/>
      <c r="Q1817" s="1071">
        <f t="shared" si="363"/>
        <v>0</v>
      </c>
    </row>
    <row r="1818" spans="9:17" ht="13.9" x14ac:dyDescent="0.4">
      <c r="I1818" s="1071"/>
      <c r="J1818" s="86" t="s">
        <v>22</v>
      </c>
      <c r="K1818" s="86"/>
      <c r="L1818" s="86"/>
      <c r="M1818" s="81"/>
      <c r="N1818" s="87"/>
      <c r="O1818" s="88">
        <f>SUM(O1804:O1817)</f>
        <v>76.089882812500008</v>
      </c>
      <c r="P1818" s="86"/>
      <c r="Q1818" s="1071"/>
    </row>
    <row r="1819" spans="9:17" ht="13.9" x14ac:dyDescent="0.4">
      <c r="I1819" s="1071"/>
      <c r="J1819" s="83"/>
      <c r="K1819" s="83"/>
      <c r="L1819" s="83"/>
      <c r="M1819" s="83"/>
      <c r="N1819" s="84"/>
      <c r="O1819" s="83"/>
      <c r="P1819" s="83"/>
      <c r="Q1819" s="1071"/>
    </row>
    <row r="1820" spans="9:17" ht="13.9" x14ac:dyDescent="0.4">
      <c r="I1820" s="1071"/>
      <c r="J1820" s="78" t="s">
        <v>20</v>
      </c>
      <c r="K1820" s="78"/>
      <c r="L1820" s="78"/>
      <c r="M1820" s="79"/>
      <c r="N1820" s="85"/>
      <c r="O1820" s="79"/>
      <c r="P1820" s="78"/>
      <c r="Q1820" s="1071"/>
    </row>
    <row r="1821" spans="9:17" ht="13.9" x14ac:dyDescent="0.4">
      <c r="I1821" s="1071"/>
      <c r="J1821" s="80" t="s">
        <v>212</v>
      </c>
      <c r="K1821" s="80" t="s">
        <v>838</v>
      </c>
      <c r="L1821" s="80" t="s">
        <v>2</v>
      </c>
      <c r="M1821" s="80" t="s">
        <v>21</v>
      </c>
      <c r="N1821" s="80" t="s">
        <v>174</v>
      </c>
      <c r="O1821" s="80" t="s">
        <v>14</v>
      </c>
      <c r="P1821" s="80" t="s">
        <v>890</v>
      </c>
      <c r="Q1821" s="1071"/>
    </row>
    <row r="1822" spans="9:17" ht="13.9" x14ac:dyDescent="0.4">
      <c r="I1822" s="1073">
        <f>IF($A$1=30,I1817+1,0)</f>
        <v>0</v>
      </c>
      <c r="J1822" s="159" t="str">
        <f>A4_Chem_Prices!T$18</f>
        <v>Admire Pro, furrow</v>
      </c>
      <c r="K1822" s="1350" t="s">
        <v>973</v>
      </c>
      <c r="L1822" s="160" t="str">
        <f>A4_Chem_Prices!U$18</f>
        <v>oz</v>
      </c>
      <c r="M1822" s="159">
        <f>A4_Chem_Prices!V$18</f>
        <v>2.56</v>
      </c>
      <c r="N1822" s="157">
        <v>9</v>
      </c>
      <c r="O1822" s="82">
        <f t="shared" ref="O1822:O1831" si="364">M1822*N1822</f>
        <v>23.04</v>
      </c>
      <c r="P1822" s="1449">
        <f>N1822</f>
        <v>9</v>
      </c>
      <c r="Q1822" s="1071">
        <f>Q1804</f>
        <v>0</v>
      </c>
    </row>
    <row r="1823" spans="9:17" ht="13.9" x14ac:dyDescent="0.4">
      <c r="I1823" s="1073">
        <f t="shared" ref="I1823:I1831" si="365">IF($A$1=30,I1822+1,0)</f>
        <v>0</v>
      </c>
      <c r="J1823" s="159" t="s">
        <v>19</v>
      </c>
      <c r="K1823" s="1350" t="s">
        <v>839</v>
      </c>
      <c r="L1823" s="160"/>
      <c r="M1823" s="159">
        <v>0</v>
      </c>
      <c r="N1823" s="157">
        <v>0</v>
      </c>
      <c r="O1823" s="82">
        <f t="shared" si="364"/>
        <v>0</v>
      </c>
      <c r="P1823" s="160"/>
      <c r="Q1823" s="1071">
        <f>Q1822</f>
        <v>0</v>
      </c>
    </row>
    <row r="1824" spans="9:17" ht="13.9" x14ac:dyDescent="0.4">
      <c r="I1824" s="1073">
        <f t="shared" si="365"/>
        <v>0</v>
      </c>
      <c r="J1824" s="159" t="s">
        <v>19</v>
      </c>
      <c r="K1824" s="1350" t="s">
        <v>839</v>
      </c>
      <c r="L1824" s="160"/>
      <c r="M1824" s="159">
        <v>0</v>
      </c>
      <c r="N1824" s="157">
        <v>0</v>
      </c>
      <c r="O1824" s="82">
        <f t="shared" si="364"/>
        <v>0</v>
      </c>
      <c r="P1824" s="160"/>
      <c r="Q1824" s="1071">
        <f t="shared" ref="Q1824:Q1831" si="366">Q1823</f>
        <v>0</v>
      </c>
    </row>
    <row r="1825" spans="9:17" ht="13.9" x14ac:dyDescent="0.4">
      <c r="I1825" s="1073">
        <f t="shared" si="365"/>
        <v>0</v>
      </c>
      <c r="J1825" s="159" t="s">
        <v>19</v>
      </c>
      <c r="K1825" s="1350" t="s">
        <v>839</v>
      </c>
      <c r="L1825" s="160"/>
      <c r="M1825" s="159">
        <v>0</v>
      </c>
      <c r="N1825" s="157">
        <v>0</v>
      </c>
      <c r="O1825" s="82">
        <f t="shared" si="364"/>
        <v>0</v>
      </c>
      <c r="P1825" s="160"/>
      <c r="Q1825" s="1071">
        <f t="shared" si="366"/>
        <v>0</v>
      </c>
    </row>
    <row r="1826" spans="9:17" ht="13.9" x14ac:dyDescent="0.4">
      <c r="I1826" s="1073">
        <f t="shared" si="365"/>
        <v>0</v>
      </c>
      <c r="J1826" s="159" t="s">
        <v>19</v>
      </c>
      <c r="K1826" s="1350" t="s">
        <v>839</v>
      </c>
      <c r="L1826" s="160"/>
      <c r="M1826" s="159">
        <v>0</v>
      </c>
      <c r="N1826" s="157">
        <v>0</v>
      </c>
      <c r="O1826" s="82">
        <f t="shared" si="364"/>
        <v>0</v>
      </c>
      <c r="P1826" s="158"/>
      <c r="Q1826" s="1071">
        <f t="shared" si="366"/>
        <v>0</v>
      </c>
    </row>
    <row r="1827" spans="9:17" ht="13.9" x14ac:dyDescent="0.4">
      <c r="I1827" s="1073">
        <f t="shared" si="365"/>
        <v>0</v>
      </c>
      <c r="J1827" s="159" t="s">
        <v>19</v>
      </c>
      <c r="K1827" s="1350" t="s">
        <v>839</v>
      </c>
      <c r="L1827" s="160"/>
      <c r="M1827" s="159">
        <v>0</v>
      </c>
      <c r="N1827" s="157">
        <v>0</v>
      </c>
      <c r="O1827" s="82">
        <f t="shared" si="364"/>
        <v>0</v>
      </c>
      <c r="P1827" s="158"/>
      <c r="Q1827" s="1071">
        <f t="shared" si="366"/>
        <v>0</v>
      </c>
    </row>
    <row r="1828" spans="9:17" ht="13.9" x14ac:dyDescent="0.4">
      <c r="I1828" s="1073">
        <f t="shared" si="365"/>
        <v>0</v>
      </c>
      <c r="J1828" s="159" t="s">
        <v>19</v>
      </c>
      <c r="K1828" s="1350" t="s">
        <v>839</v>
      </c>
      <c r="L1828" s="160"/>
      <c r="M1828" s="159">
        <v>0</v>
      </c>
      <c r="N1828" s="157">
        <v>0</v>
      </c>
      <c r="O1828" s="82">
        <f t="shared" si="364"/>
        <v>0</v>
      </c>
      <c r="P1828" s="158"/>
      <c r="Q1828" s="1071">
        <f t="shared" si="366"/>
        <v>0</v>
      </c>
    </row>
    <row r="1829" spans="9:17" ht="13.9" x14ac:dyDescent="0.4">
      <c r="I1829" s="1073">
        <f t="shared" si="365"/>
        <v>0</v>
      </c>
      <c r="J1829" s="159" t="s">
        <v>19</v>
      </c>
      <c r="K1829" s="1350" t="s">
        <v>839</v>
      </c>
      <c r="L1829" s="160"/>
      <c r="M1829" s="159">
        <v>0</v>
      </c>
      <c r="N1829" s="157">
        <v>0</v>
      </c>
      <c r="O1829" s="82">
        <f t="shared" si="364"/>
        <v>0</v>
      </c>
      <c r="P1829" s="158"/>
      <c r="Q1829" s="1071">
        <f t="shared" si="366"/>
        <v>0</v>
      </c>
    </row>
    <row r="1830" spans="9:17" ht="13.9" x14ac:dyDescent="0.4">
      <c r="I1830" s="1073">
        <f t="shared" si="365"/>
        <v>0</v>
      </c>
      <c r="J1830" s="159" t="s">
        <v>19</v>
      </c>
      <c r="K1830" s="1350" t="s">
        <v>839</v>
      </c>
      <c r="L1830" s="160"/>
      <c r="M1830" s="159">
        <v>0</v>
      </c>
      <c r="N1830" s="157">
        <v>0</v>
      </c>
      <c r="O1830" s="82">
        <f t="shared" si="364"/>
        <v>0</v>
      </c>
      <c r="P1830" s="158"/>
      <c r="Q1830" s="1071">
        <f t="shared" si="366"/>
        <v>0</v>
      </c>
    </row>
    <row r="1831" spans="9:17" ht="13.9" x14ac:dyDescent="0.4">
      <c r="I1831" s="1073">
        <f t="shared" si="365"/>
        <v>0</v>
      </c>
      <c r="J1831" s="159" t="s">
        <v>19</v>
      </c>
      <c r="K1831" s="1350" t="s">
        <v>839</v>
      </c>
      <c r="L1831" s="160"/>
      <c r="M1831" s="159">
        <v>0</v>
      </c>
      <c r="N1831" s="157">
        <v>0</v>
      </c>
      <c r="O1831" s="82">
        <f t="shared" si="364"/>
        <v>0</v>
      </c>
      <c r="P1831" s="158"/>
      <c r="Q1831" s="1071">
        <f t="shared" si="366"/>
        <v>0</v>
      </c>
    </row>
    <row r="1832" spans="9:17" ht="13.9" x14ac:dyDescent="0.4">
      <c r="I1832" s="1071"/>
      <c r="J1832" s="86" t="s">
        <v>22</v>
      </c>
      <c r="K1832" s="86"/>
      <c r="L1832" s="86"/>
      <c r="M1832" s="81"/>
      <c r="N1832" s="87"/>
      <c r="O1832" s="88">
        <f>SUM(O1822:O1831)</f>
        <v>23.04</v>
      </c>
      <c r="P1832" s="86"/>
      <c r="Q1832" s="1071"/>
    </row>
    <row r="1833" spans="9:17" ht="13.9" x14ac:dyDescent="0.4">
      <c r="I1833" s="1071"/>
      <c r="J1833" s="83"/>
      <c r="K1833" s="83"/>
      <c r="L1833" s="83"/>
      <c r="M1833" s="83"/>
      <c r="N1833" s="84"/>
      <c r="O1833" s="83"/>
      <c r="P1833" s="83"/>
      <c r="Q1833" s="1071"/>
    </row>
    <row r="1834" spans="9:17" ht="13.9" x14ac:dyDescent="0.4">
      <c r="I1834" s="1071"/>
      <c r="J1834" s="78" t="str">
        <f>IF(OR(A2_Budget_Look_Up!$B$7=1,A2_Budget_Look_Up!$B$13=1),"Nematicide Detail", "Fungicide Detail")</f>
        <v>Fungicide Detail</v>
      </c>
      <c r="K1834" s="78"/>
      <c r="L1834" s="78"/>
      <c r="M1834" s="79"/>
      <c r="N1834" s="85"/>
      <c r="O1834" s="79"/>
      <c r="P1834" s="78"/>
      <c r="Q1834" s="1071"/>
    </row>
    <row r="1835" spans="9:17" ht="13.9" x14ac:dyDescent="0.4">
      <c r="I1835" s="1071"/>
      <c r="J1835" s="80" t="s">
        <v>212</v>
      </c>
      <c r="K1835" s="80" t="s">
        <v>838</v>
      </c>
      <c r="L1835" s="80" t="s">
        <v>2</v>
      </c>
      <c r="M1835" s="80" t="s">
        <v>21</v>
      </c>
      <c r="N1835" s="80" t="s">
        <v>174</v>
      </c>
      <c r="O1835" s="80" t="s">
        <v>14</v>
      </c>
      <c r="P1835" s="80" t="s">
        <v>890</v>
      </c>
      <c r="Q1835" s="1071"/>
    </row>
    <row r="1836" spans="9:17" ht="13.9" x14ac:dyDescent="0.4">
      <c r="I1836" s="1073">
        <f>IF($A$1=30,I1831+1,0)</f>
        <v>0</v>
      </c>
      <c r="J1836" s="159" t="s">
        <v>19</v>
      </c>
      <c r="K1836" s="1350" t="s">
        <v>839</v>
      </c>
      <c r="L1836" s="160"/>
      <c r="M1836" s="159">
        <v>0</v>
      </c>
      <c r="N1836" s="157">
        <v>0</v>
      </c>
      <c r="O1836" s="82">
        <f>M1836*N1836</f>
        <v>0</v>
      </c>
      <c r="P1836" s="158"/>
      <c r="Q1836" s="1071">
        <f>Q1831</f>
        <v>0</v>
      </c>
    </row>
    <row r="1837" spans="9:17" ht="13.9" x14ac:dyDescent="0.4">
      <c r="I1837" s="1073">
        <f>IF($A$1=30,I1836+1,0)</f>
        <v>0</v>
      </c>
      <c r="J1837" s="159" t="s">
        <v>19</v>
      </c>
      <c r="K1837" s="1350" t="s">
        <v>839</v>
      </c>
      <c r="L1837" s="160"/>
      <c r="M1837" s="159">
        <v>0</v>
      </c>
      <c r="N1837" s="157">
        <v>0</v>
      </c>
      <c r="O1837" s="82">
        <f>M1837*N1837</f>
        <v>0</v>
      </c>
      <c r="P1837" s="158"/>
      <c r="Q1837" s="1071">
        <f>Q1836</f>
        <v>0</v>
      </c>
    </row>
    <row r="1838" spans="9:17" ht="13.9" x14ac:dyDescent="0.4">
      <c r="I1838" s="1071"/>
      <c r="J1838" s="86" t="s">
        <v>22</v>
      </c>
      <c r="K1838" s="86"/>
      <c r="L1838" s="86"/>
      <c r="M1838" s="81"/>
      <c r="N1838" s="87"/>
      <c r="O1838" s="88">
        <f>SUM(O1836:O1837)</f>
        <v>0</v>
      </c>
      <c r="P1838" s="86"/>
      <c r="Q1838" s="1071"/>
    </row>
    <row r="1839" spans="9:17" ht="13.9" x14ac:dyDescent="0.4">
      <c r="I1839" s="1071"/>
      <c r="J1839" s="83"/>
      <c r="K1839" s="83"/>
      <c r="L1839" s="83"/>
      <c r="M1839" s="83"/>
      <c r="N1839" s="84"/>
      <c r="O1839" s="83"/>
      <c r="P1839" s="83"/>
      <c r="Q1839" s="1071"/>
    </row>
    <row r="1840" spans="9:17" ht="13.9" x14ac:dyDescent="0.4">
      <c r="I1840" s="1071"/>
      <c r="J1840" s="78" t="str">
        <f>IF(A2_Budget_Look_Up!$B$7=1,"Growth Regulator Detail", IF(A2_Budget_Look_Up!$B$13=1,"Fungicide Detail","Other Chemical Detail"))</f>
        <v>Other Chemical Detail</v>
      </c>
      <c r="K1840" s="78"/>
      <c r="L1840" s="78"/>
      <c r="M1840" s="79"/>
      <c r="N1840" s="85"/>
      <c r="O1840" s="79"/>
      <c r="P1840" s="78"/>
      <c r="Q1840" s="1071"/>
    </row>
    <row r="1841" spans="9:17" ht="13.9" x14ac:dyDescent="0.4">
      <c r="I1841" s="1071"/>
      <c r="J1841" s="80" t="s">
        <v>212</v>
      </c>
      <c r="K1841" s="80" t="s">
        <v>838</v>
      </c>
      <c r="L1841" s="80" t="s">
        <v>2</v>
      </c>
      <c r="M1841" s="80" t="s">
        <v>21</v>
      </c>
      <c r="N1841" s="80" t="s">
        <v>174</v>
      </c>
      <c r="O1841" s="80" t="s">
        <v>14</v>
      </c>
      <c r="P1841" s="80" t="s">
        <v>890</v>
      </c>
      <c r="Q1841" s="1071"/>
    </row>
    <row r="1842" spans="9:17" ht="13.9" x14ac:dyDescent="0.4">
      <c r="I1842" s="1073">
        <f>IF($A$1=30,I1837+1,0)</f>
        <v>0</v>
      </c>
      <c r="J1842" s="156" t="str">
        <f>A4_Chem_Prices!T$32</f>
        <v>Musle ADV</v>
      </c>
      <c r="K1842" s="1350" t="s">
        <v>839</v>
      </c>
      <c r="L1842" s="158" t="str">
        <f>A4_Chem_Prices!U$32</f>
        <v>pt</v>
      </c>
      <c r="M1842" s="159">
        <f>A4_Chem_Prices!V$32</f>
        <v>4.4937500000000004</v>
      </c>
      <c r="N1842" s="157">
        <v>2</v>
      </c>
      <c r="O1842" s="82">
        <f t="shared" ref="O1842:O1848" si="367">M1842*N1842</f>
        <v>8.9875000000000007</v>
      </c>
      <c r="P1842" s="160">
        <f>N1842</f>
        <v>2</v>
      </c>
      <c r="Q1842" s="1071">
        <f>Q1837</f>
        <v>0</v>
      </c>
    </row>
    <row r="1843" spans="9:17" ht="13.9" x14ac:dyDescent="0.4">
      <c r="I1843" s="1073">
        <f t="shared" ref="I1843:I1848" si="368">IF($A$1=30,I1842+1,0)</f>
        <v>0</v>
      </c>
      <c r="J1843" s="156" t="str">
        <f>A4_Chem_Prices!T$33</f>
        <v>Convoy</v>
      </c>
      <c r="K1843" s="1350" t="s">
        <v>839</v>
      </c>
      <c r="L1843" s="158" t="str">
        <f>A4_Chem_Prices!U$33</f>
        <v>oz</v>
      </c>
      <c r="M1843" s="159">
        <f>A4_Chem_Prices!V$33</f>
        <v>23.04</v>
      </c>
      <c r="N1843" s="157">
        <v>1.5</v>
      </c>
      <c r="O1843" s="82">
        <f t="shared" si="367"/>
        <v>34.56</v>
      </c>
      <c r="P1843" s="160">
        <f>N1843*16</f>
        <v>24</v>
      </c>
      <c r="Q1843" s="1071">
        <f t="shared" ref="Q1843:Q1848" si="369">Q1842</f>
        <v>0</v>
      </c>
    </row>
    <row r="1844" spans="9:17" ht="13.9" x14ac:dyDescent="0.4">
      <c r="I1844" s="1073">
        <f t="shared" si="368"/>
        <v>0</v>
      </c>
      <c r="J1844" s="156" t="str">
        <f>A4_Chem_Prices!T$32</f>
        <v>Musle ADV</v>
      </c>
      <c r="K1844" s="1350" t="s">
        <v>839</v>
      </c>
      <c r="L1844" s="158" t="str">
        <f>A4_Chem_Prices!U$32</f>
        <v>pt</v>
      </c>
      <c r="M1844" s="159">
        <f>A4_Chem_Prices!V$32</f>
        <v>4.4937500000000004</v>
      </c>
      <c r="N1844" s="157">
        <v>2</v>
      </c>
      <c r="O1844" s="82">
        <f t="shared" si="367"/>
        <v>8.9875000000000007</v>
      </c>
      <c r="P1844" s="160">
        <f>N1844*16</f>
        <v>32</v>
      </c>
      <c r="Q1844" s="1071">
        <f t="shared" si="369"/>
        <v>0</v>
      </c>
    </row>
    <row r="1845" spans="9:17" ht="13.9" x14ac:dyDescent="0.4">
      <c r="I1845" s="1073">
        <f t="shared" si="368"/>
        <v>0</v>
      </c>
      <c r="J1845" s="156" t="s">
        <v>19</v>
      </c>
      <c r="K1845" s="1350" t="s">
        <v>839</v>
      </c>
      <c r="L1845" s="158"/>
      <c r="M1845" s="159">
        <v>0</v>
      </c>
      <c r="N1845" s="157">
        <v>0</v>
      </c>
      <c r="O1845" s="82">
        <f t="shared" si="367"/>
        <v>0</v>
      </c>
      <c r="P1845" s="160">
        <f>N1845*16</f>
        <v>0</v>
      </c>
      <c r="Q1845" s="1071">
        <f t="shared" si="369"/>
        <v>0</v>
      </c>
    </row>
    <row r="1846" spans="9:17" ht="13.9" x14ac:dyDescent="0.4">
      <c r="I1846" s="1073">
        <f t="shared" si="368"/>
        <v>0</v>
      </c>
      <c r="J1846" s="156" t="s">
        <v>19</v>
      </c>
      <c r="K1846" s="1350" t="s">
        <v>839</v>
      </c>
      <c r="L1846" s="158"/>
      <c r="M1846" s="159">
        <v>0</v>
      </c>
      <c r="N1846" s="157">
        <v>0</v>
      </c>
      <c r="O1846" s="82">
        <f t="shared" si="367"/>
        <v>0</v>
      </c>
      <c r="P1846" s="158"/>
      <c r="Q1846" s="1071">
        <f t="shared" si="369"/>
        <v>0</v>
      </c>
    </row>
    <row r="1847" spans="9:17" ht="13.9" x14ac:dyDescent="0.4">
      <c r="I1847" s="1073">
        <f t="shared" si="368"/>
        <v>0</v>
      </c>
      <c r="J1847" s="156" t="s">
        <v>19</v>
      </c>
      <c r="K1847" s="1350" t="s">
        <v>839</v>
      </c>
      <c r="L1847" s="158"/>
      <c r="M1847" s="159">
        <v>0</v>
      </c>
      <c r="N1847" s="157">
        <v>0</v>
      </c>
      <c r="O1847" s="82">
        <f t="shared" si="367"/>
        <v>0</v>
      </c>
      <c r="P1847" s="158"/>
      <c r="Q1847" s="1071">
        <f t="shared" si="369"/>
        <v>0</v>
      </c>
    </row>
    <row r="1848" spans="9:17" ht="13.9" x14ac:dyDescent="0.4">
      <c r="I1848" s="1073">
        <f t="shared" si="368"/>
        <v>0</v>
      </c>
      <c r="J1848" s="156" t="s">
        <v>19</v>
      </c>
      <c r="K1848" s="1350" t="s">
        <v>839</v>
      </c>
      <c r="L1848" s="158"/>
      <c r="M1848" s="159">
        <v>0</v>
      </c>
      <c r="N1848" s="157">
        <v>0</v>
      </c>
      <c r="O1848" s="82">
        <f t="shared" si="367"/>
        <v>0</v>
      </c>
      <c r="P1848" s="158"/>
      <c r="Q1848" s="1071">
        <f t="shared" si="369"/>
        <v>0</v>
      </c>
    </row>
    <row r="1849" spans="9:17" ht="13.9" x14ac:dyDescent="0.4">
      <c r="I1849" s="1071"/>
      <c r="J1849" s="86" t="s">
        <v>22</v>
      </c>
      <c r="K1849" s="86"/>
      <c r="L1849" s="86"/>
      <c r="M1849" s="81"/>
      <c r="N1849" s="87"/>
      <c r="O1849" s="88">
        <f>SUM(O1842:O1848)</f>
        <v>52.534999999999997</v>
      </c>
      <c r="P1849" s="86"/>
      <c r="Q1849" s="1071"/>
    </row>
    <row r="1850" spans="9:17" ht="13.9" x14ac:dyDescent="0.4">
      <c r="I1850" s="1071"/>
      <c r="J1850" s="83"/>
      <c r="K1850" s="83"/>
      <c r="L1850" s="83"/>
      <c r="M1850" s="83"/>
      <c r="N1850" s="84"/>
      <c r="O1850" s="83"/>
      <c r="P1850" s="83"/>
      <c r="Q1850" s="1071"/>
    </row>
    <row r="1851" spans="9:17" ht="13.9" x14ac:dyDescent="0.4">
      <c r="I1851" s="1071"/>
      <c r="J1851" s="78" t="str">
        <f>IF(A2_Budget_Look_Up!$B$7=1,"Defoliant Detail", "Other Chemical Detail")</f>
        <v>Other Chemical Detail</v>
      </c>
      <c r="K1851" s="78"/>
      <c r="L1851" s="78"/>
      <c r="M1851" s="79"/>
      <c r="N1851" s="85"/>
      <c r="O1851" s="79"/>
      <c r="P1851" s="78"/>
      <c r="Q1851" s="1071"/>
    </row>
    <row r="1852" spans="9:17" ht="13.9" x14ac:dyDescent="0.4">
      <c r="I1852" s="1071"/>
      <c r="J1852" s="80" t="s">
        <v>212</v>
      </c>
      <c r="K1852" s="80" t="s">
        <v>838</v>
      </c>
      <c r="L1852" s="80" t="s">
        <v>2</v>
      </c>
      <c r="M1852" s="80" t="s">
        <v>21</v>
      </c>
      <c r="N1852" s="80" t="s">
        <v>174</v>
      </c>
      <c r="O1852" s="80" t="s">
        <v>14</v>
      </c>
      <c r="P1852" s="80" t="s">
        <v>890</v>
      </c>
      <c r="Q1852" s="1071"/>
    </row>
    <row r="1853" spans="9:17" ht="13.9" x14ac:dyDescent="0.4">
      <c r="I1853" s="1073">
        <f>IF($A$1=30,I1848+1,0)</f>
        <v>0</v>
      </c>
      <c r="J1853" s="156" t="str">
        <f>A4_Chem_Prices!T$38</f>
        <v>Optimize LIFT</v>
      </c>
      <c r="K1853" s="1538" t="s">
        <v>976</v>
      </c>
      <c r="L1853" s="158" t="str">
        <f>A4_Chem_Prices!U$38</f>
        <v>oz</v>
      </c>
      <c r="M1853" s="159">
        <f>A4_Chem_Prices!V$38</f>
        <v>0.15</v>
      </c>
      <c r="N1853" s="157">
        <v>8</v>
      </c>
      <c r="O1853" s="82">
        <f t="shared" ref="O1853:O1859" si="370">M1853*N1853</f>
        <v>1.2</v>
      </c>
      <c r="P1853" s="160">
        <f>N1853</f>
        <v>8</v>
      </c>
      <c r="Q1853" s="1071">
        <f>Q1848</f>
        <v>0</v>
      </c>
    </row>
    <row r="1854" spans="9:17" ht="13.9" x14ac:dyDescent="0.4">
      <c r="I1854" s="1073">
        <f t="shared" ref="I1854:I1859" si="371">IF($A$1=30,I1853+1,0)</f>
        <v>0</v>
      </c>
      <c r="J1854" s="156" t="s">
        <v>19</v>
      </c>
      <c r="K1854" s="1350" t="s">
        <v>839</v>
      </c>
      <c r="L1854" s="158"/>
      <c r="M1854" s="159">
        <v>0</v>
      </c>
      <c r="N1854" s="157">
        <v>0</v>
      </c>
      <c r="O1854" s="82">
        <f t="shared" si="370"/>
        <v>0</v>
      </c>
      <c r="P1854" s="160"/>
      <c r="Q1854" s="1071">
        <f t="shared" ref="Q1854:Q1859" si="372">Q1853</f>
        <v>0</v>
      </c>
    </row>
    <row r="1855" spans="9:17" ht="13.9" x14ac:dyDescent="0.4">
      <c r="I1855" s="1073">
        <f t="shared" si="371"/>
        <v>0</v>
      </c>
      <c r="J1855" s="156" t="s">
        <v>19</v>
      </c>
      <c r="K1855" s="1350" t="s">
        <v>839</v>
      </c>
      <c r="L1855" s="158"/>
      <c r="M1855" s="159">
        <v>0</v>
      </c>
      <c r="N1855" s="157">
        <v>0</v>
      </c>
      <c r="O1855" s="82">
        <f t="shared" si="370"/>
        <v>0</v>
      </c>
      <c r="P1855" s="160"/>
      <c r="Q1855" s="1071">
        <f t="shared" si="372"/>
        <v>0</v>
      </c>
    </row>
    <row r="1856" spans="9:17" ht="13.9" x14ac:dyDescent="0.4">
      <c r="I1856" s="1073">
        <f t="shared" si="371"/>
        <v>0</v>
      </c>
      <c r="J1856" s="156" t="s">
        <v>19</v>
      </c>
      <c r="K1856" s="1350" t="s">
        <v>839</v>
      </c>
      <c r="L1856" s="158"/>
      <c r="M1856" s="159">
        <v>0</v>
      </c>
      <c r="N1856" s="157">
        <v>0</v>
      </c>
      <c r="O1856" s="82">
        <f t="shared" si="370"/>
        <v>0</v>
      </c>
      <c r="P1856" s="160"/>
      <c r="Q1856" s="1071">
        <f t="shared" si="372"/>
        <v>0</v>
      </c>
    </row>
    <row r="1857" spans="9:17" ht="13.9" x14ac:dyDescent="0.4">
      <c r="I1857" s="1073">
        <f t="shared" si="371"/>
        <v>0</v>
      </c>
      <c r="J1857" s="156" t="s">
        <v>19</v>
      </c>
      <c r="K1857" s="1350" t="s">
        <v>839</v>
      </c>
      <c r="L1857" s="158"/>
      <c r="M1857" s="159">
        <v>0</v>
      </c>
      <c r="N1857" s="157">
        <v>0</v>
      </c>
      <c r="O1857" s="82">
        <f t="shared" si="370"/>
        <v>0</v>
      </c>
      <c r="P1857" s="160"/>
      <c r="Q1857" s="1071">
        <f t="shared" si="372"/>
        <v>0</v>
      </c>
    </row>
    <row r="1858" spans="9:17" ht="13.9" x14ac:dyDescent="0.4">
      <c r="I1858" s="1073">
        <f t="shared" si="371"/>
        <v>0</v>
      </c>
      <c r="J1858" s="156" t="s">
        <v>19</v>
      </c>
      <c r="K1858" s="1350" t="s">
        <v>839</v>
      </c>
      <c r="L1858" s="158"/>
      <c r="M1858" s="159">
        <v>0</v>
      </c>
      <c r="N1858" s="157">
        <v>0</v>
      </c>
      <c r="O1858" s="82">
        <f t="shared" si="370"/>
        <v>0</v>
      </c>
      <c r="P1858" s="158"/>
      <c r="Q1858" s="1071">
        <f t="shared" si="372"/>
        <v>0</v>
      </c>
    </row>
    <row r="1859" spans="9:17" ht="13.9" x14ac:dyDescent="0.4">
      <c r="I1859" s="1073">
        <f t="shared" si="371"/>
        <v>0</v>
      </c>
      <c r="J1859" s="156" t="s">
        <v>19</v>
      </c>
      <c r="K1859" s="1350" t="s">
        <v>839</v>
      </c>
      <c r="L1859" s="158"/>
      <c r="M1859" s="159">
        <v>0</v>
      </c>
      <c r="N1859" s="157">
        <v>0</v>
      </c>
      <c r="O1859" s="82">
        <f t="shared" si="370"/>
        <v>0</v>
      </c>
      <c r="P1859" s="158"/>
      <c r="Q1859" s="1071">
        <f t="shared" si="372"/>
        <v>0</v>
      </c>
    </row>
    <row r="1860" spans="9:17" ht="13.9" x14ac:dyDescent="0.4">
      <c r="I1860" s="1071"/>
      <c r="J1860" s="86" t="s">
        <v>22</v>
      </c>
      <c r="K1860" s="86"/>
      <c r="L1860" s="86"/>
      <c r="M1860" s="81"/>
      <c r="N1860" s="87"/>
      <c r="O1860" s="88">
        <f>SUM(O1853:O1859)</f>
        <v>1.2</v>
      </c>
      <c r="P1860" s="86"/>
      <c r="Q1860" s="1071"/>
    </row>
    <row r="1861" spans="9:17" ht="13.9" x14ac:dyDescent="0.4">
      <c r="I1861" s="1071"/>
      <c r="J1861" s="83"/>
      <c r="K1861" s="83"/>
      <c r="L1861" s="83"/>
      <c r="M1861" s="89"/>
      <c r="N1861" s="84"/>
      <c r="O1861" s="89"/>
      <c r="P1861" s="83"/>
      <c r="Q1861" s="1071"/>
    </row>
    <row r="1862" spans="9:17" ht="13.9" x14ac:dyDescent="0.4">
      <c r="I1862" s="1071"/>
      <c r="J1862" s="1168" t="str">
        <f>A2_Budget_Look_Up!H33</f>
        <v>Peanuts, No Irrigation</v>
      </c>
      <c r="K1862" s="1168"/>
      <c r="L1862" s="1168">
        <f>A2_Budget_Look_Up!F33</f>
        <v>31</v>
      </c>
      <c r="M1862" s="1168"/>
      <c r="N1862" s="1168"/>
      <c r="O1862" s="1168"/>
      <c r="P1862" s="1168"/>
      <c r="Q1862" s="1071"/>
    </row>
    <row r="1863" spans="9:17" ht="13.9" x14ac:dyDescent="0.4">
      <c r="I1863" s="1071"/>
      <c r="J1863" s="83"/>
      <c r="K1863" s="83"/>
      <c r="L1863" s="83"/>
      <c r="M1863" s="83"/>
      <c r="N1863" s="84"/>
      <c r="O1863" s="83"/>
      <c r="P1863" s="83"/>
      <c r="Q1863" s="1071"/>
    </row>
    <row r="1864" spans="9:17" ht="13.9" x14ac:dyDescent="0.4">
      <c r="I1864" s="1071"/>
      <c r="J1864" s="78" t="s">
        <v>18</v>
      </c>
      <c r="K1864" s="78"/>
      <c r="L1864" s="78"/>
      <c r="M1864" s="79"/>
      <c r="N1864" s="85"/>
      <c r="O1864" s="79"/>
      <c r="P1864" s="78"/>
      <c r="Q1864" s="1071"/>
    </row>
    <row r="1865" spans="9:17" ht="13.9" x14ac:dyDescent="0.4">
      <c r="I1865" s="1071"/>
      <c r="J1865" s="80" t="s">
        <v>212</v>
      </c>
      <c r="K1865" s="80" t="s">
        <v>838</v>
      </c>
      <c r="L1865" s="80" t="s">
        <v>2</v>
      </c>
      <c r="M1865" s="80" t="s">
        <v>21</v>
      </c>
      <c r="N1865" s="80" t="s">
        <v>174</v>
      </c>
      <c r="O1865" s="80" t="s">
        <v>14</v>
      </c>
      <c r="P1865" s="80" t="s">
        <v>890</v>
      </c>
      <c r="Q1865" s="1071"/>
    </row>
    <row r="1866" spans="9:17" ht="13.9" x14ac:dyDescent="0.4">
      <c r="I1866" s="1073">
        <f>IF($A$1=31,1,0)</f>
        <v>0</v>
      </c>
      <c r="J1866" s="159" t="str">
        <f>A4_Chem_Prices!T$3</f>
        <v>Valor</v>
      </c>
      <c r="K1866" s="1350" t="s">
        <v>839</v>
      </c>
      <c r="L1866" s="158" t="str">
        <f>A4_Chem_Prices!U$3</f>
        <v>oz</v>
      </c>
      <c r="M1866" s="159">
        <f>A4_Chem_Prices!V$3</f>
        <v>5.9375</v>
      </c>
      <c r="N1866" s="159">
        <v>2</v>
      </c>
      <c r="O1866" s="82">
        <f t="shared" ref="O1866:O1879" si="373">M1866*N1866</f>
        <v>11.875</v>
      </c>
      <c r="P1866" s="160">
        <f>N1866*16</f>
        <v>32</v>
      </c>
      <c r="Q1866" s="1171">
        <f>IF(SUM(I1866:I1921)=820,L1862,0)</f>
        <v>0</v>
      </c>
    </row>
    <row r="1867" spans="9:17" ht="13.9" x14ac:dyDescent="0.4">
      <c r="I1867" s="1073">
        <f t="shared" ref="I1867:I1879" si="374">IF($A$1=31,I1866+1,0)</f>
        <v>0</v>
      </c>
      <c r="J1867" s="159" t="str">
        <f>A4_Chem_Prices!T$10</f>
        <v>Brake</v>
      </c>
      <c r="K1867" s="1350" t="s">
        <v>839</v>
      </c>
      <c r="L1867" s="158" t="str">
        <f>A4_Chem_Prices!U$10</f>
        <v>oz</v>
      </c>
      <c r="M1867" s="159">
        <f>A4_Chem_Prices!V$10</f>
        <v>1.59375</v>
      </c>
      <c r="N1867" s="159">
        <v>12</v>
      </c>
      <c r="O1867" s="82">
        <f t="shared" si="373"/>
        <v>19.125</v>
      </c>
      <c r="P1867" s="1449">
        <f>N1867</f>
        <v>12</v>
      </c>
      <c r="Q1867" s="1071">
        <f>Q1866</f>
        <v>0</v>
      </c>
    </row>
    <row r="1868" spans="9:17" ht="13.9" x14ac:dyDescent="0.4">
      <c r="I1868" s="1073">
        <f t="shared" si="374"/>
        <v>0</v>
      </c>
      <c r="J1868" s="159" t="str">
        <f>A4_Chem_Prices!T$4</f>
        <v>Gramoxone</v>
      </c>
      <c r="K1868" s="1350" t="s">
        <v>839</v>
      </c>
      <c r="L1868" s="160" t="str">
        <f>A4_Chem_Prices!U$4</f>
        <v>oz</v>
      </c>
      <c r="M1868" s="159">
        <f>A4_Chem_Prices!V$4</f>
        <v>0.23046875</v>
      </c>
      <c r="N1868" s="157">
        <v>10.67</v>
      </c>
      <c r="O1868" s="82">
        <f t="shared" si="373"/>
        <v>2.4591015624999999</v>
      </c>
      <c r="P1868" s="1449">
        <f>N1868</f>
        <v>10.67</v>
      </c>
      <c r="Q1868" s="1071">
        <f t="shared" ref="Q1868:Q1879" si="375">Q1867</f>
        <v>0</v>
      </c>
    </row>
    <row r="1869" spans="9:17" ht="13.9" x14ac:dyDescent="0.4">
      <c r="I1869" s="1073">
        <f t="shared" si="374"/>
        <v>0</v>
      </c>
      <c r="J1869" s="159" t="str">
        <f>A4_Chem_Prices!T$8</f>
        <v>Zidua</v>
      </c>
      <c r="K1869" s="1350" t="s">
        <v>839</v>
      </c>
      <c r="L1869" s="158" t="str">
        <f>A4_Chem_Prices!U$8</f>
        <v>oz</v>
      </c>
      <c r="M1869" s="159">
        <f>A4_Chem_Prices!V$8</f>
        <v>5.7421875</v>
      </c>
      <c r="N1869" s="157">
        <v>3.25</v>
      </c>
      <c r="O1869" s="82">
        <f t="shared" si="373"/>
        <v>18.662109375</v>
      </c>
      <c r="P1869" s="160">
        <f>N1869*16</f>
        <v>52</v>
      </c>
      <c r="Q1869" s="1071">
        <f t="shared" si="375"/>
        <v>0</v>
      </c>
    </row>
    <row r="1870" spans="9:17" ht="13.9" x14ac:dyDescent="0.4">
      <c r="I1870" s="1073">
        <f t="shared" si="374"/>
        <v>0</v>
      </c>
      <c r="J1870" s="159" t="str">
        <f>A4_Chem_Prices!T$11</f>
        <v>Basagran</v>
      </c>
      <c r="K1870" s="1350" t="s">
        <v>839</v>
      </c>
      <c r="L1870" s="160" t="str">
        <f>A4_Chem_Prices!U$11</f>
        <v>oz</v>
      </c>
      <c r="M1870" s="159">
        <f>A4_Chem_Prices!V$11</f>
        <v>4.1904296874999997E-2</v>
      </c>
      <c r="N1870" s="157">
        <v>8</v>
      </c>
      <c r="O1870" s="82">
        <f t="shared" si="373"/>
        <v>0.33523437499999997</v>
      </c>
      <c r="P1870" s="160">
        <f>N1870*16</f>
        <v>128</v>
      </c>
      <c r="Q1870" s="1071">
        <f t="shared" si="375"/>
        <v>0</v>
      </c>
    </row>
    <row r="1871" spans="9:17" ht="13.9" x14ac:dyDescent="0.4">
      <c r="I1871" s="1073">
        <f t="shared" si="374"/>
        <v>0</v>
      </c>
      <c r="J1871" s="159" t="str">
        <f>A4_Chem_Prices!T$9</f>
        <v>Select</v>
      </c>
      <c r="K1871" s="1350" t="s">
        <v>839</v>
      </c>
      <c r="L1871" s="160" t="str">
        <f>A4_Chem_Prices!U$9</f>
        <v>oz</v>
      </c>
      <c r="M1871" s="159">
        <f>A4_Chem_Prices!V$9</f>
        <v>0.27396484375000002</v>
      </c>
      <c r="N1871" s="157">
        <v>16</v>
      </c>
      <c r="O1871" s="82">
        <f t="shared" si="373"/>
        <v>4.3834375000000003</v>
      </c>
      <c r="P1871" s="160">
        <f>N1871*16</f>
        <v>256</v>
      </c>
      <c r="Q1871" s="1071">
        <f t="shared" si="375"/>
        <v>0</v>
      </c>
    </row>
    <row r="1872" spans="9:17" ht="13.9" x14ac:dyDescent="0.4">
      <c r="I1872" s="1073">
        <f t="shared" si="374"/>
        <v>0</v>
      </c>
      <c r="J1872" s="159" t="str">
        <f>A4_Chem_Prices!T$12</f>
        <v>Outlook</v>
      </c>
      <c r="K1872" s="1350" t="s">
        <v>839</v>
      </c>
      <c r="L1872" s="160" t="str">
        <f>A4_Chem_Prices!U$12</f>
        <v>oz</v>
      </c>
      <c r="M1872" s="159">
        <f>A4_Chem_Prices!V$12</f>
        <v>0.984375</v>
      </c>
      <c r="N1872" s="157">
        <v>16</v>
      </c>
      <c r="O1872" s="82">
        <f t="shared" si="373"/>
        <v>15.75</v>
      </c>
      <c r="P1872" s="160"/>
      <c r="Q1872" s="1071">
        <f t="shared" si="375"/>
        <v>0</v>
      </c>
    </row>
    <row r="1873" spans="9:17" ht="13.9" x14ac:dyDescent="0.4">
      <c r="I1873" s="1073">
        <f t="shared" si="374"/>
        <v>0</v>
      </c>
      <c r="J1873" s="159" t="str">
        <f>A4_Chem_Prices!T$7</f>
        <v>2,4-DB</v>
      </c>
      <c r="K1873" s="1350" t="s">
        <v>839</v>
      </c>
      <c r="L1873" s="160" t="str">
        <f>A4_Chem_Prices!U$7</f>
        <v>pt</v>
      </c>
      <c r="M1873" s="159">
        <f>A4_Chem_Prices!V$7</f>
        <v>4.375</v>
      </c>
      <c r="N1873" s="157">
        <v>0.8</v>
      </c>
      <c r="O1873" s="82">
        <f t="shared" si="373"/>
        <v>3.5</v>
      </c>
      <c r="P1873" s="160"/>
      <c r="Q1873" s="1071">
        <f t="shared" si="375"/>
        <v>0</v>
      </c>
    </row>
    <row r="1874" spans="9:17" ht="13.9" x14ac:dyDescent="0.4">
      <c r="I1874" s="1073">
        <f t="shared" si="374"/>
        <v>0</v>
      </c>
      <c r="J1874" s="159" t="s">
        <v>19</v>
      </c>
      <c r="K1874" s="1350" t="s">
        <v>839</v>
      </c>
      <c r="L1874" s="160"/>
      <c r="M1874" s="159">
        <v>0</v>
      </c>
      <c r="N1874" s="157">
        <v>0</v>
      </c>
      <c r="O1874" s="82">
        <f t="shared" si="373"/>
        <v>0</v>
      </c>
      <c r="P1874" s="160"/>
      <c r="Q1874" s="1071">
        <f t="shared" si="375"/>
        <v>0</v>
      </c>
    </row>
    <row r="1875" spans="9:17" ht="13.9" x14ac:dyDescent="0.4">
      <c r="I1875" s="1073">
        <f t="shared" si="374"/>
        <v>0</v>
      </c>
      <c r="J1875" s="159" t="s">
        <v>19</v>
      </c>
      <c r="K1875" s="1350" t="s">
        <v>839</v>
      </c>
      <c r="L1875" s="160"/>
      <c r="M1875" s="159">
        <v>0</v>
      </c>
      <c r="N1875" s="157">
        <v>0</v>
      </c>
      <c r="O1875" s="82">
        <f t="shared" si="373"/>
        <v>0</v>
      </c>
      <c r="P1875" s="160"/>
      <c r="Q1875" s="1071">
        <f t="shared" si="375"/>
        <v>0</v>
      </c>
    </row>
    <row r="1876" spans="9:17" ht="13.9" x14ac:dyDescent="0.4">
      <c r="I1876" s="1073">
        <f t="shared" si="374"/>
        <v>0</v>
      </c>
      <c r="J1876" s="159" t="s">
        <v>19</v>
      </c>
      <c r="K1876" s="1350" t="s">
        <v>839</v>
      </c>
      <c r="L1876" s="160"/>
      <c r="M1876" s="159">
        <v>0</v>
      </c>
      <c r="N1876" s="157">
        <v>0</v>
      </c>
      <c r="O1876" s="82">
        <f t="shared" si="373"/>
        <v>0</v>
      </c>
      <c r="P1876" s="160"/>
      <c r="Q1876" s="1071">
        <f t="shared" si="375"/>
        <v>0</v>
      </c>
    </row>
    <row r="1877" spans="9:17" ht="13.9" x14ac:dyDescent="0.4">
      <c r="I1877" s="1073">
        <f t="shared" si="374"/>
        <v>0</v>
      </c>
      <c r="J1877" s="159" t="s">
        <v>19</v>
      </c>
      <c r="K1877" s="1350" t="s">
        <v>839</v>
      </c>
      <c r="L1877" s="160"/>
      <c r="M1877" s="159">
        <v>0</v>
      </c>
      <c r="N1877" s="157">
        <v>0</v>
      </c>
      <c r="O1877" s="82">
        <f t="shared" si="373"/>
        <v>0</v>
      </c>
      <c r="P1877" s="160"/>
      <c r="Q1877" s="1071">
        <f t="shared" si="375"/>
        <v>0</v>
      </c>
    </row>
    <row r="1878" spans="9:17" ht="13.9" x14ac:dyDescent="0.4">
      <c r="I1878" s="1073">
        <f t="shared" si="374"/>
        <v>0</v>
      </c>
      <c r="J1878" s="159" t="s">
        <v>19</v>
      </c>
      <c r="K1878" s="1350" t="s">
        <v>839</v>
      </c>
      <c r="L1878" s="160"/>
      <c r="M1878" s="159">
        <v>0</v>
      </c>
      <c r="N1878" s="157">
        <v>0</v>
      </c>
      <c r="O1878" s="82">
        <f t="shared" si="373"/>
        <v>0</v>
      </c>
      <c r="P1878" s="160"/>
      <c r="Q1878" s="1071">
        <f t="shared" si="375"/>
        <v>0</v>
      </c>
    </row>
    <row r="1879" spans="9:17" ht="13.9" x14ac:dyDescent="0.4">
      <c r="I1879" s="1073">
        <f t="shared" si="374"/>
        <v>0</v>
      </c>
      <c r="J1879" s="159" t="s">
        <v>19</v>
      </c>
      <c r="K1879" s="1350" t="s">
        <v>839</v>
      </c>
      <c r="L1879" s="160"/>
      <c r="M1879" s="159">
        <v>0</v>
      </c>
      <c r="N1879" s="157">
        <v>0</v>
      </c>
      <c r="O1879" s="82">
        <f t="shared" si="373"/>
        <v>0</v>
      </c>
      <c r="P1879" s="160"/>
      <c r="Q1879" s="1071">
        <f t="shared" si="375"/>
        <v>0</v>
      </c>
    </row>
    <row r="1880" spans="9:17" ht="13.9" x14ac:dyDescent="0.4">
      <c r="I1880" s="1071"/>
      <c r="J1880" s="86" t="s">
        <v>22</v>
      </c>
      <c r="K1880" s="86"/>
      <c r="L1880" s="86"/>
      <c r="M1880" s="81"/>
      <c r="N1880" s="87"/>
      <c r="O1880" s="88">
        <f>SUM(O1866:O1879)</f>
        <v>76.089882812500008</v>
      </c>
      <c r="P1880" s="86"/>
      <c r="Q1880" s="1071"/>
    </row>
    <row r="1881" spans="9:17" ht="13.9" x14ac:dyDescent="0.4">
      <c r="I1881" s="1071"/>
      <c r="J1881" s="83"/>
      <c r="K1881" s="83"/>
      <c r="L1881" s="83"/>
      <c r="M1881" s="83"/>
      <c r="N1881" s="84"/>
      <c r="O1881" s="83"/>
      <c r="P1881" s="83"/>
      <c r="Q1881" s="1071"/>
    </row>
    <row r="1882" spans="9:17" ht="13.9" x14ac:dyDescent="0.4">
      <c r="I1882" s="1071"/>
      <c r="J1882" s="78" t="s">
        <v>20</v>
      </c>
      <c r="K1882" s="78"/>
      <c r="L1882" s="78"/>
      <c r="M1882" s="79"/>
      <c r="N1882" s="85"/>
      <c r="O1882" s="79"/>
      <c r="P1882" s="78"/>
      <c r="Q1882" s="1071"/>
    </row>
    <row r="1883" spans="9:17" ht="13.9" x14ac:dyDescent="0.4">
      <c r="I1883" s="1071"/>
      <c r="J1883" s="80" t="s">
        <v>212</v>
      </c>
      <c r="K1883" s="80" t="s">
        <v>838</v>
      </c>
      <c r="L1883" s="80" t="s">
        <v>2</v>
      </c>
      <c r="M1883" s="80" t="s">
        <v>21</v>
      </c>
      <c r="N1883" s="80" t="s">
        <v>174</v>
      </c>
      <c r="O1883" s="80" t="s">
        <v>14</v>
      </c>
      <c r="P1883" s="80" t="s">
        <v>890</v>
      </c>
      <c r="Q1883" s="1071"/>
    </row>
    <row r="1884" spans="9:17" ht="13.9" x14ac:dyDescent="0.4">
      <c r="I1884" s="1073">
        <f>IF($A$1=31,I1879+1,0)</f>
        <v>0</v>
      </c>
      <c r="J1884" s="159" t="str">
        <f>A4_Chem_Prices!T$18</f>
        <v>Admire Pro, furrow</v>
      </c>
      <c r="K1884" s="1350" t="s">
        <v>973</v>
      </c>
      <c r="L1884" s="160" t="str">
        <f>A4_Chem_Prices!U$18</f>
        <v>oz</v>
      </c>
      <c r="M1884" s="159">
        <f>A4_Chem_Prices!V$18</f>
        <v>2.56</v>
      </c>
      <c r="N1884" s="157">
        <v>9</v>
      </c>
      <c r="O1884" s="82">
        <f t="shared" ref="O1884:O1893" si="376">M1884*N1884</f>
        <v>23.04</v>
      </c>
      <c r="P1884" s="1449">
        <f>N1884</f>
        <v>9</v>
      </c>
      <c r="Q1884" s="1071">
        <f>Q1866</f>
        <v>0</v>
      </c>
    </row>
    <row r="1885" spans="9:17" ht="13.9" x14ac:dyDescent="0.4">
      <c r="I1885" s="1073">
        <f t="shared" ref="I1885:I1893" si="377">IF($A$1=31,I1884+1,0)</f>
        <v>0</v>
      </c>
      <c r="J1885" s="159" t="s">
        <v>19</v>
      </c>
      <c r="K1885" s="1350" t="s">
        <v>839</v>
      </c>
      <c r="L1885" s="160"/>
      <c r="M1885" s="159">
        <v>0</v>
      </c>
      <c r="N1885" s="157">
        <v>0</v>
      </c>
      <c r="O1885" s="82">
        <f t="shared" si="376"/>
        <v>0</v>
      </c>
      <c r="P1885" s="160"/>
      <c r="Q1885" s="1071">
        <f>Q1884</f>
        <v>0</v>
      </c>
    </row>
    <row r="1886" spans="9:17" ht="13.9" x14ac:dyDescent="0.4">
      <c r="I1886" s="1073">
        <f t="shared" si="377"/>
        <v>0</v>
      </c>
      <c r="J1886" s="159" t="s">
        <v>19</v>
      </c>
      <c r="K1886" s="1350" t="s">
        <v>839</v>
      </c>
      <c r="L1886" s="160"/>
      <c r="M1886" s="159">
        <v>0</v>
      </c>
      <c r="N1886" s="157">
        <v>0</v>
      </c>
      <c r="O1886" s="82">
        <f t="shared" si="376"/>
        <v>0</v>
      </c>
      <c r="P1886" s="160"/>
      <c r="Q1886" s="1071">
        <f t="shared" ref="Q1886:Q1893" si="378">Q1885</f>
        <v>0</v>
      </c>
    </row>
    <row r="1887" spans="9:17" ht="13.9" x14ac:dyDescent="0.4">
      <c r="I1887" s="1073">
        <f t="shared" si="377"/>
        <v>0</v>
      </c>
      <c r="J1887" s="159" t="s">
        <v>19</v>
      </c>
      <c r="K1887" s="1350" t="s">
        <v>839</v>
      </c>
      <c r="L1887" s="160"/>
      <c r="M1887" s="159">
        <v>0</v>
      </c>
      <c r="N1887" s="157">
        <v>0</v>
      </c>
      <c r="O1887" s="82">
        <f t="shared" si="376"/>
        <v>0</v>
      </c>
      <c r="P1887" s="160"/>
      <c r="Q1887" s="1071">
        <f t="shared" si="378"/>
        <v>0</v>
      </c>
    </row>
    <row r="1888" spans="9:17" ht="13.9" x14ac:dyDescent="0.4">
      <c r="I1888" s="1073">
        <f t="shared" si="377"/>
        <v>0</v>
      </c>
      <c r="J1888" s="159" t="s">
        <v>19</v>
      </c>
      <c r="K1888" s="1350" t="s">
        <v>839</v>
      </c>
      <c r="L1888" s="160"/>
      <c r="M1888" s="159">
        <v>0</v>
      </c>
      <c r="N1888" s="157">
        <v>0</v>
      </c>
      <c r="O1888" s="82">
        <f t="shared" si="376"/>
        <v>0</v>
      </c>
      <c r="P1888" s="158"/>
      <c r="Q1888" s="1071">
        <f t="shared" si="378"/>
        <v>0</v>
      </c>
    </row>
    <row r="1889" spans="9:17" ht="13.9" x14ac:dyDescent="0.4">
      <c r="I1889" s="1073">
        <f t="shared" si="377"/>
        <v>0</v>
      </c>
      <c r="J1889" s="159" t="s">
        <v>19</v>
      </c>
      <c r="K1889" s="1350" t="s">
        <v>839</v>
      </c>
      <c r="L1889" s="160"/>
      <c r="M1889" s="159">
        <v>0</v>
      </c>
      <c r="N1889" s="157">
        <v>0</v>
      </c>
      <c r="O1889" s="82">
        <f t="shared" si="376"/>
        <v>0</v>
      </c>
      <c r="P1889" s="158"/>
      <c r="Q1889" s="1071">
        <f t="shared" si="378"/>
        <v>0</v>
      </c>
    </row>
    <row r="1890" spans="9:17" ht="13.9" x14ac:dyDescent="0.4">
      <c r="I1890" s="1073">
        <f t="shared" si="377"/>
        <v>0</v>
      </c>
      <c r="J1890" s="159" t="s">
        <v>19</v>
      </c>
      <c r="K1890" s="1350" t="s">
        <v>839</v>
      </c>
      <c r="L1890" s="160"/>
      <c r="M1890" s="159">
        <v>0</v>
      </c>
      <c r="N1890" s="157">
        <v>0</v>
      </c>
      <c r="O1890" s="82">
        <f t="shared" si="376"/>
        <v>0</v>
      </c>
      <c r="P1890" s="158"/>
      <c r="Q1890" s="1071">
        <f t="shared" si="378"/>
        <v>0</v>
      </c>
    </row>
    <row r="1891" spans="9:17" ht="13.9" x14ac:dyDescent="0.4">
      <c r="I1891" s="1073">
        <f t="shared" si="377"/>
        <v>0</v>
      </c>
      <c r="J1891" s="159" t="s">
        <v>19</v>
      </c>
      <c r="K1891" s="1350" t="s">
        <v>839</v>
      </c>
      <c r="L1891" s="160"/>
      <c r="M1891" s="159">
        <v>0</v>
      </c>
      <c r="N1891" s="157">
        <v>0</v>
      </c>
      <c r="O1891" s="82">
        <f t="shared" si="376"/>
        <v>0</v>
      </c>
      <c r="P1891" s="158"/>
      <c r="Q1891" s="1071">
        <f t="shared" si="378"/>
        <v>0</v>
      </c>
    </row>
    <row r="1892" spans="9:17" ht="13.9" x14ac:dyDescent="0.4">
      <c r="I1892" s="1073">
        <f t="shared" si="377"/>
        <v>0</v>
      </c>
      <c r="J1892" s="159" t="s">
        <v>19</v>
      </c>
      <c r="K1892" s="1350" t="s">
        <v>839</v>
      </c>
      <c r="L1892" s="160"/>
      <c r="M1892" s="159">
        <v>0</v>
      </c>
      <c r="N1892" s="157">
        <v>0</v>
      </c>
      <c r="O1892" s="82">
        <f t="shared" si="376"/>
        <v>0</v>
      </c>
      <c r="P1892" s="158"/>
      <c r="Q1892" s="1071">
        <f t="shared" si="378"/>
        <v>0</v>
      </c>
    </row>
    <row r="1893" spans="9:17" ht="13.9" x14ac:dyDescent="0.4">
      <c r="I1893" s="1073">
        <f t="shared" si="377"/>
        <v>0</v>
      </c>
      <c r="J1893" s="159" t="s">
        <v>19</v>
      </c>
      <c r="K1893" s="1350" t="s">
        <v>839</v>
      </c>
      <c r="L1893" s="160"/>
      <c r="M1893" s="159">
        <v>0</v>
      </c>
      <c r="N1893" s="157">
        <v>0</v>
      </c>
      <c r="O1893" s="82">
        <f t="shared" si="376"/>
        <v>0</v>
      </c>
      <c r="P1893" s="158"/>
      <c r="Q1893" s="1071">
        <f t="shared" si="378"/>
        <v>0</v>
      </c>
    </row>
    <row r="1894" spans="9:17" ht="13.9" x14ac:dyDescent="0.4">
      <c r="I1894" s="1071"/>
      <c r="J1894" s="86" t="s">
        <v>22</v>
      </c>
      <c r="K1894" s="86"/>
      <c r="L1894" s="86"/>
      <c r="M1894" s="81"/>
      <c r="N1894" s="87"/>
      <c r="O1894" s="88">
        <f>SUM(O1884:O1893)</f>
        <v>23.04</v>
      </c>
      <c r="P1894" s="86"/>
      <c r="Q1894" s="1071"/>
    </row>
    <row r="1895" spans="9:17" ht="13.9" x14ac:dyDescent="0.4">
      <c r="I1895" s="1071"/>
      <c r="J1895" s="83"/>
      <c r="K1895" s="83"/>
      <c r="L1895" s="83"/>
      <c r="M1895" s="83"/>
      <c r="N1895" s="84"/>
      <c r="O1895" s="83"/>
      <c r="P1895" s="83"/>
      <c r="Q1895" s="1071"/>
    </row>
    <row r="1896" spans="9:17" ht="13.9" x14ac:dyDescent="0.4">
      <c r="I1896" s="1071"/>
      <c r="J1896" s="78" t="str">
        <f>IF(OR(A2_Budget_Look_Up!$B$7=1,A2_Budget_Look_Up!$B$13=1),"Nematicide Detail", "Fungicide Detail")</f>
        <v>Fungicide Detail</v>
      </c>
      <c r="K1896" s="78"/>
      <c r="L1896" s="78"/>
      <c r="M1896" s="79"/>
      <c r="N1896" s="85"/>
      <c r="O1896" s="79"/>
      <c r="P1896" s="78"/>
      <c r="Q1896" s="1071"/>
    </row>
    <row r="1897" spans="9:17" ht="13.9" x14ac:dyDescent="0.4">
      <c r="I1897" s="1071"/>
      <c r="J1897" s="80" t="s">
        <v>212</v>
      </c>
      <c r="K1897" s="80" t="s">
        <v>838</v>
      </c>
      <c r="L1897" s="80" t="s">
        <v>2</v>
      </c>
      <c r="M1897" s="80" t="s">
        <v>21</v>
      </c>
      <c r="N1897" s="80" t="s">
        <v>174</v>
      </c>
      <c r="O1897" s="80" t="s">
        <v>14</v>
      </c>
      <c r="P1897" s="80" t="s">
        <v>890</v>
      </c>
      <c r="Q1897" s="1071"/>
    </row>
    <row r="1898" spans="9:17" ht="13.9" x14ac:dyDescent="0.4">
      <c r="I1898" s="1073">
        <f>IF($A$1=31,I1893+1,0)</f>
        <v>0</v>
      </c>
      <c r="J1898" s="159" t="s">
        <v>19</v>
      </c>
      <c r="K1898" s="1350" t="s">
        <v>839</v>
      </c>
      <c r="L1898" s="160"/>
      <c r="M1898" s="159">
        <v>0</v>
      </c>
      <c r="N1898" s="157">
        <v>0</v>
      </c>
      <c r="O1898" s="82">
        <f>M1898*N1898</f>
        <v>0</v>
      </c>
      <c r="P1898" s="158"/>
      <c r="Q1898" s="1071">
        <f>Q1893</f>
        <v>0</v>
      </c>
    </row>
    <row r="1899" spans="9:17" ht="13.9" x14ac:dyDescent="0.4">
      <c r="I1899" s="1073">
        <f>IF($A$1=31,I1898+1,0)</f>
        <v>0</v>
      </c>
      <c r="J1899" s="159" t="s">
        <v>19</v>
      </c>
      <c r="K1899" s="1350" t="s">
        <v>839</v>
      </c>
      <c r="L1899" s="160"/>
      <c r="M1899" s="159">
        <v>0</v>
      </c>
      <c r="N1899" s="157">
        <v>0</v>
      </c>
      <c r="O1899" s="82">
        <f>M1899*N1899</f>
        <v>0</v>
      </c>
      <c r="P1899" s="158"/>
      <c r="Q1899" s="1071">
        <f>Q1898</f>
        <v>0</v>
      </c>
    </row>
    <row r="1900" spans="9:17" ht="13.9" x14ac:dyDescent="0.4">
      <c r="I1900" s="1071"/>
      <c r="J1900" s="86" t="s">
        <v>22</v>
      </c>
      <c r="K1900" s="86"/>
      <c r="L1900" s="86"/>
      <c r="M1900" s="81"/>
      <c r="N1900" s="87"/>
      <c r="O1900" s="88">
        <f>SUM(O1898:O1899)</f>
        <v>0</v>
      </c>
      <c r="P1900" s="86"/>
      <c r="Q1900" s="1071"/>
    </row>
    <row r="1901" spans="9:17" ht="13.9" x14ac:dyDescent="0.4">
      <c r="I1901" s="1071"/>
      <c r="J1901" s="83"/>
      <c r="K1901" s="83"/>
      <c r="L1901" s="83"/>
      <c r="M1901" s="83"/>
      <c r="N1901" s="84"/>
      <c r="O1901" s="83"/>
      <c r="P1901" s="83"/>
      <c r="Q1901" s="1071"/>
    </row>
    <row r="1902" spans="9:17" ht="13.9" x14ac:dyDescent="0.4">
      <c r="I1902" s="1071"/>
      <c r="J1902" s="78" t="str">
        <f>IF(A2_Budget_Look_Up!$B$7=1,"Growth Regulator Detail", IF(A2_Budget_Look_Up!$B$13=1,"Fungicide Detail","Other Chemical Detail"))</f>
        <v>Other Chemical Detail</v>
      </c>
      <c r="K1902" s="78"/>
      <c r="L1902" s="78"/>
      <c r="M1902" s="79"/>
      <c r="N1902" s="85"/>
      <c r="O1902" s="79"/>
      <c r="P1902" s="78"/>
      <c r="Q1902" s="1071"/>
    </row>
    <row r="1903" spans="9:17" ht="13.9" x14ac:dyDescent="0.4">
      <c r="I1903" s="1071"/>
      <c r="J1903" s="80" t="s">
        <v>212</v>
      </c>
      <c r="K1903" s="80" t="s">
        <v>838</v>
      </c>
      <c r="L1903" s="80" t="s">
        <v>2</v>
      </c>
      <c r="M1903" s="80" t="s">
        <v>21</v>
      </c>
      <c r="N1903" s="80" t="s">
        <v>174</v>
      </c>
      <c r="O1903" s="80" t="s">
        <v>14</v>
      </c>
      <c r="P1903" s="80" t="s">
        <v>890</v>
      </c>
      <c r="Q1903" s="1071"/>
    </row>
    <row r="1904" spans="9:17" ht="13.9" x14ac:dyDescent="0.4">
      <c r="I1904" s="1073">
        <f>IF($A$1=31,I1899+1,0)</f>
        <v>0</v>
      </c>
      <c r="J1904" s="156" t="str">
        <f>A4_Chem_Prices!T$32</f>
        <v>Musle ADV</v>
      </c>
      <c r="K1904" s="1350" t="s">
        <v>839</v>
      </c>
      <c r="L1904" s="158" t="str">
        <f>A4_Chem_Prices!U$32</f>
        <v>pt</v>
      </c>
      <c r="M1904" s="159">
        <f>A4_Chem_Prices!V$32</f>
        <v>4.4937500000000004</v>
      </c>
      <c r="N1904" s="157">
        <v>2</v>
      </c>
      <c r="O1904" s="82">
        <f t="shared" ref="O1904:O1910" si="379">M1904*N1904</f>
        <v>8.9875000000000007</v>
      </c>
      <c r="P1904" s="160">
        <f>N1904</f>
        <v>2</v>
      </c>
      <c r="Q1904" s="1071">
        <f>Q1899</f>
        <v>0</v>
      </c>
    </row>
    <row r="1905" spans="9:17" ht="13.9" x14ac:dyDescent="0.4">
      <c r="I1905" s="1073">
        <f t="shared" ref="I1905:I1910" si="380">IF($A$1=31,I1904+1,0)</f>
        <v>0</v>
      </c>
      <c r="J1905" s="156" t="str">
        <f>A4_Chem_Prices!T$33</f>
        <v>Convoy</v>
      </c>
      <c r="K1905" s="1350" t="s">
        <v>839</v>
      </c>
      <c r="L1905" s="158" t="str">
        <f>A4_Chem_Prices!U$33</f>
        <v>oz</v>
      </c>
      <c r="M1905" s="159">
        <f>A4_Chem_Prices!V$33</f>
        <v>23.04</v>
      </c>
      <c r="N1905" s="157">
        <v>1.5</v>
      </c>
      <c r="O1905" s="82">
        <f t="shared" si="379"/>
        <v>34.56</v>
      </c>
      <c r="P1905" s="160">
        <f>N1905*16</f>
        <v>24</v>
      </c>
      <c r="Q1905" s="1071">
        <f t="shared" ref="Q1905:Q1910" si="381">Q1904</f>
        <v>0</v>
      </c>
    </row>
    <row r="1906" spans="9:17" ht="13.9" x14ac:dyDescent="0.4">
      <c r="I1906" s="1073">
        <f t="shared" si="380"/>
        <v>0</v>
      </c>
      <c r="J1906" s="156" t="str">
        <f>A4_Chem_Prices!T$32</f>
        <v>Musle ADV</v>
      </c>
      <c r="K1906" s="1350" t="s">
        <v>839</v>
      </c>
      <c r="L1906" s="158" t="str">
        <f>A4_Chem_Prices!U$32</f>
        <v>pt</v>
      </c>
      <c r="M1906" s="159">
        <f>A4_Chem_Prices!V$32</f>
        <v>4.4937500000000004</v>
      </c>
      <c r="N1906" s="157">
        <v>2</v>
      </c>
      <c r="O1906" s="82">
        <f t="shared" si="379"/>
        <v>8.9875000000000007</v>
      </c>
      <c r="P1906" s="160">
        <f>N1906*16</f>
        <v>32</v>
      </c>
      <c r="Q1906" s="1071">
        <f t="shared" si="381"/>
        <v>0</v>
      </c>
    </row>
    <row r="1907" spans="9:17" ht="13.9" x14ac:dyDescent="0.4">
      <c r="I1907" s="1073">
        <f t="shared" si="380"/>
        <v>0</v>
      </c>
      <c r="J1907" s="156" t="s">
        <v>19</v>
      </c>
      <c r="K1907" s="1350" t="s">
        <v>839</v>
      </c>
      <c r="L1907" s="158"/>
      <c r="M1907" s="159">
        <v>0</v>
      </c>
      <c r="N1907" s="157">
        <v>0</v>
      </c>
      <c r="O1907" s="82">
        <f t="shared" si="379"/>
        <v>0</v>
      </c>
      <c r="P1907" s="160">
        <f>N1907*16</f>
        <v>0</v>
      </c>
      <c r="Q1907" s="1071">
        <f t="shared" si="381"/>
        <v>0</v>
      </c>
    </row>
    <row r="1908" spans="9:17" ht="13.9" x14ac:dyDescent="0.4">
      <c r="I1908" s="1073">
        <f t="shared" si="380"/>
        <v>0</v>
      </c>
      <c r="J1908" s="156" t="s">
        <v>19</v>
      </c>
      <c r="K1908" s="1350" t="s">
        <v>839</v>
      </c>
      <c r="L1908" s="158"/>
      <c r="M1908" s="159">
        <v>0</v>
      </c>
      <c r="N1908" s="157">
        <v>0</v>
      </c>
      <c r="O1908" s="82">
        <f t="shared" si="379"/>
        <v>0</v>
      </c>
      <c r="P1908" s="158"/>
      <c r="Q1908" s="1071">
        <f t="shared" si="381"/>
        <v>0</v>
      </c>
    </row>
    <row r="1909" spans="9:17" ht="13.9" x14ac:dyDescent="0.4">
      <c r="I1909" s="1073">
        <f t="shared" si="380"/>
        <v>0</v>
      </c>
      <c r="J1909" s="156" t="s">
        <v>19</v>
      </c>
      <c r="K1909" s="1350" t="s">
        <v>839</v>
      </c>
      <c r="L1909" s="158"/>
      <c r="M1909" s="159">
        <v>0</v>
      </c>
      <c r="N1909" s="157">
        <v>0</v>
      </c>
      <c r="O1909" s="82">
        <f t="shared" si="379"/>
        <v>0</v>
      </c>
      <c r="P1909" s="158"/>
      <c r="Q1909" s="1071">
        <f t="shared" si="381"/>
        <v>0</v>
      </c>
    </row>
    <row r="1910" spans="9:17" ht="13.9" x14ac:dyDescent="0.4">
      <c r="I1910" s="1073">
        <f t="shared" si="380"/>
        <v>0</v>
      </c>
      <c r="J1910" s="156" t="s">
        <v>19</v>
      </c>
      <c r="K1910" s="1350" t="s">
        <v>839</v>
      </c>
      <c r="L1910" s="158"/>
      <c r="M1910" s="159">
        <v>0</v>
      </c>
      <c r="N1910" s="157">
        <v>0</v>
      </c>
      <c r="O1910" s="82">
        <f t="shared" si="379"/>
        <v>0</v>
      </c>
      <c r="P1910" s="158"/>
      <c r="Q1910" s="1071">
        <f t="shared" si="381"/>
        <v>0</v>
      </c>
    </row>
    <row r="1911" spans="9:17" ht="13.9" x14ac:dyDescent="0.4">
      <c r="I1911" s="1071"/>
      <c r="J1911" s="86" t="s">
        <v>22</v>
      </c>
      <c r="K1911" s="86"/>
      <c r="L1911" s="86"/>
      <c r="M1911" s="81"/>
      <c r="N1911" s="87"/>
      <c r="O1911" s="88">
        <f>SUM(O1904:O1910)</f>
        <v>52.534999999999997</v>
      </c>
      <c r="P1911" s="86"/>
      <c r="Q1911" s="1071"/>
    </row>
    <row r="1912" spans="9:17" ht="13.9" x14ac:dyDescent="0.4">
      <c r="I1912" s="1071"/>
      <c r="J1912" s="83"/>
      <c r="K1912" s="83"/>
      <c r="L1912" s="83"/>
      <c r="M1912" s="83"/>
      <c r="N1912" s="84"/>
      <c r="O1912" s="83"/>
      <c r="P1912" s="83"/>
      <c r="Q1912" s="1071"/>
    </row>
    <row r="1913" spans="9:17" ht="13.9" x14ac:dyDescent="0.4">
      <c r="I1913" s="1071"/>
      <c r="J1913" s="78" t="str">
        <f>IF(A2_Budget_Look_Up!$B$7=1,"Defoliant Detail", "Other Chemical Detail")</f>
        <v>Other Chemical Detail</v>
      </c>
      <c r="K1913" s="78"/>
      <c r="L1913" s="78"/>
      <c r="M1913" s="79"/>
      <c r="N1913" s="85"/>
      <c r="O1913" s="79"/>
      <c r="P1913" s="78"/>
      <c r="Q1913" s="1071"/>
    </row>
    <row r="1914" spans="9:17" ht="13.9" x14ac:dyDescent="0.4">
      <c r="I1914" s="1071"/>
      <c r="J1914" s="80" t="s">
        <v>212</v>
      </c>
      <c r="K1914" s="80" t="s">
        <v>838</v>
      </c>
      <c r="L1914" s="80" t="s">
        <v>2</v>
      </c>
      <c r="M1914" s="80" t="s">
        <v>21</v>
      </c>
      <c r="N1914" s="80" t="s">
        <v>174</v>
      </c>
      <c r="O1914" s="80" t="s">
        <v>14</v>
      </c>
      <c r="P1914" s="80" t="s">
        <v>890</v>
      </c>
      <c r="Q1914" s="1071"/>
    </row>
    <row r="1915" spans="9:17" ht="13.9" x14ac:dyDescent="0.4">
      <c r="I1915" s="1073">
        <f>IF($A$1=31,I1910+1,0)</f>
        <v>0</v>
      </c>
      <c r="J1915" s="156" t="str">
        <f>A4_Chem_Prices!T$38</f>
        <v>Optimize LIFT</v>
      </c>
      <c r="K1915" s="1538" t="s">
        <v>976</v>
      </c>
      <c r="L1915" s="158" t="str">
        <f>A4_Chem_Prices!U$38</f>
        <v>oz</v>
      </c>
      <c r="M1915" s="159">
        <f>A4_Chem_Prices!V$38</f>
        <v>0.15</v>
      </c>
      <c r="N1915" s="157">
        <v>8</v>
      </c>
      <c r="O1915" s="82">
        <f t="shared" ref="O1915:O1921" si="382">M1915*N1915</f>
        <v>1.2</v>
      </c>
      <c r="P1915" s="160">
        <f>N1915</f>
        <v>8</v>
      </c>
      <c r="Q1915" s="1071">
        <f>Q1910</f>
        <v>0</v>
      </c>
    </row>
    <row r="1916" spans="9:17" ht="13.9" x14ac:dyDescent="0.4">
      <c r="I1916" s="1073">
        <f t="shared" ref="I1916:I1921" si="383">IF($A$1=31,I1915+1,0)</f>
        <v>0</v>
      </c>
      <c r="J1916" s="156" t="s">
        <v>19</v>
      </c>
      <c r="K1916" s="1350" t="s">
        <v>839</v>
      </c>
      <c r="L1916" s="158"/>
      <c r="M1916" s="159">
        <v>0</v>
      </c>
      <c r="N1916" s="157">
        <v>0</v>
      </c>
      <c r="O1916" s="82">
        <f t="shared" si="382"/>
        <v>0</v>
      </c>
      <c r="P1916" s="160"/>
      <c r="Q1916" s="1071">
        <f t="shared" ref="Q1916:Q1921" si="384">Q1915</f>
        <v>0</v>
      </c>
    </row>
    <row r="1917" spans="9:17" ht="13.9" x14ac:dyDescent="0.4">
      <c r="I1917" s="1073">
        <f t="shared" si="383"/>
        <v>0</v>
      </c>
      <c r="J1917" s="156" t="s">
        <v>19</v>
      </c>
      <c r="K1917" s="1350" t="s">
        <v>839</v>
      </c>
      <c r="L1917" s="158"/>
      <c r="M1917" s="159">
        <v>0</v>
      </c>
      <c r="N1917" s="157">
        <v>0</v>
      </c>
      <c r="O1917" s="82">
        <f t="shared" si="382"/>
        <v>0</v>
      </c>
      <c r="P1917" s="160"/>
      <c r="Q1917" s="1071">
        <f t="shared" si="384"/>
        <v>0</v>
      </c>
    </row>
    <row r="1918" spans="9:17" ht="13.9" x14ac:dyDescent="0.4">
      <c r="I1918" s="1073">
        <f t="shared" si="383"/>
        <v>0</v>
      </c>
      <c r="J1918" s="156" t="s">
        <v>19</v>
      </c>
      <c r="K1918" s="1350" t="s">
        <v>839</v>
      </c>
      <c r="L1918" s="158"/>
      <c r="M1918" s="159">
        <v>0</v>
      </c>
      <c r="N1918" s="157">
        <v>0</v>
      </c>
      <c r="O1918" s="82">
        <f t="shared" si="382"/>
        <v>0</v>
      </c>
      <c r="P1918" s="160"/>
      <c r="Q1918" s="1071">
        <f t="shared" si="384"/>
        <v>0</v>
      </c>
    </row>
    <row r="1919" spans="9:17" ht="13.9" x14ac:dyDescent="0.4">
      <c r="I1919" s="1073">
        <f t="shared" si="383"/>
        <v>0</v>
      </c>
      <c r="J1919" s="156" t="s">
        <v>19</v>
      </c>
      <c r="K1919" s="1350" t="s">
        <v>839</v>
      </c>
      <c r="L1919" s="158"/>
      <c r="M1919" s="159">
        <v>0</v>
      </c>
      <c r="N1919" s="157">
        <v>0</v>
      </c>
      <c r="O1919" s="82">
        <f t="shared" si="382"/>
        <v>0</v>
      </c>
      <c r="P1919" s="160"/>
      <c r="Q1919" s="1071">
        <f t="shared" si="384"/>
        <v>0</v>
      </c>
    </row>
    <row r="1920" spans="9:17" ht="13.9" x14ac:dyDescent="0.4">
      <c r="I1920" s="1073">
        <f t="shared" si="383"/>
        <v>0</v>
      </c>
      <c r="J1920" s="156" t="s">
        <v>19</v>
      </c>
      <c r="K1920" s="1350" t="s">
        <v>839</v>
      </c>
      <c r="L1920" s="158"/>
      <c r="M1920" s="159">
        <v>0</v>
      </c>
      <c r="N1920" s="157">
        <v>0</v>
      </c>
      <c r="O1920" s="82">
        <f t="shared" si="382"/>
        <v>0</v>
      </c>
      <c r="P1920" s="158"/>
      <c r="Q1920" s="1071">
        <f t="shared" si="384"/>
        <v>0</v>
      </c>
    </row>
    <row r="1921" spans="9:17" ht="13.9" x14ac:dyDescent="0.4">
      <c r="I1921" s="1073">
        <f t="shared" si="383"/>
        <v>0</v>
      </c>
      <c r="J1921" s="156" t="s">
        <v>19</v>
      </c>
      <c r="K1921" s="1350" t="s">
        <v>839</v>
      </c>
      <c r="L1921" s="158"/>
      <c r="M1921" s="159">
        <v>0</v>
      </c>
      <c r="N1921" s="157">
        <v>0</v>
      </c>
      <c r="O1921" s="82">
        <f t="shared" si="382"/>
        <v>0</v>
      </c>
      <c r="P1921" s="158"/>
      <c r="Q1921" s="1071">
        <f t="shared" si="384"/>
        <v>0</v>
      </c>
    </row>
    <row r="1922" spans="9:17" ht="13.9" x14ac:dyDescent="0.4">
      <c r="I1922" s="1071"/>
      <c r="J1922" s="86" t="s">
        <v>22</v>
      </c>
      <c r="K1922" s="86"/>
      <c r="L1922" s="86"/>
      <c r="M1922" s="81"/>
      <c r="N1922" s="87"/>
      <c r="O1922" s="88">
        <f>SUM(O1915:O1921)</f>
        <v>1.2</v>
      </c>
      <c r="P1922" s="86"/>
      <c r="Q1922" s="1071"/>
    </row>
    <row r="1923" spans="9:17" ht="13.9" x14ac:dyDescent="0.4">
      <c r="I1923" s="1071"/>
      <c r="J1923" s="83"/>
      <c r="K1923" s="83"/>
      <c r="L1923" s="83"/>
      <c r="M1923" s="89"/>
      <c r="N1923" s="84"/>
      <c r="O1923" s="89"/>
      <c r="P1923" s="83"/>
      <c r="Q1923" s="1071"/>
    </row>
    <row r="1924" spans="9:17" ht="13.9" x14ac:dyDescent="0.4">
      <c r="I1924" s="1071"/>
      <c r="J1924" s="1168" t="str">
        <f>A2_Budget_Look_Up!H34</f>
        <v>Corn, Conventional, Furrow</v>
      </c>
      <c r="K1924" s="1168"/>
      <c r="L1924" s="1168">
        <f>A2_Budget_Look_Up!F34</f>
        <v>32</v>
      </c>
      <c r="M1924" s="1168"/>
      <c r="N1924" s="1168"/>
      <c r="O1924" s="1168"/>
      <c r="P1924" s="1168"/>
      <c r="Q1924" s="1071"/>
    </row>
    <row r="1925" spans="9:17" ht="13.9" x14ac:dyDescent="0.4">
      <c r="I1925" s="1071"/>
      <c r="J1925" s="83"/>
      <c r="K1925" s="83"/>
      <c r="L1925" s="83"/>
      <c r="M1925" s="83"/>
      <c r="N1925" s="84"/>
      <c r="O1925" s="83"/>
      <c r="P1925" s="83"/>
      <c r="Q1925" s="1071"/>
    </row>
    <row r="1926" spans="9:17" ht="13.9" x14ac:dyDescent="0.4">
      <c r="I1926" s="1071"/>
      <c r="J1926" s="78" t="s">
        <v>18</v>
      </c>
      <c r="K1926" s="78"/>
      <c r="L1926" s="78"/>
      <c r="M1926" s="79"/>
      <c r="N1926" s="85"/>
      <c r="O1926" s="79"/>
      <c r="P1926" s="78"/>
      <c r="Q1926" s="1071"/>
    </row>
    <row r="1927" spans="9:17" ht="13.9" x14ac:dyDescent="0.4">
      <c r="I1927" s="1071"/>
      <c r="J1927" s="80" t="s">
        <v>212</v>
      </c>
      <c r="K1927" s="80" t="s">
        <v>838</v>
      </c>
      <c r="L1927" s="80" t="s">
        <v>2</v>
      </c>
      <c r="M1927" s="80" t="s">
        <v>21</v>
      </c>
      <c r="N1927" s="80" t="s">
        <v>174</v>
      </c>
      <c r="O1927" s="80" t="s">
        <v>14</v>
      </c>
      <c r="P1927" s="80" t="s">
        <v>890</v>
      </c>
      <c r="Q1927" s="1071"/>
    </row>
    <row r="1928" spans="9:17" ht="13.9" x14ac:dyDescent="0.4">
      <c r="I1928" s="1073">
        <f>IF($A$1=32,1,0)</f>
        <v>0</v>
      </c>
      <c r="J1928" s="159" t="str">
        <f>A4_Chem_Prices!B$2</f>
        <v>Roundup Powermax 3</v>
      </c>
      <c r="K1928" s="1350" t="s">
        <v>839</v>
      </c>
      <c r="L1928" s="158" t="str">
        <f>A4_Chem_Prices!F$2</f>
        <v>pt</v>
      </c>
      <c r="M1928" s="159">
        <f>A4_Chem_Prices!G$2</f>
        <v>2.25</v>
      </c>
      <c r="N1928" s="157">
        <v>2</v>
      </c>
      <c r="O1928" s="82">
        <f t="shared" ref="O1928:O1941" si="385">M1928*N1928</f>
        <v>4.5</v>
      </c>
      <c r="P1928" s="160">
        <f>N1928*16</f>
        <v>32</v>
      </c>
      <c r="Q1928" s="1171">
        <f>IF(SUM(I1928:I1983)=820,L1924,0)</f>
        <v>0</v>
      </c>
    </row>
    <row r="1929" spans="9:17" ht="13.9" x14ac:dyDescent="0.4">
      <c r="I1929" s="1073">
        <f t="shared" ref="I1929:I1941" si="386">IF($A$1=32,I1928+1,0)</f>
        <v>0</v>
      </c>
      <c r="J1929" s="159" t="str">
        <f>A4_Chem_Prices!B$4</f>
        <v xml:space="preserve">Dual </v>
      </c>
      <c r="K1929" s="1350" t="s">
        <v>839</v>
      </c>
      <c r="L1929" s="160" t="str">
        <f>A4_Chem_Prices!C$4</f>
        <v>pt</v>
      </c>
      <c r="M1929" s="159">
        <f>A4_Chem_Prices!D$4</f>
        <v>4.8899999999999997</v>
      </c>
      <c r="N1929" s="157">
        <v>1.3</v>
      </c>
      <c r="O1929" s="82">
        <f t="shared" si="385"/>
        <v>6.3570000000000002</v>
      </c>
      <c r="P1929" s="160">
        <f>N1929*16</f>
        <v>20.8</v>
      </c>
      <c r="Q1929" s="1071">
        <f>Q1928</f>
        <v>0</v>
      </c>
    </row>
    <row r="1930" spans="9:17" ht="13.9" x14ac:dyDescent="0.4">
      <c r="I1930" s="1073">
        <f t="shared" si="386"/>
        <v>0</v>
      </c>
      <c r="J1930" s="159" t="str">
        <f>A4_Chem_Prices!B$4</f>
        <v xml:space="preserve">Dual </v>
      </c>
      <c r="K1930" s="1350" t="s">
        <v>839</v>
      </c>
      <c r="L1930" s="158" t="str">
        <f>A4_Chem_Prices!C$4</f>
        <v>pt</v>
      </c>
      <c r="M1930" s="159">
        <f>A4_Chem_Prices!D$4</f>
        <v>4.8899999999999997</v>
      </c>
      <c r="N1930" s="157">
        <v>1.3</v>
      </c>
      <c r="O1930" s="82">
        <f t="shared" si="385"/>
        <v>6.3570000000000002</v>
      </c>
      <c r="P1930" s="160">
        <f>N1930*16</f>
        <v>20.8</v>
      </c>
      <c r="Q1930" s="1071">
        <f t="shared" ref="Q1930:Q1941" si="387">Q1929</f>
        <v>0</v>
      </c>
    </row>
    <row r="1931" spans="9:17" ht="13.9" x14ac:dyDescent="0.4">
      <c r="I1931" s="1073">
        <f t="shared" si="386"/>
        <v>0</v>
      </c>
      <c r="J1931" s="159" t="str">
        <f>A4_Chem_Prices!B$3</f>
        <v>Atrazine</v>
      </c>
      <c r="K1931" s="1350" t="s">
        <v>839</v>
      </c>
      <c r="L1931" s="160" t="str">
        <f>A4_Chem_Prices!C$3</f>
        <v>qt</v>
      </c>
      <c r="M1931" s="159">
        <f>A4_Chem_Prices!D$3</f>
        <v>4.1124999999999998</v>
      </c>
      <c r="N1931" s="157">
        <v>2</v>
      </c>
      <c r="O1931" s="82">
        <f t="shared" si="385"/>
        <v>8.2249999999999996</v>
      </c>
      <c r="P1931" s="160">
        <f>N1931*32</f>
        <v>64</v>
      </c>
      <c r="Q1931" s="1071">
        <f t="shared" si="387"/>
        <v>0</v>
      </c>
    </row>
    <row r="1932" spans="9:17" ht="13.9" x14ac:dyDescent="0.4">
      <c r="I1932" s="1073">
        <f t="shared" si="386"/>
        <v>0</v>
      </c>
      <c r="J1932" s="159" t="str">
        <f>A4_Chem_Prices!B$5</f>
        <v>Accent Q</v>
      </c>
      <c r="K1932" s="1350" t="s">
        <v>839</v>
      </c>
      <c r="L1932" s="160" t="str">
        <f>A4_Chem_Prices!C$5</f>
        <v>oz</v>
      </c>
      <c r="M1932" s="159">
        <f>A4_Chem_Prices!D$5</f>
        <v>19</v>
      </c>
      <c r="N1932" s="157">
        <v>0.5</v>
      </c>
      <c r="O1932" s="82">
        <f t="shared" si="385"/>
        <v>9.5</v>
      </c>
      <c r="P1932" s="1449">
        <f>N1932</f>
        <v>0.5</v>
      </c>
      <c r="Q1932" s="1071">
        <f t="shared" si="387"/>
        <v>0</v>
      </c>
    </row>
    <row r="1933" spans="9:17" ht="13.9" x14ac:dyDescent="0.4">
      <c r="I1933" s="1073">
        <f t="shared" si="386"/>
        <v>0</v>
      </c>
      <c r="J1933" s="159" t="s">
        <v>19</v>
      </c>
      <c r="K1933" s="1350" t="s">
        <v>839</v>
      </c>
      <c r="L1933" s="160"/>
      <c r="M1933" s="159">
        <v>0</v>
      </c>
      <c r="N1933" s="157">
        <v>0</v>
      </c>
      <c r="O1933" s="82">
        <f t="shared" si="385"/>
        <v>0</v>
      </c>
      <c r="P1933" s="160"/>
      <c r="Q1933" s="1071">
        <f t="shared" si="387"/>
        <v>0</v>
      </c>
    </row>
    <row r="1934" spans="9:17" ht="13.9" x14ac:dyDescent="0.4">
      <c r="I1934" s="1073">
        <f t="shared" si="386"/>
        <v>0</v>
      </c>
      <c r="J1934" s="159" t="s">
        <v>19</v>
      </c>
      <c r="K1934" s="1350" t="s">
        <v>839</v>
      </c>
      <c r="L1934" s="160"/>
      <c r="M1934" s="159">
        <v>0</v>
      </c>
      <c r="N1934" s="157">
        <v>0</v>
      </c>
      <c r="O1934" s="82">
        <f t="shared" si="385"/>
        <v>0</v>
      </c>
      <c r="P1934" s="160"/>
      <c r="Q1934" s="1071">
        <f t="shared" si="387"/>
        <v>0</v>
      </c>
    </row>
    <row r="1935" spans="9:17" ht="13.9" x14ac:dyDescent="0.4">
      <c r="I1935" s="1073">
        <f t="shared" si="386"/>
        <v>0</v>
      </c>
      <c r="J1935" s="159" t="s">
        <v>19</v>
      </c>
      <c r="K1935" s="1350" t="s">
        <v>839</v>
      </c>
      <c r="L1935" s="160"/>
      <c r="M1935" s="159">
        <v>0</v>
      </c>
      <c r="N1935" s="157">
        <v>0</v>
      </c>
      <c r="O1935" s="82">
        <f t="shared" si="385"/>
        <v>0</v>
      </c>
      <c r="P1935" s="160"/>
      <c r="Q1935" s="1071">
        <f t="shared" si="387"/>
        <v>0</v>
      </c>
    </row>
    <row r="1936" spans="9:17" ht="13.9" x14ac:dyDescent="0.4">
      <c r="I1936" s="1073">
        <f t="shared" si="386"/>
        <v>0</v>
      </c>
      <c r="J1936" s="159" t="s">
        <v>19</v>
      </c>
      <c r="K1936" s="1350" t="s">
        <v>839</v>
      </c>
      <c r="L1936" s="160"/>
      <c r="M1936" s="159">
        <v>0</v>
      </c>
      <c r="N1936" s="157">
        <v>0</v>
      </c>
      <c r="O1936" s="82">
        <f t="shared" si="385"/>
        <v>0</v>
      </c>
      <c r="P1936" s="160"/>
      <c r="Q1936" s="1071">
        <f t="shared" si="387"/>
        <v>0</v>
      </c>
    </row>
    <row r="1937" spans="9:17" ht="13.9" x14ac:dyDescent="0.4">
      <c r="I1937" s="1073">
        <f t="shared" si="386"/>
        <v>0</v>
      </c>
      <c r="J1937" s="159" t="s">
        <v>19</v>
      </c>
      <c r="K1937" s="1350" t="s">
        <v>839</v>
      </c>
      <c r="L1937" s="160"/>
      <c r="M1937" s="159">
        <v>0</v>
      </c>
      <c r="N1937" s="157">
        <v>0</v>
      </c>
      <c r="O1937" s="82">
        <f t="shared" si="385"/>
        <v>0</v>
      </c>
      <c r="P1937" s="160"/>
      <c r="Q1937" s="1071">
        <f t="shared" si="387"/>
        <v>0</v>
      </c>
    </row>
    <row r="1938" spans="9:17" ht="13.9" x14ac:dyDescent="0.4">
      <c r="I1938" s="1073">
        <f t="shared" si="386"/>
        <v>0</v>
      </c>
      <c r="J1938" s="159" t="s">
        <v>19</v>
      </c>
      <c r="K1938" s="1350" t="s">
        <v>839</v>
      </c>
      <c r="L1938" s="160"/>
      <c r="M1938" s="159">
        <v>0</v>
      </c>
      <c r="N1938" s="157">
        <v>0</v>
      </c>
      <c r="O1938" s="82">
        <f t="shared" si="385"/>
        <v>0</v>
      </c>
      <c r="P1938" s="160"/>
      <c r="Q1938" s="1071">
        <f t="shared" si="387"/>
        <v>0</v>
      </c>
    </row>
    <row r="1939" spans="9:17" ht="13.9" x14ac:dyDescent="0.4">
      <c r="I1939" s="1073">
        <f t="shared" si="386"/>
        <v>0</v>
      </c>
      <c r="J1939" s="159" t="s">
        <v>19</v>
      </c>
      <c r="K1939" s="1350" t="s">
        <v>839</v>
      </c>
      <c r="L1939" s="160"/>
      <c r="M1939" s="159">
        <v>0</v>
      </c>
      <c r="N1939" s="157">
        <v>0</v>
      </c>
      <c r="O1939" s="82">
        <f t="shared" si="385"/>
        <v>0</v>
      </c>
      <c r="P1939" s="160"/>
      <c r="Q1939" s="1071">
        <f t="shared" si="387"/>
        <v>0</v>
      </c>
    </row>
    <row r="1940" spans="9:17" ht="13.9" x14ac:dyDescent="0.4">
      <c r="I1940" s="1073">
        <f t="shared" si="386"/>
        <v>0</v>
      </c>
      <c r="J1940" s="159" t="s">
        <v>19</v>
      </c>
      <c r="K1940" s="1350" t="s">
        <v>839</v>
      </c>
      <c r="L1940" s="160"/>
      <c r="M1940" s="159">
        <v>0</v>
      </c>
      <c r="N1940" s="157">
        <v>0</v>
      </c>
      <c r="O1940" s="82">
        <f t="shared" si="385"/>
        <v>0</v>
      </c>
      <c r="P1940" s="160"/>
      <c r="Q1940" s="1071">
        <f t="shared" si="387"/>
        <v>0</v>
      </c>
    </row>
    <row r="1941" spans="9:17" ht="13.9" x14ac:dyDescent="0.4">
      <c r="I1941" s="1073">
        <f t="shared" si="386"/>
        <v>0</v>
      </c>
      <c r="J1941" s="159" t="s">
        <v>19</v>
      </c>
      <c r="K1941" s="1350" t="s">
        <v>839</v>
      </c>
      <c r="L1941" s="160"/>
      <c r="M1941" s="159">
        <v>0</v>
      </c>
      <c r="N1941" s="157">
        <v>0</v>
      </c>
      <c r="O1941" s="82">
        <f t="shared" si="385"/>
        <v>0</v>
      </c>
      <c r="P1941" s="160"/>
      <c r="Q1941" s="1071">
        <f t="shared" si="387"/>
        <v>0</v>
      </c>
    </row>
    <row r="1942" spans="9:17" ht="13.9" x14ac:dyDescent="0.4">
      <c r="I1942" s="1071"/>
      <c r="J1942" s="86" t="s">
        <v>22</v>
      </c>
      <c r="K1942" s="86"/>
      <c r="L1942" s="86"/>
      <c r="M1942" s="81"/>
      <c r="N1942" s="87"/>
      <c r="O1942" s="88">
        <f>SUM(O1928:O1941)</f>
        <v>34.939</v>
      </c>
      <c r="P1942" s="86"/>
      <c r="Q1942" s="1071"/>
    </row>
    <row r="1943" spans="9:17" ht="13.9" x14ac:dyDescent="0.4">
      <c r="I1943" s="1071"/>
      <c r="J1943" s="83"/>
      <c r="K1943" s="83"/>
      <c r="L1943" s="83"/>
      <c r="M1943" s="83"/>
      <c r="N1943" s="84"/>
      <c r="O1943" s="83"/>
      <c r="P1943" s="83"/>
      <c r="Q1943" s="1071"/>
    </row>
    <row r="1944" spans="9:17" ht="13.9" x14ac:dyDescent="0.4">
      <c r="I1944" s="1071"/>
      <c r="J1944" s="78" t="s">
        <v>20</v>
      </c>
      <c r="K1944" s="78"/>
      <c r="L1944" s="78"/>
      <c r="M1944" s="79"/>
      <c r="N1944" s="85"/>
      <c r="O1944" s="79"/>
      <c r="P1944" s="78"/>
      <c r="Q1944" s="1071"/>
    </row>
    <row r="1945" spans="9:17" ht="13.9" x14ac:dyDescent="0.4">
      <c r="I1945" s="1071"/>
      <c r="J1945" s="80" t="s">
        <v>212</v>
      </c>
      <c r="K1945" s="80" t="s">
        <v>838</v>
      </c>
      <c r="L1945" s="80" t="s">
        <v>2</v>
      </c>
      <c r="M1945" s="80" t="s">
        <v>21</v>
      </c>
      <c r="N1945" s="80" t="s">
        <v>174</v>
      </c>
      <c r="O1945" s="80" t="s">
        <v>14</v>
      </c>
      <c r="P1945" s="80" t="s">
        <v>890</v>
      </c>
      <c r="Q1945" s="1071"/>
    </row>
    <row r="1946" spans="9:17" ht="13.9" x14ac:dyDescent="0.4">
      <c r="I1946" s="1073">
        <f>IF($A$1=32,I1941+1,0)</f>
        <v>0</v>
      </c>
      <c r="J1946" s="159" t="s">
        <v>803</v>
      </c>
      <c r="K1946" s="1350" t="s">
        <v>839</v>
      </c>
      <c r="L1946" s="160" t="str">
        <f>A4_Chem_Prices!C$18</f>
        <v>oz</v>
      </c>
      <c r="M1946" s="159">
        <f>A4_Chem_Prices!D$18</f>
        <v>1.05</v>
      </c>
      <c r="N1946" s="157">
        <v>14</v>
      </c>
      <c r="O1946" s="82">
        <f t="shared" ref="O1946:O1955" si="388">M1946*N1946</f>
        <v>14.700000000000001</v>
      </c>
      <c r="P1946" s="1449">
        <f>N1946</f>
        <v>14</v>
      </c>
      <c r="Q1946" s="1071">
        <f>Q1928</f>
        <v>0</v>
      </c>
    </row>
    <row r="1947" spans="9:17" ht="13.9" x14ac:dyDescent="0.4">
      <c r="I1947" s="1073">
        <f t="shared" ref="I1947:I1955" si="389">IF($A$1=32,I1946+1,0)</f>
        <v>0</v>
      </c>
      <c r="J1947" s="159" t="s">
        <v>19</v>
      </c>
      <c r="K1947" s="1350" t="s">
        <v>839</v>
      </c>
      <c r="L1947" s="160"/>
      <c r="M1947" s="159">
        <v>0</v>
      </c>
      <c r="N1947" s="157">
        <v>0</v>
      </c>
      <c r="O1947" s="82">
        <f t="shared" si="388"/>
        <v>0</v>
      </c>
      <c r="P1947" s="160"/>
      <c r="Q1947" s="1071">
        <f>Q1946</f>
        <v>0</v>
      </c>
    </row>
    <row r="1948" spans="9:17" ht="13.9" x14ac:dyDescent="0.4">
      <c r="I1948" s="1073">
        <f t="shared" si="389"/>
        <v>0</v>
      </c>
      <c r="J1948" s="159" t="s">
        <v>19</v>
      </c>
      <c r="K1948" s="1350" t="s">
        <v>839</v>
      </c>
      <c r="L1948" s="160"/>
      <c r="M1948" s="159">
        <v>0</v>
      </c>
      <c r="N1948" s="157">
        <v>0</v>
      </c>
      <c r="O1948" s="82">
        <f t="shared" si="388"/>
        <v>0</v>
      </c>
      <c r="P1948" s="160"/>
      <c r="Q1948" s="1071">
        <f t="shared" ref="Q1948:Q1955" si="390">Q1947</f>
        <v>0</v>
      </c>
    </row>
    <row r="1949" spans="9:17" ht="13.9" x14ac:dyDescent="0.4">
      <c r="I1949" s="1073">
        <f t="shared" si="389"/>
        <v>0</v>
      </c>
      <c r="J1949" s="159" t="s">
        <v>19</v>
      </c>
      <c r="K1949" s="1350" t="s">
        <v>839</v>
      </c>
      <c r="L1949" s="160"/>
      <c r="M1949" s="159">
        <v>0</v>
      </c>
      <c r="N1949" s="157">
        <v>0</v>
      </c>
      <c r="O1949" s="82">
        <f t="shared" si="388"/>
        <v>0</v>
      </c>
      <c r="P1949" s="160"/>
      <c r="Q1949" s="1071">
        <f t="shared" si="390"/>
        <v>0</v>
      </c>
    </row>
    <row r="1950" spans="9:17" ht="13.9" x14ac:dyDescent="0.4">
      <c r="I1950" s="1073">
        <f t="shared" si="389"/>
        <v>0</v>
      </c>
      <c r="J1950" s="159" t="s">
        <v>19</v>
      </c>
      <c r="K1950" s="1350" t="s">
        <v>839</v>
      </c>
      <c r="L1950" s="160"/>
      <c r="M1950" s="159">
        <v>0</v>
      </c>
      <c r="N1950" s="157">
        <v>0</v>
      </c>
      <c r="O1950" s="82">
        <f t="shared" si="388"/>
        <v>0</v>
      </c>
      <c r="P1950" s="158"/>
      <c r="Q1950" s="1071">
        <f t="shared" si="390"/>
        <v>0</v>
      </c>
    </row>
    <row r="1951" spans="9:17" ht="13.9" x14ac:dyDescent="0.4">
      <c r="I1951" s="1073">
        <f t="shared" si="389"/>
        <v>0</v>
      </c>
      <c r="J1951" s="159" t="s">
        <v>19</v>
      </c>
      <c r="K1951" s="1350" t="s">
        <v>839</v>
      </c>
      <c r="L1951" s="160"/>
      <c r="M1951" s="159">
        <v>0</v>
      </c>
      <c r="N1951" s="157">
        <v>0</v>
      </c>
      <c r="O1951" s="82">
        <f t="shared" si="388"/>
        <v>0</v>
      </c>
      <c r="P1951" s="158"/>
      <c r="Q1951" s="1071">
        <f t="shared" si="390"/>
        <v>0</v>
      </c>
    </row>
    <row r="1952" spans="9:17" ht="13.9" x14ac:dyDescent="0.4">
      <c r="I1952" s="1073">
        <f t="shared" si="389"/>
        <v>0</v>
      </c>
      <c r="J1952" s="159" t="s">
        <v>19</v>
      </c>
      <c r="K1952" s="1350" t="s">
        <v>839</v>
      </c>
      <c r="L1952" s="160"/>
      <c r="M1952" s="159">
        <v>0</v>
      </c>
      <c r="N1952" s="157">
        <v>0</v>
      </c>
      <c r="O1952" s="82">
        <f t="shared" si="388"/>
        <v>0</v>
      </c>
      <c r="P1952" s="158"/>
      <c r="Q1952" s="1071">
        <f t="shared" si="390"/>
        <v>0</v>
      </c>
    </row>
    <row r="1953" spans="9:17" ht="13.9" x14ac:dyDescent="0.4">
      <c r="I1953" s="1073">
        <f t="shared" si="389"/>
        <v>0</v>
      </c>
      <c r="J1953" s="159" t="s">
        <v>19</v>
      </c>
      <c r="K1953" s="1350" t="s">
        <v>839</v>
      </c>
      <c r="L1953" s="160"/>
      <c r="M1953" s="159">
        <v>0</v>
      </c>
      <c r="N1953" s="157">
        <v>0</v>
      </c>
      <c r="O1953" s="82">
        <f t="shared" si="388"/>
        <v>0</v>
      </c>
      <c r="P1953" s="158"/>
      <c r="Q1953" s="1071">
        <f t="shared" si="390"/>
        <v>0</v>
      </c>
    </row>
    <row r="1954" spans="9:17" ht="13.9" x14ac:dyDescent="0.4">
      <c r="I1954" s="1073">
        <f t="shared" si="389"/>
        <v>0</v>
      </c>
      <c r="J1954" s="159" t="s">
        <v>19</v>
      </c>
      <c r="K1954" s="1350" t="s">
        <v>839</v>
      </c>
      <c r="L1954" s="160"/>
      <c r="M1954" s="159">
        <v>0</v>
      </c>
      <c r="N1954" s="157">
        <v>0</v>
      </c>
      <c r="O1954" s="82">
        <f t="shared" si="388"/>
        <v>0</v>
      </c>
      <c r="P1954" s="158"/>
      <c r="Q1954" s="1071">
        <f t="shared" si="390"/>
        <v>0</v>
      </c>
    </row>
    <row r="1955" spans="9:17" ht="13.9" x14ac:dyDescent="0.4">
      <c r="I1955" s="1073">
        <f t="shared" si="389"/>
        <v>0</v>
      </c>
      <c r="J1955" s="159" t="s">
        <v>19</v>
      </c>
      <c r="K1955" s="1350" t="s">
        <v>839</v>
      </c>
      <c r="L1955" s="160"/>
      <c r="M1955" s="159">
        <v>0</v>
      </c>
      <c r="N1955" s="157">
        <v>0</v>
      </c>
      <c r="O1955" s="82">
        <f t="shared" si="388"/>
        <v>0</v>
      </c>
      <c r="P1955" s="158"/>
      <c r="Q1955" s="1071">
        <f t="shared" si="390"/>
        <v>0</v>
      </c>
    </row>
    <row r="1956" spans="9:17" ht="13.9" x14ac:dyDescent="0.4">
      <c r="I1956" s="1071"/>
      <c r="J1956" s="86" t="s">
        <v>22</v>
      </c>
      <c r="K1956" s="86"/>
      <c r="L1956" s="86"/>
      <c r="M1956" s="81"/>
      <c r="N1956" s="87"/>
      <c r="O1956" s="88">
        <f>SUM(O1946:O1955)</f>
        <v>14.700000000000001</v>
      </c>
      <c r="P1956" s="86"/>
      <c r="Q1956" s="1071"/>
    </row>
    <row r="1957" spans="9:17" ht="13.9" x14ac:dyDescent="0.4">
      <c r="I1957" s="1071"/>
      <c r="J1957" s="83"/>
      <c r="K1957" s="83"/>
      <c r="L1957" s="83"/>
      <c r="M1957" s="83"/>
      <c r="N1957" s="84"/>
      <c r="O1957" s="83"/>
      <c r="P1957" s="83"/>
      <c r="Q1957" s="1071"/>
    </row>
    <row r="1958" spans="9:17" ht="13.9" x14ac:dyDescent="0.4">
      <c r="I1958" s="1071"/>
      <c r="J1958" s="78" t="str">
        <f>IF(OR(A2_Budget_Look_Up!$B$7=1,A2_Budget_Look_Up!$B$13=1),"Nematicide Detail", "Fungicide Detail")</f>
        <v>Fungicide Detail</v>
      </c>
      <c r="K1958" s="78"/>
      <c r="L1958" s="78"/>
      <c r="M1958" s="79"/>
      <c r="N1958" s="85"/>
      <c r="O1958" s="79"/>
      <c r="P1958" s="78"/>
      <c r="Q1958" s="1071"/>
    </row>
    <row r="1959" spans="9:17" ht="13.9" x14ac:dyDescent="0.4">
      <c r="I1959" s="1071"/>
      <c r="J1959" s="80" t="s">
        <v>212</v>
      </c>
      <c r="K1959" s="80" t="s">
        <v>838</v>
      </c>
      <c r="L1959" s="80" t="s">
        <v>2</v>
      </c>
      <c r="M1959" s="80" t="s">
        <v>21</v>
      </c>
      <c r="N1959" s="80" t="s">
        <v>174</v>
      </c>
      <c r="O1959" s="80" t="s">
        <v>14</v>
      </c>
      <c r="P1959" s="80" t="s">
        <v>890</v>
      </c>
      <c r="Q1959" s="1071"/>
    </row>
    <row r="1960" spans="9:17" ht="13.9" x14ac:dyDescent="0.4">
      <c r="I1960" s="1073">
        <f>IF($A$1=32,I1955+1,0)</f>
        <v>0</v>
      </c>
      <c r="J1960" s="156" t="s">
        <v>19</v>
      </c>
      <c r="K1960" s="1350" t="s">
        <v>839</v>
      </c>
      <c r="L1960" s="158"/>
      <c r="M1960" s="159">
        <v>0</v>
      </c>
      <c r="N1960" s="157">
        <v>0</v>
      </c>
      <c r="O1960" s="82">
        <f>M1960*N1960</f>
        <v>0</v>
      </c>
      <c r="P1960" s="158"/>
      <c r="Q1960" s="1071">
        <f>Q1955</f>
        <v>0</v>
      </c>
    </row>
    <row r="1961" spans="9:17" ht="13.9" x14ac:dyDescent="0.4">
      <c r="I1961" s="1073">
        <f>IF($A$1=32,I1960+1,0)</f>
        <v>0</v>
      </c>
      <c r="J1961" s="156" t="s">
        <v>19</v>
      </c>
      <c r="K1961" s="1350" t="s">
        <v>839</v>
      </c>
      <c r="L1961" s="158"/>
      <c r="M1961" s="159">
        <v>0</v>
      </c>
      <c r="N1961" s="157">
        <v>0</v>
      </c>
      <c r="O1961" s="82">
        <f>M1961*N1961</f>
        <v>0</v>
      </c>
      <c r="P1961" s="158"/>
      <c r="Q1961" s="1071">
        <f>Q1960</f>
        <v>0</v>
      </c>
    </row>
    <row r="1962" spans="9:17" ht="13.9" x14ac:dyDescent="0.4">
      <c r="I1962" s="1071"/>
      <c r="J1962" s="86" t="s">
        <v>22</v>
      </c>
      <c r="K1962" s="86"/>
      <c r="L1962" s="86"/>
      <c r="M1962" s="81"/>
      <c r="N1962" s="87"/>
      <c r="O1962" s="88">
        <f>SUM(O1960:O1961)</f>
        <v>0</v>
      </c>
      <c r="P1962" s="86"/>
      <c r="Q1962" s="1071"/>
    </row>
    <row r="1963" spans="9:17" ht="13.9" x14ac:dyDescent="0.4">
      <c r="I1963" s="1071"/>
      <c r="J1963" s="83"/>
      <c r="K1963" s="83"/>
      <c r="L1963" s="83"/>
      <c r="M1963" s="83"/>
      <c r="N1963" s="84"/>
      <c r="O1963" s="83"/>
      <c r="P1963" s="83"/>
      <c r="Q1963" s="1071"/>
    </row>
    <row r="1964" spans="9:17" ht="13.9" x14ac:dyDescent="0.4">
      <c r="I1964" s="1071"/>
      <c r="J1964" s="78" t="str">
        <f>IF(A2_Budget_Look_Up!$B$7=1,"Growth Regulator Detail", IF(A2_Budget_Look_Up!$B$13=1,"Fungicide Detail","Other Chemical Detail"))</f>
        <v>Other Chemical Detail</v>
      </c>
      <c r="K1964" s="78"/>
      <c r="L1964" s="78"/>
      <c r="M1964" s="79"/>
      <c r="N1964" s="85"/>
      <c r="O1964" s="79"/>
      <c r="P1964" s="78"/>
      <c r="Q1964" s="1071"/>
    </row>
    <row r="1965" spans="9:17" ht="13.9" x14ac:dyDescent="0.4">
      <c r="I1965" s="1071"/>
      <c r="J1965" s="80" t="s">
        <v>212</v>
      </c>
      <c r="K1965" s="80" t="s">
        <v>838</v>
      </c>
      <c r="L1965" s="80" t="s">
        <v>2</v>
      </c>
      <c r="M1965" s="80" t="s">
        <v>21</v>
      </c>
      <c r="N1965" s="80" t="s">
        <v>174</v>
      </c>
      <c r="O1965" s="80" t="s">
        <v>14</v>
      </c>
      <c r="P1965" s="80" t="s">
        <v>890</v>
      </c>
      <c r="Q1965" s="1071"/>
    </row>
    <row r="1966" spans="9:17" ht="13.9" x14ac:dyDescent="0.4">
      <c r="I1966" s="1073">
        <f>IF($A$1=32,I1961+1,0)</f>
        <v>0</v>
      </c>
      <c r="J1966" s="156" t="s">
        <v>19</v>
      </c>
      <c r="K1966" s="1350" t="s">
        <v>839</v>
      </c>
      <c r="L1966" s="158"/>
      <c r="M1966" s="159">
        <v>0</v>
      </c>
      <c r="N1966" s="157">
        <v>0</v>
      </c>
      <c r="O1966" s="82">
        <f t="shared" ref="O1966:O1972" si="391">M1966*N1966</f>
        <v>0</v>
      </c>
      <c r="P1966" s="160"/>
      <c r="Q1966" s="1071">
        <f>Q1961</f>
        <v>0</v>
      </c>
    </row>
    <row r="1967" spans="9:17" ht="13.9" x14ac:dyDescent="0.4">
      <c r="I1967" s="1073">
        <f t="shared" ref="I1967:I1972" si="392">IF($A$1=32,I1966+1,0)</f>
        <v>0</v>
      </c>
      <c r="J1967" s="156" t="s">
        <v>19</v>
      </c>
      <c r="K1967" s="1350" t="s">
        <v>839</v>
      </c>
      <c r="L1967" s="158"/>
      <c r="M1967" s="159">
        <v>0</v>
      </c>
      <c r="N1967" s="157">
        <v>0</v>
      </c>
      <c r="O1967" s="82">
        <f t="shared" si="391"/>
        <v>0</v>
      </c>
      <c r="P1967" s="160"/>
      <c r="Q1967" s="1071">
        <f t="shared" ref="Q1967:Q1972" si="393">Q1966</f>
        <v>0</v>
      </c>
    </row>
    <row r="1968" spans="9:17" ht="13.9" x14ac:dyDescent="0.4">
      <c r="I1968" s="1073">
        <f t="shared" si="392"/>
        <v>0</v>
      </c>
      <c r="J1968" s="156" t="s">
        <v>19</v>
      </c>
      <c r="K1968" s="1350" t="s">
        <v>839</v>
      </c>
      <c r="L1968" s="158"/>
      <c r="M1968" s="159">
        <v>0</v>
      </c>
      <c r="N1968" s="157">
        <v>0</v>
      </c>
      <c r="O1968" s="82">
        <f t="shared" si="391"/>
        <v>0</v>
      </c>
      <c r="P1968" s="160"/>
      <c r="Q1968" s="1071">
        <f t="shared" si="393"/>
        <v>0</v>
      </c>
    </row>
    <row r="1969" spans="9:17" ht="13.9" x14ac:dyDescent="0.4">
      <c r="I1969" s="1073">
        <f t="shared" si="392"/>
        <v>0</v>
      </c>
      <c r="J1969" s="156" t="s">
        <v>19</v>
      </c>
      <c r="K1969" s="1350" t="s">
        <v>839</v>
      </c>
      <c r="L1969" s="158"/>
      <c r="M1969" s="159">
        <v>0</v>
      </c>
      <c r="N1969" s="157">
        <v>0</v>
      </c>
      <c r="O1969" s="82">
        <f t="shared" si="391"/>
        <v>0</v>
      </c>
      <c r="P1969" s="158"/>
      <c r="Q1969" s="1071">
        <f t="shared" si="393"/>
        <v>0</v>
      </c>
    </row>
    <row r="1970" spans="9:17" ht="13.9" x14ac:dyDescent="0.4">
      <c r="I1970" s="1073">
        <f t="shared" si="392"/>
        <v>0</v>
      </c>
      <c r="J1970" s="156" t="s">
        <v>19</v>
      </c>
      <c r="K1970" s="1350" t="s">
        <v>839</v>
      </c>
      <c r="L1970" s="158"/>
      <c r="M1970" s="159">
        <v>0</v>
      </c>
      <c r="N1970" s="157">
        <v>0</v>
      </c>
      <c r="O1970" s="82">
        <f t="shared" si="391"/>
        <v>0</v>
      </c>
      <c r="P1970" s="158"/>
      <c r="Q1970" s="1071">
        <f t="shared" si="393"/>
        <v>0</v>
      </c>
    </row>
    <row r="1971" spans="9:17" ht="13.9" x14ac:dyDescent="0.4">
      <c r="I1971" s="1073">
        <f t="shared" si="392"/>
        <v>0</v>
      </c>
      <c r="J1971" s="156" t="s">
        <v>19</v>
      </c>
      <c r="K1971" s="1350" t="s">
        <v>839</v>
      </c>
      <c r="L1971" s="158"/>
      <c r="M1971" s="159">
        <v>0</v>
      </c>
      <c r="N1971" s="157">
        <v>0</v>
      </c>
      <c r="O1971" s="82">
        <f t="shared" si="391"/>
        <v>0</v>
      </c>
      <c r="P1971" s="158"/>
      <c r="Q1971" s="1071">
        <f t="shared" si="393"/>
        <v>0</v>
      </c>
    </row>
    <row r="1972" spans="9:17" ht="13.9" x14ac:dyDescent="0.4">
      <c r="I1972" s="1073">
        <f t="shared" si="392"/>
        <v>0</v>
      </c>
      <c r="J1972" s="156" t="s">
        <v>19</v>
      </c>
      <c r="K1972" s="1350" t="s">
        <v>839</v>
      </c>
      <c r="L1972" s="158"/>
      <c r="M1972" s="159">
        <v>0</v>
      </c>
      <c r="N1972" s="157">
        <v>0</v>
      </c>
      <c r="O1972" s="82">
        <f t="shared" si="391"/>
        <v>0</v>
      </c>
      <c r="P1972" s="158"/>
      <c r="Q1972" s="1071">
        <f t="shared" si="393"/>
        <v>0</v>
      </c>
    </row>
    <row r="1973" spans="9:17" ht="13.9" x14ac:dyDescent="0.4">
      <c r="I1973" s="1071"/>
      <c r="J1973" s="86" t="s">
        <v>22</v>
      </c>
      <c r="K1973" s="86"/>
      <c r="L1973" s="86"/>
      <c r="M1973" s="81"/>
      <c r="N1973" s="87"/>
      <c r="O1973" s="88">
        <f>SUM(O1966:O1972)</f>
        <v>0</v>
      </c>
      <c r="P1973" s="86"/>
      <c r="Q1973" s="1071"/>
    </row>
    <row r="1974" spans="9:17" ht="13.9" x14ac:dyDescent="0.4">
      <c r="I1974" s="1071"/>
      <c r="J1974" s="83"/>
      <c r="K1974" s="83"/>
      <c r="L1974" s="83"/>
      <c r="M1974" s="83"/>
      <c r="N1974" s="84"/>
      <c r="O1974" s="83"/>
      <c r="P1974" s="83"/>
      <c r="Q1974" s="1071"/>
    </row>
    <row r="1975" spans="9:17" ht="13.9" x14ac:dyDescent="0.4">
      <c r="I1975" s="1071"/>
      <c r="J1975" s="78" t="str">
        <f>IF(A2_Budget_Look_Up!$B$7=1,"Defoliant Detail", "Other Chemical Detail")</f>
        <v>Other Chemical Detail</v>
      </c>
      <c r="K1975" s="78"/>
      <c r="L1975" s="78"/>
      <c r="M1975" s="79"/>
      <c r="N1975" s="85"/>
      <c r="O1975" s="79"/>
      <c r="P1975" s="78"/>
      <c r="Q1975" s="1071"/>
    </row>
    <row r="1976" spans="9:17" ht="13.9" x14ac:dyDescent="0.4">
      <c r="I1976" s="1071"/>
      <c r="J1976" s="80" t="s">
        <v>212</v>
      </c>
      <c r="K1976" s="80" t="s">
        <v>838</v>
      </c>
      <c r="L1976" s="80" t="s">
        <v>2</v>
      </c>
      <c r="M1976" s="80" t="s">
        <v>21</v>
      </c>
      <c r="N1976" s="80" t="s">
        <v>174</v>
      </c>
      <c r="O1976" s="80" t="s">
        <v>14</v>
      </c>
      <c r="P1976" s="80" t="s">
        <v>890</v>
      </c>
      <c r="Q1976" s="1071"/>
    </row>
    <row r="1977" spans="9:17" ht="13.9" x14ac:dyDescent="0.4">
      <c r="I1977" s="1073">
        <f>IF($A$1=32,I1972+1,0)</f>
        <v>0</v>
      </c>
      <c r="J1977" s="156" t="s">
        <v>19</v>
      </c>
      <c r="K1977" s="1350" t="s">
        <v>839</v>
      </c>
      <c r="L1977" s="158"/>
      <c r="M1977" s="159">
        <v>0</v>
      </c>
      <c r="N1977" s="157">
        <v>0</v>
      </c>
      <c r="O1977" s="82">
        <f t="shared" ref="O1977:O1983" si="394">M1977*N1977</f>
        <v>0</v>
      </c>
      <c r="P1977" s="160"/>
      <c r="Q1977" s="1071">
        <f>Q1972</f>
        <v>0</v>
      </c>
    </row>
    <row r="1978" spans="9:17" ht="13.9" x14ac:dyDescent="0.4">
      <c r="I1978" s="1073">
        <f t="shared" ref="I1978:I1983" si="395">IF($A$1=32,I1977+1,0)</f>
        <v>0</v>
      </c>
      <c r="J1978" s="156" t="s">
        <v>19</v>
      </c>
      <c r="K1978" s="1350" t="s">
        <v>839</v>
      </c>
      <c r="L1978" s="158"/>
      <c r="M1978" s="159">
        <v>0</v>
      </c>
      <c r="N1978" s="157">
        <v>0</v>
      </c>
      <c r="O1978" s="82">
        <f t="shared" si="394"/>
        <v>0</v>
      </c>
      <c r="P1978" s="160"/>
      <c r="Q1978" s="1071">
        <f t="shared" ref="Q1978:Q1983" si="396">Q1977</f>
        <v>0</v>
      </c>
    </row>
    <row r="1979" spans="9:17" ht="13.9" x14ac:dyDescent="0.4">
      <c r="I1979" s="1073">
        <f t="shared" si="395"/>
        <v>0</v>
      </c>
      <c r="J1979" s="156" t="s">
        <v>19</v>
      </c>
      <c r="K1979" s="1350" t="s">
        <v>839</v>
      </c>
      <c r="L1979" s="158"/>
      <c r="M1979" s="159">
        <v>0</v>
      </c>
      <c r="N1979" s="157">
        <v>0</v>
      </c>
      <c r="O1979" s="82">
        <f t="shared" si="394"/>
        <v>0</v>
      </c>
      <c r="P1979" s="160"/>
      <c r="Q1979" s="1071">
        <f t="shared" si="396"/>
        <v>0</v>
      </c>
    </row>
    <row r="1980" spans="9:17" ht="13.9" x14ac:dyDescent="0.4">
      <c r="I1980" s="1073">
        <f t="shared" si="395"/>
        <v>0</v>
      </c>
      <c r="J1980" s="156" t="s">
        <v>19</v>
      </c>
      <c r="K1980" s="1350" t="s">
        <v>839</v>
      </c>
      <c r="L1980" s="158"/>
      <c r="M1980" s="159">
        <v>0</v>
      </c>
      <c r="N1980" s="157">
        <v>0</v>
      </c>
      <c r="O1980" s="82">
        <f t="shared" si="394"/>
        <v>0</v>
      </c>
      <c r="P1980" s="160"/>
      <c r="Q1980" s="1071">
        <f t="shared" si="396"/>
        <v>0</v>
      </c>
    </row>
    <row r="1981" spans="9:17" ht="13.9" x14ac:dyDescent="0.4">
      <c r="I1981" s="1073">
        <f t="shared" si="395"/>
        <v>0</v>
      </c>
      <c r="J1981" s="156" t="s">
        <v>19</v>
      </c>
      <c r="K1981" s="1350" t="s">
        <v>839</v>
      </c>
      <c r="L1981" s="158"/>
      <c r="M1981" s="159">
        <v>0</v>
      </c>
      <c r="N1981" s="157">
        <v>0</v>
      </c>
      <c r="O1981" s="82">
        <f t="shared" si="394"/>
        <v>0</v>
      </c>
      <c r="P1981" s="160"/>
      <c r="Q1981" s="1071">
        <f t="shared" si="396"/>
        <v>0</v>
      </c>
    </row>
    <row r="1982" spans="9:17" ht="13.9" x14ac:dyDescent="0.4">
      <c r="I1982" s="1073">
        <f t="shared" si="395"/>
        <v>0</v>
      </c>
      <c r="J1982" s="156" t="s">
        <v>19</v>
      </c>
      <c r="K1982" s="1350" t="s">
        <v>839</v>
      </c>
      <c r="L1982" s="158"/>
      <c r="M1982" s="159">
        <v>0</v>
      </c>
      <c r="N1982" s="157">
        <v>0</v>
      </c>
      <c r="O1982" s="82">
        <f t="shared" si="394"/>
        <v>0</v>
      </c>
      <c r="P1982" s="158"/>
      <c r="Q1982" s="1071">
        <f t="shared" si="396"/>
        <v>0</v>
      </c>
    </row>
    <row r="1983" spans="9:17" ht="13.9" x14ac:dyDescent="0.4">
      <c r="I1983" s="1073">
        <f t="shared" si="395"/>
        <v>0</v>
      </c>
      <c r="J1983" s="156" t="s">
        <v>19</v>
      </c>
      <c r="K1983" s="1350" t="s">
        <v>839</v>
      </c>
      <c r="L1983" s="158"/>
      <c r="M1983" s="159">
        <v>0</v>
      </c>
      <c r="N1983" s="157">
        <v>0</v>
      </c>
      <c r="O1983" s="82">
        <f t="shared" si="394"/>
        <v>0</v>
      </c>
      <c r="P1983" s="158"/>
      <c r="Q1983" s="1071">
        <f t="shared" si="396"/>
        <v>0</v>
      </c>
    </row>
    <row r="1984" spans="9:17" ht="13.9" x14ac:dyDescent="0.4">
      <c r="I1984" s="1071"/>
      <c r="J1984" s="86" t="s">
        <v>22</v>
      </c>
      <c r="K1984" s="86"/>
      <c r="L1984" s="86"/>
      <c r="M1984" s="81"/>
      <c r="N1984" s="87"/>
      <c r="O1984" s="88">
        <f>SUM(O1977:O1983)</f>
        <v>0</v>
      </c>
      <c r="P1984" s="86"/>
      <c r="Q1984" s="1071"/>
    </row>
    <row r="1986" spans="9:17" ht="13.9" x14ac:dyDescent="0.4">
      <c r="I1986" s="1071"/>
      <c r="J1986" s="1168" t="str">
        <f>A2_Budget_Look_Up!H35</f>
        <v>Corn, Conventional, Pivot</v>
      </c>
      <c r="K1986" s="1168"/>
      <c r="L1986" s="1168">
        <f>A2_Budget_Look_Up!F35</f>
        <v>33</v>
      </c>
      <c r="M1986" s="1168"/>
      <c r="N1986" s="1168"/>
      <c r="O1986" s="1168"/>
      <c r="P1986" s="1168"/>
      <c r="Q1986" s="1071"/>
    </row>
    <row r="1987" spans="9:17" ht="13.9" x14ac:dyDescent="0.4">
      <c r="I1987" s="1071"/>
      <c r="J1987" s="83"/>
      <c r="K1987" s="83"/>
      <c r="L1987" s="83"/>
      <c r="M1987" s="83"/>
      <c r="N1987" s="84"/>
      <c r="O1987" s="83"/>
      <c r="P1987" s="83"/>
      <c r="Q1987" s="1071"/>
    </row>
    <row r="1988" spans="9:17" ht="13.9" x14ac:dyDescent="0.4">
      <c r="I1988" s="1071"/>
      <c r="J1988" s="78" t="s">
        <v>18</v>
      </c>
      <c r="K1988" s="78"/>
      <c r="L1988" s="78"/>
      <c r="M1988" s="79"/>
      <c r="N1988" s="85"/>
      <c r="O1988" s="79"/>
      <c r="P1988" s="78"/>
      <c r="Q1988" s="1071"/>
    </row>
    <row r="1989" spans="9:17" ht="13.9" x14ac:dyDescent="0.4">
      <c r="I1989" s="1071"/>
      <c r="J1989" s="80" t="s">
        <v>212</v>
      </c>
      <c r="K1989" s="80" t="s">
        <v>838</v>
      </c>
      <c r="L1989" s="80" t="s">
        <v>2</v>
      </c>
      <c r="M1989" s="80" t="s">
        <v>21</v>
      </c>
      <c r="N1989" s="80" t="s">
        <v>174</v>
      </c>
      <c r="O1989" s="80" t="s">
        <v>14</v>
      </c>
      <c r="P1989" s="80" t="s">
        <v>890</v>
      </c>
      <c r="Q1989" s="1071"/>
    </row>
    <row r="1990" spans="9:17" ht="13.9" x14ac:dyDescent="0.4">
      <c r="I1990" s="1073">
        <f>IF($A$1=33,1,0)</f>
        <v>0</v>
      </c>
      <c r="J1990" s="159" t="str">
        <f>A4_Chem_Prices!B$2</f>
        <v>Roundup Powermax 3</v>
      </c>
      <c r="K1990" s="1350" t="s">
        <v>839</v>
      </c>
      <c r="L1990" s="158" t="str">
        <f>A4_Chem_Prices!F$2</f>
        <v>pt</v>
      </c>
      <c r="M1990" s="159">
        <f>A4_Chem_Prices!G$2</f>
        <v>2.25</v>
      </c>
      <c r="N1990" s="157">
        <v>2</v>
      </c>
      <c r="O1990" s="82">
        <f t="shared" ref="O1990:O2003" si="397">M1990*N1990</f>
        <v>4.5</v>
      </c>
      <c r="P1990" s="160">
        <f>N1990*16</f>
        <v>32</v>
      </c>
      <c r="Q1990" s="1171">
        <f>IF(SUM(I1990:I2045)=820,L1986,0)</f>
        <v>0</v>
      </c>
    </row>
    <row r="1991" spans="9:17" ht="13.9" x14ac:dyDescent="0.4">
      <c r="I1991" s="1073">
        <f t="shared" ref="I1991:I2003" si="398">IF($A$1=33,I1990+1,0)</f>
        <v>0</v>
      </c>
      <c r="J1991" s="159" t="str">
        <f>A4_Chem_Prices!B$4</f>
        <v xml:space="preserve">Dual </v>
      </c>
      <c r="K1991" s="1350" t="s">
        <v>839</v>
      </c>
      <c r="L1991" s="160" t="str">
        <f>A4_Chem_Prices!C$4</f>
        <v>pt</v>
      </c>
      <c r="M1991" s="159">
        <f>A4_Chem_Prices!D$4</f>
        <v>4.8899999999999997</v>
      </c>
      <c r="N1991" s="157">
        <v>1.3</v>
      </c>
      <c r="O1991" s="82">
        <f t="shared" si="397"/>
        <v>6.3570000000000002</v>
      </c>
      <c r="P1991" s="160">
        <f>N1991*16</f>
        <v>20.8</v>
      </c>
      <c r="Q1991" s="1071">
        <f>Q1990</f>
        <v>0</v>
      </c>
    </row>
    <row r="1992" spans="9:17" ht="13.9" x14ac:dyDescent="0.4">
      <c r="I1992" s="1073">
        <f t="shared" si="398"/>
        <v>0</v>
      </c>
      <c r="J1992" s="159" t="str">
        <f>A4_Chem_Prices!B$4</f>
        <v xml:space="preserve">Dual </v>
      </c>
      <c r="K1992" s="1350" t="s">
        <v>839</v>
      </c>
      <c r="L1992" s="158" t="str">
        <f>A4_Chem_Prices!C$4</f>
        <v>pt</v>
      </c>
      <c r="M1992" s="159">
        <f>A4_Chem_Prices!D$4</f>
        <v>4.8899999999999997</v>
      </c>
      <c r="N1992" s="157">
        <v>1.3</v>
      </c>
      <c r="O1992" s="82">
        <f t="shared" si="397"/>
        <v>6.3570000000000002</v>
      </c>
      <c r="P1992" s="160">
        <f>N1992*16</f>
        <v>20.8</v>
      </c>
      <c r="Q1992" s="1071">
        <f t="shared" ref="Q1992:Q2003" si="399">Q1991</f>
        <v>0</v>
      </c>
    </row>
    <row r="1993" spans="9:17" ht="13.9" x14ac:dyDescent="0.4">
      <c r="I1993" s="1073">
        <f t="shared" si="398"/>
        <v>0</v>
      </c>
      <c r="J1993" s="159" t="str">
        <f>A4_Chem_Prices!B$3</f>
        <v>Atrazine</v>
      </c>
      <c r="K1993" s="1350" t="s">
        <v>839</v>
      </c>
      <c r="L1993" s="160" t="str">
        <f>A4_Chem_Prices!C$3</f>
        <v>qt</v>
      </c>
      <c r="M1993" s="159">
        <f>A4_Chem_Prices!D$3</f>
        <v>4.1124999999999998</v>
      </c>
      <c r="N1993" s="157">
        <v>2</v>
      </c>
      <c r="O1993" s="82">
        <f t="shared" si="397"/>
        <v>8.2249999999999996</v>
      </c>
      <c r="P1993" s="160">
        <f>N1993*32</f>
        <v>64</v>
      </c>
      <c r="Q1993" s="1071">
        <f t="shared" si="399"/>
        <v>0</v>
      </c>
    </row>
    <row r="1994" spans="9:17" ht="13.9" x14ac:dyDescent="0.4">
      <c r="I1994" s="1073">
        <f t="shared" si="398"/>
        <v>0</v>
      </c>
      <c r="J1994" s="159" t="str">
        <f>A4_Chem_Prices!B$5</f>
        <v>Accent Q</v>
      </c>
      <c r="K1994" s="1350" t="s">
        <v>839</v>
      </c>
      <c r="L1994" s="160" t="str">
        <f>A4_Chem_Prices!C$5</f>
        <v>oz</v>
      </c>
      <c r="M1994" s="159">
        <f>A4_Chem_Prices!D$5</f>
        <v>19</v>
      </c>
      <c r="N1994" s="157">
        <v>0.5</v>
      </c>
      <c r="O1994" s="82">
        <f t="shared" si="397"/>
        <v>9.5</v>
      </c>
      <c r="P1994" s="1449">
        <f>N1994</f>
        <v>0.5</v>
      </c>
      <c r="Q1994" s="1071">
        <f t="shared" si="399"/>
        <v>0</v>
      </c>
    </row>
    <row r="1995" spans="9:17" ht="13.9" x14ac:dyDescent="0.4">
      <c r="I1995" s="1073">
        <f t="shared" si="398"/>
        <v>0</v>
      </c>
      <c r="J1995" s="159" t="s">
        <v>19</v>
      </c>
      <c r="K1995" s="1350" t="s">
        <v>839</v>
      </c>
      <c r="L1995" s="160"/>
      <c r="M1995" s="159">
        <v>0</v>
      </c>
      <c r="N1995" s="157">
        <v>0</v>
      </c>
      <c r="O1995" s="82">
        <f t="shared" si="397"/>
        <v>0</v>
      </c>
      <c r="P1995" s="160"/>
      <c r="Q1995" s="1071">
        <f t="shared" si="399"/>
        <v>0</v>
      </c>
    </row>
    <row r="1996" spans="9:17" ht="13.9" x14ac:dyDescent="0.4">
      <c r="I1996" s="1073">
        <f t="shared" si="398"/>
        <v>0</v>
      </c>
      <c r="J1996" s="159" t="s">
        <v>19</v>
      </c>
      <c r="K1996" s="1350" t="s">
        <v>839</v>
      </c>
      <c r="L1996" s="160"/>
      <c r="M1996" s="159">
        <v>0</v>
      </c>
      <c r="N1996" s="157">
        <v>0</v>
      </c>
      <c r="O1996" s="82">
        <f t="shared" si="397"/>
        <v>0</v>
      </c>
      <c r="P1996" s="160"/>
      <c r="Q1996" s="1071">
        <f t="shared" si="399"/>
        <v>0</v>
      </c>
    </row>
    <row r="1997" spans="9:17" ht="13.9" x14ac:dyDescent="0.4">
      <c r="I1997" s="1073">
        <f t="shared" si="398"/>
        <v>0</v>
      </c>
      <c r="J1997" s="159" t="s">
        <v>19</v>
      </c>
      <c r="K1997" s="1350" t="s">
        <v>839</v>
      </c>
      <c r="L1997" s="160"/>
      <c r="M1997" s="159">
        <v>0</v>
      </c>
      <c r="N1997" s="157">
        <v>0</v>
      </c>
      <c r="O1997" s="82">
        <f t="shared" si="397"/>
        <v>0</v>
      </c>
      <c r="P1997" s="160"/>
      <c r="Q1997" s="1071">
        <f t="shared" si="399"/>
        <v>0</v>
      </c>
    </row>
    <row r="1998" spans="9:17" ht="13.9" x14ac:dyDescent="0.4">
      <c r="I1998" s="1073">
        <f t="shared" si="398"/>
        <v>0</v>
      </c>
      <c r="J1998" s="159" t="s">
        <v>19</v>
      </c>
      <c r="K1998" s="1350" t="s">
        <v>839</v>
      </c>
      <c r="L1998" s="160"/>
      <c r="M1998" s="159">
        <v>0</v>
      </c>
      <c r="N1998" s="157">
        <v>0</v>
      </c>
      <c r="O1998" s="82">
        <f t="shared" si="397"/>
        <v>0</v>
      </c>
      <c r="P1998" s="160"/>
      <c r="Q1998" s="1071">
        <f t="shared" si="399"/>
        <v>0</v>
      </c>
    </row>
    <row r="1999" spans="9:17" ht="13.9" x14ac:dyDescent="0.4">
      <c r="I1999" s="1073">
        <f t="shared" si="398"/>
        <v>0</v>
      </c>
      <c r="J1999" s="159" t="s">
        <v>19</v>
      </c>
      <c r="K1999" s="1350" t="s">
        <v>839</v>
      </c>
      <c r="L1999" s="160"/>
      <c r="M1999" s="159">
        <v>0</v>
      </c>
      <c r="N1999" s="157">
        <v>0</v>
      </c>
      <c r="O1999" s="82">
        <f t="shared" si="397"/>
        <v>0</v>
      </c>
      <c r="P1999" s="160"/>
      <c r="Q1999" s="1071">
        <f t="shared" si="399"/>
        <v>0</v>
      </c>
    </row>
    <row r="2000" spans="9:17" ht="13.9" x14ac:dyDescent="0.4">
      <c r="I2000" s="1073">
        <f t="shared" si="398"/>
        <v>0</v>
      </c>
      <c r="J2000" s="159" t="s">
        <v>19</v>
      </c>
      <c r="K2000" s="1350" t="s">
        <v>839</v>
      </c>
      <c r="L2000" s="160"/>
      <c r="M2000" s="159">
        <v>0</v>
      </c>
      <c r="N2000" s="157">
        <v>0</v>
      </c>
      <c r="O2000" s="82">
        <f t="shared" si="397"/>
        <v>0</v>
      </c>
      <c r="P2000" s="160"/>
      <c r="Q2000" s="1071">
        <f t="shared" si="399"/>
        <v>0</v>
      </c>
    </row>
    <row r="2001" spans="9:17" ht="13.9" x14ac:dyDescent="0.4">
      <c r="I2001" s="1073">
        <f t="shared" si="398"/>
        <v>0</v>
      </c>
      <c r="J2001" s="159" t="s">
        <v>19</v>
      </c>
      <c r="K2001" s="1350" t="s">
        <v>839</v>
      </c>
      <c r="L2001" s="160"/>
      <c r="M2001" s="159">
        <v>0</v>
      </c>
      <c r="N2001" s="157">
        <v>0</v>
      </c>
      <c r="O2001" s="82">
        <f t="shared" si="397"/>
        <v>0</v>
      </c>
      <c r="P2001" s="160"/>
      <c r="Q2001" s="1071">
        <f t="shared" si="399"/>
        <v>0</v>
      </c>
    </row>
    <row r="2002" spans="9:17" ht="13.9" x14ac:dyDescent="0.4">
      <c r="I2002" s="1073">
        <f t="shared" si="398"/>
        <v>0</v>
      </c>
      <c r="J2002" s="159" t="s">
        <v>19</v>
      </c>
      <c r="K2002" s="1350" t="s">
        <v>839</v>
      </c>
      <c r="L2002" s="160"/>
      <c r="M2002" s="159">
        <v>0</v>
      </c>
      <c r="N2002" s="157">
        <v>0</v>
      </c>
      <c r="O2002" s="82">
        <f t="shared" si="397"/>
        <v>0</v>
      </c>
      <c r="P2002" s="160"/>
      <c r="Q2002" s="1071">
        <f t="shared" si="399"/>
        <v>0</v>
      </c>
    </row>
    <row r="2003" spans="9:17" ht="13.9" x14ac:dyDescent="0.4">
      <c r="I2003" s="1073">
        <f t="shared" si="398"/>
        <v>0</v>
      </c>
      <c r="J2003" s="159" t="s">
        <v>19</v>
      </c>
      <c r="K2003" s="1350" t="s">
        <v>839</v>
      </c>
      <c r="L2003" s="160"/>
      <c r="M2003" s="159">
        <v>0</v>
      </c>
      <c r="N2003" s="157">
        <v>0</v>
      </c>
      <c r="O2003" s="82">
        <f t="shared" si="397"/>
        <v>0</v>
      </c>
      <c r="P2003" s="160"/>
      <c r="Q2003" s="1071">
        <f t="shared" si="399"/>
        <v>0</v>
      </c>
    </row>
    <row r="2004" spans="9:17" ht="13.9" x14ac:dyDescent="0.4">
      <c r="I2004" s="1071"/>
      <c r="J2004" s="86" t="s">
        <v>22</v>
      </c>
      <c r="K2004" s="86"/>
      <c r="L2004" s="86"/>
      <c r="M2004" s="81"/>
      <c r="N2004" s="87"/>
      <c r="O2004" s="88">
        <f>SUM(O1990:O2003)</f>
        <v>34.939</v>
      </c>
      <c r="P2004" s="86"/>
      <c r="Q2004" s="1071"/>
    </row>
    <row r="2005" spans="9:17" ht="13.9" x14ac:dyDescent="0.4">
      <c r="I2005" s="1071"/>
      <c r="J2005" s="83"/>
      <c r="K2005" s="83"/>
      <c r="L2005" s="83"/>
      <c r="M2005" s="83"/>
      <c r="N2005" s="84"/>
      <c r="O2005" s="83"/>
      <c r="P2005" s="83"/>
      <c r="Q2005" s="1071"/>
    </row>
    <row r="2006" spans="9:17" ht="13.9" x14ac:dyDescent="0.4">
      <c r="I2006" s="1071"/>
      <c r="J2006" s="78" t="s">
        <v>20</v>
      </c>
      <c r="K2006" s="78"/>
      <c r="L2006" s="78"/>
      <c r="M2006" s="79"/>
      <c r="N2006" s="85"/>
      <c r="O2006" s="79"/>
      <c r="P2006" s="78"/>
      <c r="Q2006" s="1071"/>
    </row>
    <row r="2007" spans="9:17" ht="13.9" x14ac:dyDescent="0.4">
      <c r="I2007" s="1071"/>
      <c r="J2007" s="80" t="s">
        <v>212</v>
      </c>
      <c r="K2007" s="80" t="s">
        <v>838</v>
      </c>
      <c r="L2007" s="80" t="s">
        <v>2</v>
      </c>
      <c r="M2007" s="80" t="s">
        <v>21</v>
      </c>
      <c r="N2007" s="80" t="s">
        <v>174</v>
      </c>
      <c r="O2007" s="80" t="s">
        <v>14</v>
      </c>
      <c r="P2007" s="80" t="s">
        <v>890</v>
      </c>
      <c r="Q2007" s="1071"/>
    </row>
    <row r="2008" spans="9:17" ht="13.9" x14ac:dyDescent="0.4">
      <c r="I2008" s="1073">
        <f>IF($A$1=33,I2003+1,0)</f>
        <v>0</v>
      </c>
      <c r="J2008" s="159" t="s">
        <v>803</v>
      </c>
      <c r="K2008" s="1350" t="s">
        <v>839</v>
      </c>
      <c r="L2008" s="160" t="str">
        <f>A4_Chem_Prices!C$18</f>
        <v>oz</v>
      </c>
      <c r="M2008" s="159">
        <f>A4_Chem_Prices!D$18</f>
        <v>1.05</v>
      </c>
      <c r="N2008" s="157">
        <v>14</v>
      </c>
      <c r="O2008" s="82">
        <f t="shared" ref="O2008:O2017" si="400">M2008*N2008</f>
        <v>14.700000000000001</v>
      </c>
      <c r="P2008" s="1449">
        <f>N2008</f>
        <v>14</v>
      </c>
      <c r="Q2008" s="1071">
        <f>Q1990</f>
        <v>0</v>
      </c>
    </row>
    <row r="2009" spans="9:17" ht="13.9" x14ac:dyDescent="0.4">
      <c r="I2009" s="1073">
        <f t="shared" ref="I2009:I2017" si="401">IF($A$1=33,I2008+1,0)</f>
        <v>0</v>
      </c>
      <c r="J2009" s="159" t="s">
        <v>19</v>
      </c>
      <c r="K2009" s="1350" t="s">
        <v>839</v>
      </c>
      <c r="L2009" s="160"/>
      <c r="M2009" s="159">
        <v>0</v>
      </c>
      <c r="N2009" s="157">
        <v>0</v>
      </c>
      <c r="O2009" s="82">
        <f t="shared" si="400"/>
        <v>0</v>
      </c>
      <c r="P2009" s="160"/>
      <c r="Q2009" s="1071">
        <f>Q2008</f>
        <v>0</v>
      </c>
    </row>
    <row r="2010" spans="9:17" ht="13.9" x14ac:dyDescent="0.4">
      <c r="I2010" s="1073">
        <f t="shared" si="401"/>
        <v>0</v>
      </c>
      <c r="J2010" s="159" t="s">
        <v>19</v>
      </c>
      <c r="K2010" s="1350" t="s">
        <v>839</v>
      </c>
      <c r="L2010" s="160"/>
      <c r="M2010" s="159">
        <v>0</v>
      </c>
      <c r="N2010" s="157">
        <v>0</v>
      </c>
      <c r="O2010" s="82">
        <f t="shared" si="400"/>
        <v>0</v>
      </c>
      <c r="P2010" s="160"/>
      <c r="Q2010" s="1071">
        <f t="shared" ref="Q2010:Q2017" si="402">Q2009</f>
        <v>0</v>
      </c>
    </row>
    <row r="2011" spans="9:17" ht="13.9" x14ac:dyDescent="0.4">
      <c r="I2011" s="1073">
        <f t="shared" si="401"/>
        <v>0</v>
      </c>
      <c r="J2011" s="159" t="s">
        <v>19</v>
      </c>
      <c r="K2011" s="1350" t="s">
        <v>839</v>
      </c>
      <c r="L2011" s="160"/>
      <c r="M2011" s="159">
        <v>0</v>
      </c>
      <c r="N2011" s="157">
        <v>0</v>
      </c>
      <c r="O2011" s="82">
        <f t="shared" si="400"/>
        <v>0</v>
      </c>
      <c r="P2011" s="160"/>
      <c r="Q2011" s="1071">
        <f t="shared" si="402"/>
        <v>0</v>
      </c>
    </row>
    <row r="2012" spans="9:17" ht="13.9" x14ac:dyDescent="0.4">
      <c r="I2012" s="1073">
        <f t="shared" si="401"/>
        <v>0</v>
      </c>
      <c r="J2012" s="159" t="s">
        <v>19</v>
      </c>
      <c r="K2012" s="1350" t="s">
        <v>839</v>
      </c>
      <c r="L2012" s="160"/>
      <c r="M2012" s="159">
        <v>0</v>
      </c>
      <c r="N2012" s="157">
        <v>0</v>
      </c>
      <c r="O2012" s="82">
        <f t="shared" si="400"/>
        <v>0</v>
      </c>
      <c r="P2012" s="158"/>
      <c r="Q2012" s="1071">
        <f t="shared" si="402"/>
        <v>0</v>
      </c>
    </row>
    <row r="2013" spans="9:17" ht="13.9" x14ac:dyDescent="0.4">
      <c r="I2013" s="1073">
        <f t="shared" si="401"/>
        <v>0</v>
      </c>
      <c r="J2013" s="159" t="s">
        <v>19</v>
      </c>
      <c r="K2013" s="1350" t="s">
        <v>839</v>
      </c>
      <c r="L2013" s="160"/>
      <c r="M2013" s="159">
        <v>0</v>
      </c>
      <c r="N2013" s="157">
        <v>0</v>
      </c>
      <c r="O2013" s="82">
        <f t="shared" si="400"/>
        <v>0</v>
      </c>
      <c r="P2013" s="158"/>
      <c r="Q2013" s="1071">
        <f t="shared" si="402"/>
        <v>0</v>
      </c>
    </row>
    <row r="2014" spans="9:17" ht="13.9" x14ac:dyDescent="0.4">
      <c r="I2014" s="1073">
        <f t="shared" si="401"/>
        <v>0</v>
      </c>
      <c r="J2014" s="159" t="s">
        <v>19</v>
      </c>
      <c r="K2014" s="1350" t="s">
        <v>839</v>
      </c>
      <c r="L2014" s="160"/>
      <c r="M2014" s="159">
        <v>0</v>
      </c>
      <c r="N2014" s="157">
        <v>0</v>
      </c>
      <c r="O2014" s="82">
        <f t="shared" si="400"/>
        <v>0</v>
      </c>
      <c r="P2014" s="158"/>
      <c r="Q2014" s="1071">
        <f t="shared" si="402"/>
        <v>0</v>
      </c>
    </row>
    <row r="2015" spans="9:17" ht="13.9" x14ac:dyDescent="0.4">
      <c r="I2015" s="1073">
        <f t="shared" si="401"/>
        <v>0</v>
      </c>
      <c r="J2015" s="159" t="s">
        <v>19</v>
      </c>
      <c r="K2015" s="1350" t="s">
        <v>839</v>
      </c>
      <c r="L2015" s="160"/>
      <c r="M2015" s="159">
        <v>0</v>
      </c>
      <c r="N2015" s="157">
        <v>0</v>
      </c>
      <c r="O2015" s="82">
        <f t="shared" si="400"/>
        <v>0</v>
      </c>
      <c r="P2015" s="158"/>
      <c r="Q2015" s="1071">
        <f t="shared" si="402"/>
        <v>0</v>
      </c>
    </row>
    <row r="2016" spans="9:17" ht="13.9" x14ac:dyDescent="0.4">
      <c r="I2016" s="1073">
        <f t="shared" si="401"/>
        <v>0</v>
      </c>
      <c r="J2016" s="159" t="s">
        <v>19</v>
      </c>
      <c r="K2016" s="1350" t="s">
        <v>839</v>
      </c>
      <c r="L2016" s="160"/>
      <c r="M2016" s="159">
        <v>0</v>
      </c>
      <c r="N2016" s="157">
        <v>0</v>
      </c>
      <c r="O2016" s="82">
        <f t="shared" si="400"/>
        <v>0</v>
      </c>
      <c r="P2016" s="158"/>
      <c r="Q2016" s="1071">
        <f t="shared" si="402"/>
        <v>0</v>
      </c>
    </row>
    <row r="2017" spans="9:17" ht="13.9" x14ac:dyDescent="0.4">
      <c r="I2017" s="1073">
        <f t="shared" si="401"/>
        <v>0</v>
      </c>
      <c r="J2017" s="159" t="s">
        <v>19</v>
      </c>
      <c r="K2017" s="1350" t="s">
        <v>839</v>
      </c>
      <c r="L2017" s="160"/>
      <c r="M2017" s="159">
        <v>0</v>
      </c>
      <c r="N2017" s="157">
        <v>0</v>
      </c>
      <c r="O2017" s="82">
        <f t="shared" si="400"/>
        <v>0</v>
      </c>
      <c r="P2017" s="158"/>
      <c r="Q2017" s="1071">
        <f t="shared" si="402"/>
        <v>0</v>
      </c>
    </row>
    <row r="2018" spans="9:17" ht="13.9" x14ac:dyDescent="0.4">
      <c r="I2018" s="1071"/>
      <c r="J2018" s="86" t="s">
        <v>22</v>
      </c>
      <c r="K2018" s="86"/>
      <c r="L2018" s="86"/>
      <c r="M2018" s="81"/>
      <c r="N2018" s="87"/>
      <c r="O2018" s="88">
        <f>SUM(O2008:O2017)</f>
        <v>14.700000000000001</v>
      </c>
      <c r="P2018" s="86"/>
      <c r="Q2018" s="1071"/>
    </row>
    <row r="2019" spans="9:17" ht="13.9" x14ac:dyDescent="0.4">
      <c r="I2019" s="1071"/>
      <c r="J2019" s="83"/>
      <c r="K2019" s="83"/>
      <c r="L2019" s="83"/>
      <c r="M2019" s="83"/>
      <c r="N2019" s="84"/>
      <c r="O2019" s="83"/>
      <c r="P2019" s="83"/>
      <c r="Q2019" s="1071"/>
    </row>
    <row r="2020" spans="9:17" ht="13.9" x14ac:dyDescent="0.4">
      <c r="I2020" s="1071"/>
      <c r="J2020" s="78" t="str">
        <f>IF(OR(A2_Budget_Look_Up!$B$7=1,A2_Budget_Look_Up!$B$13=1),"Nematicide Detail", "Fungicide Detail")</f>
        <v>Fungicide Detail</v>
      </c>
      <c r="K2020" s="78"/>
      <c r="L2020" s="78"/>
      <c r="M2020" s="79"/>
      <c r="N2020" s="85"/>
      <c r="O2020" s="79"/>
      <c r="P2020" s="78"/>
      <c r="Q2020" s="1071"/>
    </row>
    <row r="2021" spans="9:17" ht="13.9" x14ac:dyDescent="0.4">
      <c r="I2021" s="1071"/>
      <c r="J2021" s="80" t="s">
        <v>212</v>
      </c>
      <c r="K2021" s="80" t="s">
        <v>838</v>
      </c>
      <c r="L2021" s="80" t="s">
        <v>2</v>
      </c>
      <c r="M2021" s="80" t="s">
        <v>21</v>
      </c>
      <c r="N2021" s="80" t="s">
        <v>174</v>
      </c>
      <c r="O2021" s="80" t="s">
        <v>14</v>
      </c>
      <c r="P2021" s="80" t="s">
        <v>890</v>
      </c>
      <c r="Q2021" s="1071"/>
    </row>
    <row r="2022" spans="9:17" ht="13.9" x14ac:dyDescent="0.4">
      <c r="I2022" s="1073">
        <f>IF($A$1=33,I2017+1,0)</f>
        <v>0</v>
      </c>
      <c r="J2022" s="156" t="s">
        <v>19</v>
      </c>
      <c r="K2022" s="1350" t="s">
        <v>839</v>
      </c>
      <c r="L2022" s="158"/>
      <c r="M2022" s="159">
        <v>0</v>
      </c>
      <c r="N2022" s="157">
        <v>0</v>
      </c>
      <c r="O2022" s="82">
        <f>M2022*N2022</f>
        <v>0</v>
      </c>
      <c r="P2022" s="158"/>
      <c r="Q2022" s="1071">
        <f>Q2017</f>
        <v>0</v>
      </c>
    </row>
    <row r="2023" spans="9:17" ht="13.9" x14ac:dyDescent="0.4">
      <c r="I2023" s="1073">
        <f>IF($A$1=33,I2022+1,0)</f>
        <v>0</v>
      </c>
      <c r="J2023" s="156" t="s">
        <v>19</v>
      </c>
      <c r="K2023" s="1350" t="s">
        <v>839</v>
      </c>
      <c r="L2023" s="158"/>
      <c r="M2023" s="159">
        <v>0</v>
      </c>
      <c r="N2023" s="157">
        <v>0</v>
      </c>
      <c r="O2023" s="82">
        <f>M2023*N2023</f>
        <v>0</v>
      </c>
      <c r="P2023" s="158"/>
      <c r="Q2023" s="1071">
        <f>Q2022</f>
        <v>0</v>
      </c>
    </row>
    <row r="2024" spans="9:17" ht="13.9" x14ac:dyDescent="0.4">
      <c r="I2024" s="1071"/>
      <c r="J2024" s="86" t="s">
        <v>22</v>
      </c>
      <c r="K2024" s="86"/>
      <c r="L2024" s="86"/>
      <c r="M2024" s="81"/>
      <c r="N2024" s="87"/>
      <c r="O2024" s="88">
        <f>SUM(O2022:O2023)</f>
        <v>0</v>
      </c>
      <c r="P2024" s="86"/>
      <c r="Q2024" s="1071"/>
    </row>
    <row r="2025" spans="9:17" ht="13.9" x14ac:dyDescent="0.4">
      <c r="I2025" s="1071"/>
      <c r="J2025" s="83"/>
      <c r="K2025" s="83"/>
      <c r="L2025" s="83"/>
      <c r="M2025" s="83"/>
      <c r="N2025" s="84"/>
      <c r="O2025" s="83"/>
      <c r="P2025" s="83"/>
      <c r="Q2025" s="1071"/>
    </row>
    <row r="2026" spans="9:17" ht="13.9" x14ac:dyDescent="0.4">
      <c r="I2026" s="1071"/>
      <c r="J2026" s="78" t="str">
        <f>IF(A2_Budget_Look_Up!$B$7=1,"Growth Regulator Detail", IF(A2_Budget_Look_Up!$B$13=1,"Fungicide Detail","Other Chemical Detail"))</f>
        <v>Other Chemical Detail</v>
      </c>
      <c r="K2026" s="78"/>
      <c r="L2026" s="78"/>
      <c r="M2026" s="79"/>
      <c r="N2026" s="85"/>
      <c r="O2026" s="79"/>
      <c r="P2026" s="78"/>
      <c r="Q2026" s="1071"/>
    </row>
    <row r="2027" spans="9:17" ht="13.9" x14ac:dyDescent="0.4">
      <c r="I2027" s="1071"/>
      <c r="J2027" s="80" t="s">
        <v>212</v>
      </c>
      <c r="K2027" s="80" t="s">
        <v>838</v>
      </c>
      <c r="L2027" s="80" t="s">
        <v>2</v>
      </c>
      <c r="M2027" s="80" t="s">
        <v>21</v>
      </c>
      <c r="N2027" s="80" t="s">
        <v>174</v>
      </c>
      <c r="O2027" s="80" t="s">
        <v>14</v>
      </c>
      <c r="P2027" s="80" t="s">
        <v>890</v>
      </c>
      <c r="Q2027" s="1071"/>
    </row>
    <row r="2028" spans="9:17" ht="13.9" x14ac:dyDescent="0.4">
      <c r="I2028" s="1073">
        <f>IF($A$1=33,I2023+1,0)</f>
        <v>0</v>
      </c>
      <c r="J2028" s="156" t="s">
        <v>19</v>
      </c>
      <c r="K2028" s="1350" t="s">
        <v>839</v>
      </c>
      <c r="L2028" s="158"/>
      <c r="M2028" s="159">
        <v>0</v>
      </c>
      <c r="N2028" s="157">
        <v>0</v>
      </c>
      <c r="O2028" s="82">
        <f t="shared" ref="O2028:O2034" si="403">M2028*N2028</f>
        <v>0</v>
      </c>
      <c r="P2028" s="160"/>
      <c r="Q2028" s="1071">
        <f>Q2023</f>
        <v>0</v>
      </c>
    </row>
    <row r="2029" spans="9:17" ht="13.9" x14ac:dyDescent="0.4">
      <c r="I2029" s="1073">
        <f t="shared" ref="I2029:I2034" si="404">IF($A$1=33,I2028+1,0)</f>
        <v>0</v>
      </c>
      <c r="J2029" s="156" t="s">
        <v>19</v>
      </c>
      <c r="K2029" s="1350" t="s">
        <v>839</v>
      </c>
      <c r="L2029" s="158"/>
      <c r="M2029" s="159">
        <v>0</v>
      </c>
      <c r="N2029" s="157">
        <v>0</v>
      </c>
      <c r="O2029" s="82">
        <f t="shared" si="403"/>
        <v>0</v>
      </c>
      <c r="P2029" s="160"/>
      <c r="Q2029" s="1071">
        <f t="shared" ref="Q2029:Q2034" si="405">Q2028</f>
        <v>0</v>
      </c>
    </row>
    <row r="2030" spans="9:17" ht="13.9" x14ac:dyDescent="0.4">
      <c r="I2030" s="1073">
        <f t="shared" si="404"/>
        <v>0</v>
      </c>
      <c r="J2030" s="156" t="s">
        <v>19</v>
      </c>
      <c r="K2030" s="1350" t="s">
        <v>839</v>
      </c>
      <c r="L2030" s="158"/>
      <c r="M2030" s="159">
        <v>0</v>
      </c>
      <c r="N2030" s="157">
        <v>0</v>
      </c>
      <c r="O2030" s="82">
        <f t="shared" si="403"/>
        <v>0</v>
      </c>
      <c r="P2030" s="160"/>
      <c r="Q2030" s="1071">
        <f t="shared" si="405"/>
        <v>0</v>
      </c>
    </row>
    <row r="2031" spans="9:17" ht="13.9" x14ac:dyDescent="0.4">
      <c r="I2031" s="1073">
        <f t="shared" si="404"/>
        <v>0</v>
      </c>
      <c r="J2031" s="156" t="s">
        <v>19</v>
      </c>
      <c r="K2031" s="1350" t="s">
        <v>839</v>
      </c>
      <c r="L2031" s="158"/>
      <c r="M2031" s="159">
        <v>0</v>
      </c>
      <c r="N2031" s="157">
        <v>0</v>
      </c>
      <c r="O2031" s="82">
        <f t="shared" si="403"/>
        <v>0</v>
      </c>
      <c r="P2031" s="158"/>
      <c r="Q2031" s="1071">
        <f t="shared" si="405"/>
        <v>0</v>
      </c>
    </row>
    <row r="2032" spans="9:17" ht="13.9" x14ac:dyDescent="0.4">
      <c r="I2032" s="1073">
        <f t="shared" si="404"/>
        <v>0</v>
      </c>
      <c r="J2032" s="156" t="s">
        <v>19</v>
      </c>
      <c r="K2032" s="1350" t="s">
        <v>839</v>
      </c>
      <c r="L2032" s="158"/>
      <c r="M2032" s="159">
        <v>0</v>
      </c>
      <c r="N2032" s="157">
        <v>0</v>
      </c>
      <c r="O2032" s="82">
        <f t="shared" si="403"/>
        <v>0</v>
      </c>
      <c r="P2032" s="158"/>
      <c r="Q2032" s="1071">
        <f t="shared" si="405"/>
        <v>0</v>
      </c>
    </row>
    <row r="2033" spans="9:17" ht="13.9" x14ac:dyDescent="0.4">
      <c r="I2033" s="1073">
        <f t="shared" si="404"/>
        <v>0</v>
      </c>
      <c r="J2033" s="156" t="s">
        <v>19</v>
      </c>
      <c r="K2033" s="1350" t="s">
        <v>839</v>
      </c>
      <c r="L2033" s="158"/>
      <c r="M2033" s="159">
        <v>0</v>
      </c>
      <c r="N2033" s="157">
        <v>0</v>
      </c>
      <c r="O2033" s="82">
        <f t="shared" si="403"/>
        <v>0</v>
      </c>
      <c r="P2033" s="158"/>
      <c r="Q2033" s="1071">
        <f t="shared" si="405"/>
        <v>0</v>
      </c>
    </row>
    <row r="2034" spans="9:17" ht="13.9" x14ac:dyDescent="0.4">
      <c r="I2034" s="1073">
        <f t="shared" si="404"/>
        <v>0</v>
      </c>
      <c r="J2034" s="156" t="s">
        <v>19</v>
      </c>
      <c r="K2034" s="1350" t="s">
        <v>839</v>
      </c>
      <c r="L2034" s="158"/>
      <c r="M2034" s="159">
        <v>0</v>
      </c>
      <c r="N2034" s="157">
        <v>0</v>
      </c>
      <c r="O2034" s="82">
        <f t="shared" si="403"/>
        <v>0</v>
      </c>
      <c r="P2034" s="158"/>
      <c r="Q2034" s="1071">
        <f t="shared" si="405"/>
        <v>0</v>
      </c>
    </row>
    <row r="2035" spans="9:17" ht="13.9" x14ac:dyDescent="0.4">
      <c r="I2035" s="1071"/>
      <c r="J2035" s="86" t="s">
        <v>22</v>
      </c>
      <c r="K2035" s="86"/>
      <c r="L2035" s="86"/>
      <c r="M2035" s="81"/>
      <c r="N2035" s="87"/>
      <c r="O2035" s="88">
        <f>SUM(O2028:O2034)</f>
        <v>0</v>
      </c>
      <c r="P2035" s="86"/>
      <c r="Q2035" s="1071"/>
    </row>
    <row r="2036" spans="9:17" ht="13.9" x14ac:dyDescent="0.4">
      <c r="I2036" s="1071"/>
      <c r="J2036" s="83"/>
      <c r="K2036" s="83"/>
      <c r="L2036" s="83"/>
      <c r="M2036" s="83"/>
      <c r="N2036" s="84"/>
      <c r="O2036" s="83"/>
      <c r="P2036" s="83"/>
      <c r="Q2036" s="1071"/>
    </row>
    <row r="2037" spans="9:17" ht="13.9" x14ac:dyDescent="0.4">
      <c r="I2037" s="1071"/>
      <c r="J2037" s="78" t="str">
        <f>IF(A2_Budget_Look_Up!$B$7=1,"Defoliant Detail", "Other Chemical Detail")</f>
        <v>Other Chemical Detail</v>
      </c>
      <c r="K2037" s="78"/>
      <c r="L2037" s="78"/>
      <c r="M2037" s="79"/>
      <c r="N2037" s="85"/>
      <c r="O2037" s="79"/>
      <c r="P2037" s="78"/>
      <c r="Q2037" s="1071"/>
    </row>
    <row r="2038" spans="9:17" ht="13.9" x14ac:dyDescent="0.4">
      <c r="I2038" s="1071"/>
      <c r="J2038" s="80" t="s">
        <v>212</v>
      </c>
      <c r="K2038" s="80" t="s">
        <v>838</v>
      </c>
      <c r="L2038" s="80" t="s">
        <v>2</v>
      </c>
      <c r="M2038" s="80" t="s">
        <v>21</v>
      </c>
      <c r="N2038" s="80" t="s">
        <v>174</v>
      </c>
      <c r="O2038" s="80" t="s">
        <v>14</v>
      </c>
      <c r="P2038" s="80" t="s">
        <v>890</v>
      </c>
      <c r="Q2038" s="1071"/>
    </row>
    <row r="2039" spans="9:17" ht="13.9" x14ac:dyDescent="0.4">
      <c r="I2039" s="1073">
        <f>IF($A$1=33,I2034+1,0)</f>
        <v>0</v>
      </c>
      <c r="J2039" s="156" t="s">
        <v>19</v>
      </c>
      <c r="K2039" s="1350" t="s">
        <v>839</v>
      </c>
      <c r="L2039" s="158"/>
      <c r="M2039" s="159">
        <v>0</v>
      </c>
      <c r="N2039" s="157">
        <v>0</v>
      </c>
      <c r="O2039" s="82">
        <f t="shared" ref="O2039:O2045" si="406">M2039*N2039</f>
        <v>0</v>
      </c>
      <c r="P2039" s="160"/>
      <c r="Q2039" s="1071">
        <f>Q2034</f>
        <v>0</v>
      </c>
    </row>
    <row r="2040" spans="9:17" ht="13.9" x14ac:dyDescent="0.4">
      <c r="I2040" s="1073">
        <f t="shared" ref="I2040:I2045" si="407">IF($A$1=33,I2039+1,0)</f>
        <v>0</v>
      </c>
      <c r="J2040" s="156" t="s">
        <v>19</v>
      </c>
      <c r="K2040" s="1350" t="s">
        <v>839</v>
      </c>
      <c r="L2040" s="158"/>
      <c r="M2040" s="159">
        <v>0</v>
      </c>
      <c r="N2040" s="157">
        <v>0</v>
      </c>
      <c r="O2040" s="82">
        <f t="shared" si="406"/>
        <v>0</v>
      </c>
      <c r="P2040" s="160"/>
      <c r="Q2040" s="1071">
        <f t="shared" ref="Q2040:Q2045" si="408">Q2039</f>
        <v>0</v>
      </c>
    </row>
    <row r="2041" spans="9:17" ht="13.9" x14ac:dyDescent="0.4">
      <c r="I2041" s="1073">
        <f t="shared" si="407"/>
        <v>0</v>
      </c>
      <c r="J2041" s="156" t="s">
        <v>19</v>
      </c>
      <c r="K2041" s="1350" t="s">
        <v>839</v>
      </c>
      <c r="L2041" s="158"/>
      <c r="M2041" s="159">
        <v>0</v>
      </c>
      <c r="N2041" s="157">
        <v>0</v>
      </c>
      <c r="O2041" s="82">
        <f t="shared" si="406"/>
        <v>0</v>
      </c>
      <c r="P2041" s="160"/>
      <c r="Q2041" s="1071">
        <f t="shared" si="408"/>
        <v>0</v>
      </c>
    </row>
    <row r="2042" spans="9:17" ht="13.9" x14ac:dyDescent="0.4">
      <c r="I2042" s="1073">
        <f t="shared" si="407"/>
        <v>0</v>
      </c>
      <c r="J2042" s="156" t="s">
        <v>19</v>
      </c>
      <c r="K2042" s="1350" t="s">
        <v>839</v>
      </c>
      <c r="L2042" s="158"/>
      <c r="M2042" s="159">
        <v>0</v>
      </c>
      <c r="N2042" s="157">
        <v>0</v>
      </c>
      <c r="O2042" s="82">
        <f t="shared" si="406"/>
        <v>0</v>
      </c>
      <c r="P2042" s="160"/>
      <c r="Q2042" s="1071">
        <f t="shared" si="408"/>
        <v>0</v>
      </c>
    </row>
    <row r="2043" spans="9:17" ht="13.9" x14ac:dyDescent="0.4">
      <c r="I2043" s="1073">
        <f t="shared" si="407"/>
        <v>0</v>
      </c>
      <c r="J2043" s="156" t="s">
        <v>19</v>
      </c>
      <c r="K2043" s="1350" t="s">
        <v>839</v>
      </c>
      <c r="L2043" s="158"/>
      <c r="M2043" s="159">
        <v>0</v>
      </c>
      <c r="N2043" s="157">
        <v>0</v>
      </c>
      <c r="O2043" s="82">
        <f t="shared" si="406"/>
        <v>0</v>
      </c>
      <c r="P2043" s="160"/>
      <c r="Q2043" s="1071">
        <f t="shared" si="408"/>
        <v>0</v>
      </c>
    </row>
    <row r="2044" spans="9:17" ht="13.9" x14ac:dyDescent="0.4">
      <c r="I2044" s="1073">
        <f t="shared" si="407"/>
        <v>0</v>
      </c>
      <c r="J2044" s="156" t="s">
        <v>19</v>
      </c>
      <c r="K2044" s="1350" t="s">
        <v>839</v>
      </c>
      <c r="L2044" s="158"/>
      <c r="M2044" s="159">
        <v>0</v>
      </c>
      <c r="N2044" s="157">
        <v>0</v>
      </c>
      <c r="O2044" s="82">
        <f t="shared" si="406"/>
        <v>0</v>
      </c>
      <c r="P2044" s="158"/>
      <c r="Q2044" s="1071">
        <f t="shared" si="408"/>
        <v>0</v>
      </c>
    </row>
    <row r="2045" spans="9:17" ht="13.9" x14ac:dyDescent="0.4">
      <c r="I2045" s="1073">
        <f t="shared" si="407"/>
        <v>0</v>
      </c>
      <c r="J2045" s="156" t="s">
        <v>19</v>
      </c>
      <c r="K2045" s="1350" t="s">
        <v>839</v>
      </c>
      <c r="L2045" s="158"/>
      <c r="M2045" s="159">
        <v>0</v>
      </c>
      <c r="N2045" s="157">
        <v>0</v>
      </c>
      <c r="O2045" s="82">
        <f t="shared" si="406"/>
        <v>0</v>
      </c>
      <c r="P2045" s="158"/>
      <c r="Q2045" s="1071">
        <f t="shared" si="408"/>
        <v>0</v>
      </c>
    </row>
    <row r="2046" spans="9:17" ht="13.9" x14ac:dyDescent="0.4">
      <c r="I2046" s="1071"/>
      <c r="J2046" s="86" t="s">
        <v>22</v>
      </c>
      <c r="K2046" s="86"/>
      <c r="L2046" s="86"/>
      <c r="M2046" s="81"/>
      <c r="N2046" s="87"/>
      <c r="O2046" s="88">
        <f>SUM(O2039:O2045)</f>
        <v>0</v>
      </c>
      <c r="P2046" s="86"/>
      <c r="Q2046" s="1071"/>
    </row>
    <row r="2047" spans="9:17" ht="13.9" x14ac:dyDescent="0.4">
      <c r="I2047" s="1071"/>
      <c r="J2047" s="83"/>
      <c r="K2047" s="83"/>
      <c r="L2047" s="83"/>
      <c r="M2047" s="89"/>
      <c r="N2047" s="84"/>
      <c r="O2047" s="89"/>
      <c r="P2047" s="83"/>
      <c r="Q2047" s="1071"/>
    </row>
    <row r="2048" spans="9:17" ht="13.9" x14ac:dyDescent="0.4">
      <c r="I2048" s="1071"/>
      <c r="J2048" s="1168" t="str">
        <f>A2_Budget_Look_Up!H36</f>
        <v>Corn, Conventional, No Irrigation</v>
      </c>
      <c r="K2048" s="1168"/>
      <c r="L2048" s="1168">
        <f>A2_Budget_Look_Up!F36</f>
        <v>34</v>
      </c>
      <c r="M2048" s="1168"/>
      <c r="N2048" s="1168"/>
      <c r="O2048" s="1168"/>
      <c r="P2048" s="1168"/>
      <c r="Q2048" s="1071"/>
    </row>
    <row r="2050" spans="9:17" ht="13.9" x14ac:dyDescent="0.4">
      <c r="I2050" s="1071"/>
      <c r="J2050" s="78" t="s">
        <v>18</v>
      </c>
      <c r="K2050" s="78"/>
      <c r="L2050" s="78"/>
      <c r="M2050" s="79"/>
      <c r="N2050" s="85"/>
      <c r="O2050" s="79"/>
      <c r="P2050" s="78"/>
      <c r="Q2050" s="1071"/>
    </row>
    <row r="2051" spans="9:17" ht="13.9" x14ac:dyDescent="0.4">
      <c r="I2051" s="1071"/>
      <c r="J2051" s="80" t="s">
        <v>212</v>
      </c>
      <c r="K2051" s="80" t="s">
        <v>838</v>
      </c>
      <c r="L2051" s="80" t="s">
        <v>2</v>
      </c>
      <c r="M2051" s="80" t="s">
        <v>21</v>
      </c>
      <c r="N2051" s="80" t="s">
        <v>174</v>
      </c>
      <c r="O2051" s="80" t="s">
        <v>14</v>
      </c>
      <c r="P2051" s="80" t="s">
        <v>890</v>
      </c>
      <c r="Q2051" s="1071"/>
    </row>
    <row r="2052" spans="9:17" ht="13.9" x14ac:dyDescent="0.4">
      <c r="I2052" s="1073">
        <f>IF($A$1=34,1,0)</f>
        <v>0</v>
      </c>
      <c r="J2052" s="159" t="str">
        <f>A4_Chem_Prices!B$2</f>
        <v>Roundup Powermax 3</v>
      </c>
      <c r="K2052" s="1350" t="s">
        <v>839</v>
      </c>
      <c r="L2052" s="158" t="str">
        <f>A4_Chem_Prices!F$2</f>
        <v>pt</v>
      </c>
      <c r="M2052" s="159">
        <f>A4_Chem_Prices!G$2</f>
        <v>2.25</v>
      </c>
      <c r="N2052" s="157">
        <v>2</v>
      </c>
      <c r="O2052" s="82">
        <f t="shared" ref="O2052:O2065" si="409">M2052*N2052</f>
        <v>4.5</v>
      </c>
      <c r="P2052" s="160">
        <f>N2052*16</f>
        <v>32</v>
      </c>
      <c r="Q2052" s="1171">
        <f>IF(SUM(I2052:I2107)=820,L2048,0)</f>
        <v>0</v>
      </c>
    </row>
    <row r="2053" spans="9:17" ht="13.9" x14ac:dyDescent="0.4">
      <c r="I2053" s="1073">
        <f t="shared" ref="I2053:I2065" si="410">IF($A$1=34,I2052+1,0)</f>
        <v>0</v>
      </c>
      <c r="J2053" s="159" t="str">
        <f>A4_Chem_Prices!B$4</f>
        <v xml:space="preserve">Dual </v>
      </c>
      <c r="K2053" s="1350" t="s">
        <v>839</v>
      </c>
      <c r="L2053" s="160" t="str">
        <f>A4_Chem_Prices!C$4</f>
        <v>pt</v>
      </c>
      <c r="M2053" s="159">
        <f>A4_Chem_Prices!D$4</f>
        <v>4.8899999999999997</v>
      </c>
      <c r="N2053" s="157">
        <v>1.3</v>
      </c>
      <c r="O2053" s="82">
        <f t="shared" si="409"/>
        <v>6.3570000000000002</v>
      </c>
      <c r="P2053" s="160">
        <f>N2053*16</f>
        <v>20.8</v>
      </c>
      <c r="Q2053" s="1071">
        <f>Q2052</f>
        <v>0</v>
      </c>
    </row>
    <row r="2054" spans="9:17" ht="13.9" x14ac:dyDescent="0.4">
      <c r="I2054" s="1073">
        <f t="shared" si="410"/>
        <v>0</v>
      </c>
      <c r="J2054" s="159" t="str">
        <f>A4_Chem_Prices!B$4</f>
        <v xml:space="preserve">Dual </v>
      </c>
      <c r="K2054" s="1350" t="s">
        <v>839</v>
      </c>
      <c r="L2054" s="158" t="str">
        <f>A4_Chem_Prices!C$4</f>
        <v>pt</v>
      </c>
      <c r="M2054" s="159">
        <f>A4_Chem_Prices!D$4</f>
        <v>4.8899999999999997</v>
      </c>
      <c r="N2054" s="157">
        <v>1.3</v>
      </c>
      <c r="O2054" s="82">
        <f t="shared" si="409"/>
        <v>6.3570000000000002</v>
      </c>
      <c r="P2054" s="160">
        <f>N2054*16</f>
        <v>20.8</v>
      </c>
      <c r="Q2054" s="1071">
        <f t="shared" ref="Q2054:Q2065" si="411">Q2053</f>
        <v>0</v>
      </c>
    </row>
    <row r="2055" spans="9:17" ht="13.9" x14ac:dyDescent="0.4">
      <c r="I2055" s="1073">
        <f t="shared" si="410"/>
        <v>0</v>
      </c>
      <c r="J2055" s="159" t="str">
        <f>A4_Chem_Prices!B$3</f>
        <v>Atrazine</v>
      </c>
      <c r="K2055" s="1350" t="s">
        <v>839</v>
      </c>
      <c r="L2055" s="160" t="str">
        <f>A4_Chem_Prices!C$3</f>
        <v>qt</v>
      </c>
      <c r="M2055" s="159">
        <f>A4_Chem_Prices!D$3</f>
        <v>4.1124999999999998</v>
      </c>
      <c r="N2055" s="157">
        <v>2</v>
      </c>
      <c r="O2055" s="82">
        <f t="shared" si="409"/>
        <v>8.2249999999999996</v>
      </c>
      <c r="P2055" s="160">
        <f>N2055*32</f>
        <v>64</v>
      </c>
      <c r="Q2055" s="1071">
        <f t="shared" si="411"/>
        <v>0</v>
      </c>
    </row>
    <row r="2056" spans="9:17" ht="13.9" x14ac:dyDescent="0.4">
      <c r="I2056" s="1073">
        <f t="shared" si="410"/>
        <v>0</v>
      </c>
      <c r="J2056" s="159" t="str">
        <f>A4_Chem_Prices!B$5</f>
        <v>Accent Q</v>
      </c>
      <c r="K2056" s="1350" t="s">
        <v>839</v>
      </c>
      <c r="L2056" s="160" t="str">
        <f>A4_Chem_Prices!C$5</f>
        <v>oz</v>
      </c>
      <c r="M2056" s="159">
        <f>A4_Chem_Prices!D$5</f>
        <v>19</v>
      </c>
      <c r="N2056" s="157">
        <v>0.5</v>
      </c>
      <c r="O2056" s="82">
        <f t="shared" si="409"/>
        <v>9.5</v>
      </c>
      <c r="P2056" s="1449">
        <f>N2056</f>
        <v>0.5</v>
      </c>
      <c r="Q2056" s="1071">
        <f t="shared" si="411"/>
        <v>0</v>
      </c>
    </row>
    <row r="2057" spans="9:17" ht="13.9" x14ac:dyDescent="0.4">
      <c r="I2057" s="1073">
        <f t="shared" si="410"/>
        <v>0</v>
      </c>
      <c r="J2057" s="159" t="s">
        <v>19</v>
      </c>
      <c r="K2057" s="1350" t="s">
        <v>839</v>
      </c>
      <c r="L2057" s="160"/>
      <c r="M2057" s="159">
        <v>0</v>
      </c>
      <c r="N2057" s="157">
        <v>0</v>
      </c>
      <c r="O2057" s="82">
        <f t="shared" si="409"/>
        <v>0</v>
      </c>
      <c r="P2057" s="160"/>
      <c r="Q2057" s="1071">
        <f t="shared" si="411"/>
        <v>0</v>
      </c>
    </row>
    <row r="2058" spans="9:17" ht="13.9" x14ac:dyDescent="0.4">
      <c r="I2058" s="1073">
        <f t="shared" si="410"/>
        <v>0</v>
      </c>
      <c r="J2058" s="159" t="s">
        <v>19</v>
      </c>
      <c r="K2058" s="1350" t="s">
        <v>839</v>
      </c>
      <c r="L2058" s="160"/>
      <c r="M2058" s="159">
        <v>0</v>
      </c>
      <c r="N2058" s="157">
        <v>0</v>
      </c>
      <c r="O2058" s="82">
        <f t="shared" si="409"/>
        <v>0</v>
      </c>
      <c r="P2058" s="160"/>
      <c r="Q2058" s="1071">
        <f t="shared" si="411"/>
        <v>0</v>
      </c>
    </row>
    <row r="2059" spans="9:17" ht="13.9" x14ac:dyDescent="0.4">
      <c r="I2059" s="1073">
        <f t="shared" si="410"/>
        <v>0</v>
      </c>
      <c r="J2059" s="159" t="s">
        <v>19</v>
      </c>
      <c r="K2059" s="1350" t="s">
        <v>839</v>
      </c>
      <c r="L2059" s="160"/>
      <c r="M2059" s="159">
        <v>0</v>
      </c>
      <c r="N2059" s="157">
        <v>0</v>
      </c>
      <c r="O2059" s="82">
        <f t="shared" si="409"/>
        <v>0</v>
      </c>
      <c r="P2059" s="160"/>
      <c r="Q2059" s="1071">
        <f t="shared" si="411"/>
        <v>0</v>
      </c>
    </row>
    <row r="2060" spans="9:17" ht="13.9" x14ac:dyDescent="0.4">
      <c r="I2060" s="1073">
        <f t="shared" si="410"/>
        <v>0</v>
      </c>
      <c r="J2060" s="159" t="s">
        <v>19</v>
      </c>
      <c r="K2060" s="1350" t="s">
        <v>839</v>
      </c>
      <c r="L2060" s="160"/>
      <c r="M2060" s="159">
        <v>0</v>
      </c>
      <c r="N2060" s="157">
        <v>0</v>
      </c>
      <c r="O2060" s="82">
        <f t="shared" si="409"/>
        <v>0</v>
      </c>
      <c r="P2060" s="160"/>
      <c r="Q2060" s="1071">
        <f t="shared" si="411"/>
        <v>0</v>
      </c>
    </row>
    <row r="2061" spans="9:17" ht="13.9" x14ac:dyDescent="0.4">
      <c r="I2061" s="1073">
        <f t="shared" si="410"/>
        <v>0</v>
      </c>
      <c r="J2061" s="159" t="s">
        <v>19</v>
      </c>
      <c r="K2061" s="1350" t="s">
        <v>839</v>
      </c>
      <c r="L2061" s="160"/>
      <c r="M2061" s="159">
        <v>0</v>
      </c>
      <c r="N2061" s="157">
        <v>0</v>
      </c>
      <c r="O2061" s="82">
        <f t="shared" si="409"/>
        <v>0</v>
      </c>
      <c r="P2061" s="160"/>
      <c r="Q2061" s="1071">
        <f t="shared" si="411"/>
        <v>0</v>
      </c>
    </row>
    <row r="2062" spans="9:17" ht="13.9" x14ac:dyDescent="0.4">
      <c r="I2062" s="1073">
        <f t="shared" si="410"/>
        <v>0</v>
      </c>
      <c r="J2062" s="159" t="s">
        <v>19</v>
      </c>
      <c r="K2062" s="1350" t="s">
        <v>839</v>
      </c>
      <c r="L2062" s="160"/>
      <c r="M2062" s="159">
        <v>0</v>
      </c>
      <c r="N2062" s="157">
        <v>0</v>
      </c>
      <c r="O2062" s="82">
        <f t="shared" si="409"/>
        <v>0</v>
      </c>
      <c r="P2062" s="160"/>
      <c r="Q2062" s="1071">
        <f t="shared" si="411"/>
        <v>0</v>
      </c>
    </row>
    <row r="2063" spans="9:17" ht="13.9" x14ac:dyDescent="0.4">
      <c r="I2063" s="1073">
        <f t="shared" si="410"/>
        <v>0</v>
      </c>
      <c r="J2063" s="159" t="s">
        <v>19</v>
      </c>
      <c r="K2063" s="1350" t="s">
        <v>839</v>
      </c>
      <c r="L2063" s="160"/>
      <c r="M2063" s="159">
        <v>0</v>
      </c>
      <c r="N2063" s="157">
        <v>0</v>
      </c>
      <c r="O2063" s="82">
        <f t="shared" si="409"/>
        <v>0</v>
      </c>
      <c r="P2063" s="160"/>
      <c r="Q2063" s="1071">
        <f t="shared" si="411"/>
        <v>0</v>
      </c>
    </row>
    <row r="2064" spans="9:17" ht="13.9" x14ac:dyDescent="0.4">
      <c r="I2064" s="1073">
        <f t="shared" si="410"/>
        <v>0</v>
      </c>
      <c r="J2064" s="159" t="s">
        <v>19</v>
      </c>
      <c r="K2064" s="1350" t="s">
        <v>839</v>
      </c>
      <c r="L2064" s="160"/>
      <c r="M2064" s="159">
        <v>0</v>
      </c>
      <c r="N2064" s="157">
        <v>0</v>
      </c>
      <c r="O2064" s="82">
        <f t="shared" si="409"/>
        <v>0</v>
      </c>
      <c r="P2064" s="160"/>
      <c r="Q2064" s="1071">
        <f t="shared" si="411"/>
        <v>0</v>
      </c>
    </row>
    <row r="2065" spans="9:17" ht="13.9" x14ac:dyDescent="0.4">
      <c r="I2065" s="1073">
        <f t="shared" si="410"/>
        <v>0</v>
      </c>
      <c r="J2065" s="159" t="s">
        <v>19</v>
      </c>
      <c r="K2065" s="1350" t="s">
        <v>839</v>
      </c>
      <c r="L2065" s="160"/>
      <c r="M2065" s="159">
        <v>0</v>
      </c>
      <c r="N2065" s="157">
        <v>0</v>
      </c>
      <c r="O2065" s="82">
        <f t="shared" si="409"/>
        <v>0</v>
      </c>
      <c r="P2065" s="160"/>
      <c r="Q2065" s="1071">
        <f t="shared" si="411"/>
        <v>0</v>
      </c>
    </row>
    <row r="2066" spans="9:17" ht="13.9" x14ac:dyDescent="0.4">
      <c r="I2066" s="1071"/>
      <c r="J2066" s="86" t="s">
        <v>22</v>
      </c>
      <c r="K2066" s="86"/>
      <c r="L2066" s="86"/>
      <c r="M2066" s="81"/>
      <c r="N2066" s="87"/>
      <c r="O2066" s="88">
        <f>SUM(O2052:O2065)</f>
        <v>34.939</v>
      </c>
      <c r="P2066" s="86"/>
      <c r="Q2066" s="1071"/>
    </row>
    <row r="2067" spans="9:17" ht="13.9" x14ac:dyDescent="0.4">
      <c r="I2067" s="1071"/>
      <c r="J2067" s="83"/>
      <c r="K2067" s="83"/>
      <c r="L2067" s="83"/>
      <c r="M2067" s="83"/>
      <c r="N2067" s="84"/>
      <c r="O2067" s="83"/>
      <c r="P2067" s="83"/>
      <c r="Q2067" s="1071"/>
    </row>
    <row r="2068" spans="9:17" ht="13.9" x14ac:dyDescent="0.4">
      <c r="I2068" s="1071"/>
      <c r="J2068" s="78" t="s">
        <v>20</v>
      </c>
      <c r="K2068" s="78"/>
      <c r="L2068" s="78"/>
      <c r="M2068" s="79"/>
      <c r="N2068" s="85"/>
      <c r="O2068" s="79"/>
      <c r="P2068" s="78"/>
      <c r="Q2068" s="1071"/>
    </row>
    <row r="2069" spans="9:17" ht="13.9" x14ac:dyDescent="0.4">
      <c r="I2069" s="1071"/>
      <c r="J2069" s="80" t="s">
        <v>212</v>
      </c>
      <c r="K2069" s="80" t="s">
        <v>838</v>
      </c>
      <c r="L2069" s="80" t="s">
        <v>2</v>
      </c>
      <c r="M2069" s="80" t="s">
        <v>21</v>
      </c>
      <c r="N2069" s="80" t="s">
        <v>174</v>
      </c>
      <c r="O2069" s="80" t="s">
        <v>14</v>
      </c>
      <c r="P2069" s="80" t="s">
        <v>890</v>
      </c>
      <c r="Q2069" s="1071"/>
    </row>
    <row r="2070" spans="9:17" ht="13.9" x14ac:dyDescent="0.4">
      <c r="I2070" s="1073">
        <f>IF($A$1=34,I2065+1,0)</f>
        <v>0</v>
      </c>
      <c r="J2070" s="159" t="s">
        <v>803</v>
      </c>
      <c r="K2070" s="1350" t="s">
        <v>839</v>
      </c>
      <c r="L2070" s="160" t="str">
        <f>A4_Chem_Prices!C$18</f>
        <v>oz</v>
      </c>
      <c r="M2070" s="159">
        <f>A4_Chem_Prices!D$18</f>
        <v>1.05</v>
      </c>
      <c r="N2070" s="157">
        <v>14</v>
      </c>
      <c r="O2070" s="82">
        <f t="shared" ref="O2070:O2079" si="412">M2070*N2070</f>
        <v>14.700000000000001</v>
      </c>
      <c r="P2070" s="1449">
        <f>N2070</f>
        <v>14</v>
      </c>
      <c r="Q2070" s="1071">
        <f>Q2052</f>
        <v>0</v>
      </c>
    </row>
    <row r="2071" spans="9:17" ht="13.9" x14ac:dyDescent="0.4">
      <c r="I2071" s="1073">
        <f t="shared" ref="I2071:I2079" si="413">IF($A$1=34,I2070+1,0)</f>
        <v>0</v>
      </c>
      <c r="J2071" s="159" t="s">
        <v>19</v>
      </c>
      <c r="K2071" s="1350" t="s">
        <v>839</v>
      </c>
      <c r="L2071" s="160"/>
      <c r="M2071" s="159">
        <v>0</v>
      </c>
      <c r="N2071" s="157">
        <v>0</v>
      </c>
      <c r="O2071" s="82">
        <f t="shared" si="412"/>
        <v>0</v>
      </c>
      <c r="P2071" s="160"/>
      <c r="Q2071" s="1071">
        <f>Q2070</f>
        <v>0</v>
      </c>
    </row>
    <row r="2072" spans="9:17" ht="13.9" x14ac:dyDescent="0.4">
      <c r="I2072" s="1073">
        <f t="shared" si="413"/>
        <v>0</v>
      </c>
      <c r="J2072" s="159" t="s">
        <v>19</v>
      </c>
      <c r="K2072" s="1350" t="s">
        <v>839</v>
      </c>
      <c r="L2072" s="160"/>
      <c r="M2072" s="159">
        <v>0</v>
      </c>
      <c r="N2072" s="157">
        <v>0</v>
      </c>
      <c r="O2072" s="82">
        <f t="shared" si="412"/>
        <v>0</v>
      </c>
      <c r="P2072" s="160"/>
      <c r="Q2072" s="1071">
        <f t="shared" ref="Q2072:Q2079" si="414">Q2071</f>
        <v>0</v>
      </c>
    </row>
    <row r="2073" spans="9:17" ht="13.9" x14ac:dyDescent="0.4">
      <c r="I2073" s="1073">
        <f t="shared" si="413"/>
        <v>0</v>
      </c>
      <c r="J2073" s="159" t="s">
        <v>19</v>
      </c>
      <c r="K2073" s="1350" t="s">
        <v>839</v>
      </c>
      <c r="L2073" s="160"/>
      <c r="M2073" s="159">
        <v>0</v>
      </c>
      <c r="N2073" s="157">
        <v>0</v>
      </c>
      <c r="O2073" s="82">
        <f t="shared" si="412"/>
        <v>0</v>
      </c>
      <c r="P2073" s="160"/>
      <c r="Q2073" s="1071">
        <f t="shared" si="414"/>
        <v>0</v>
      </c>
    </row>
    <row r="2074" spans="9:17" ht="13.9" x14ac:dyDescent="0.4">
      <c r="I2074" s="1073">
        <f t="shared" si="413"/>
        <v>0</v>
      </c>
      <c r="J2074" s="159" t="s">
        <v>19</v>
      </c>
      <c r="K2074" s="1350" t="s">
        <v>839</v>
      </c>
      <c r="L2074" s="160"/>
      <c r="M2074" s="159">
        <v>0</v>
      </c>
      <c r="N2074" s="157">
        <v>0</v>
      </c>
      <c r="O2074" s="82">
        <f t="shared" si="412"/>
        <v>0</v>
      </c>
      <c r="P2074" s="158"/>
      <c r="Q2074" s="1071">
        <f t="shared" si="414"/>
        <v>0</v>
      </c>
    </row>
    <row r="2075" spans="9:17" ht="13.9" x14ac:dyDescent="0.4">
      <c r="I2075" s="1073">
        <f t="shared" si="413"/>
        <v>0</v>
      </c>
      <c r="J2075" s="159" t="s">
        <v>19</v>
      </c>
      <c r="K2075" s="1350" t="s">
        <v>839</v>
      </c>
      <c r="L2075" s="160"/>
      <c r="M2075" s="159">
        <v>0</v>
      </c>
      <c r="N2075" s="157">
        <v>0</v>
      </c>
      <c r="O2075" s="82">
        <f t="shared" si="412"/>
        <v>0</v>
      </c>
      <c r="P2075" s="158"/>
      <c r="Q2075" s="1071">
        <f t="shared" si="414"/>
        <v>0</v>
      </c>
    </row>
    <row r="2076" spans="9:17" ht="13.9" x14ac:dyDescent="0.4">
      <c r="I2076" s="1073">
        <f t="shared" si="413"/>
        <v>0</v>
      </c>
      <c r="J2076" s="159" t="s">
        <v>19</v>
      </c>
      <c r="K2076" s="1350" t="s">
        <v>839</v>
      </c>
      <c r="L2076" s="160"/>
      <c r="M2076" s="159">
        <v>0</v>
      </c>
      <c r="N2076" s="157">
        <v>0</v>
      </c>
      <c r="O2076" s="82">
        <f t="shared" si="412"/>
        <v>0</v>
      </c>
      <c r="P2076" s="158"/>
      <c r="Q2076" s="1071">
        <f t="shared" si="414"/>
        <v>0</v>
      </c>
    </row>
    <row r="2077" spans="9:17" ht="13.9" x14ac:dyDescent="0.4">
      <c r="I2077" s="1073">
        <f t="shared" si="413"/>
        <v>0</v>
      </c>
      <c r="J2077" s="159" t="s">
        <v>19</v>
      </c>
      <c r="K2077" s="1350" t="s">
        <v>839</v>
      </c>
      <c r="L2077" s="160"/>
      <c r="M2077" s="159">
        <v>0</v>
      </c>
      <c r="N2077" s="157">
        <v>0</v>
      </c>
      <c r="O2077" s="82">
        <f t="shared" si="412"/>
        <v>0</v>
      </c>
      <c r="P2077" s="158"/>
      <c r="Q2077" s="1071">
        <f t="shared" si="414"/>
        <v>0</v>
      </c>
    </row>
    <row r="2078" spans="9:17" ht="13.9" x14ac:dyDescent="0.4">
      <c r="I2078" s="1073">
        <f t="shared" si="413"/>
        <v>0</v>
      </c>
      <c r="J2078" s="159" t="s">
        <v>19</v>
      </c>
      <c r="K2078" s="1350" t="s">
        <v>839</v>
      </c>
      <c r="L2078" s="160"/>
      <c r="M2078" s="159">
        <v>0</v>
      </c>
      <c r="N2078" s="157">
        <v>0</v>
      </c>
      <c r="O2078" s="82">
        <f t="shared" si="412"/>
        <v>0</v>
      </c>
      <c r="P2078" s="158"/>
      <c r="Q2078" s="1071">
        <f t="shared" si="414"/>
        <v>0</v>
      </c>
    </row>
    <row r="2079" spans="9:17" ht="13.9" x14ac:dyDescent="0.4">
      <c r="I2079" s="1073">
        <f t="shared" si="413"/>
        <v>0</v>
      </c>
      <c r="J2079" s="159" t="s">
        <v>19</v>
      </c>
      <c r="K2079" s="1350" t="s">
        <v>839</v>
      </c>
      <c r="L2079" s="160"/>
      <c r="M2079" s="159">
        <v>0</v>
      </c>
      <c r="N2079" s="157">
        <v>0</v>
      </c>
      <c r="O2079" s="82">
        <f t="shared" si="412"/>
        <v>0</v>
      </c>
      <c r="P2079" s="158"/>
      <c r="Q2079" s="1071">
        <f t="shared" si="414"/>
        <v>0</v>
      </c>
    </row>
    <row r="2080" spans="9:17" ht="13.9" x14ac:dyDescent="0.4">
      <c r="I2080" s="1071"/>
      <c r="J2080" s="86" t="s">
        <v>22</v>
      </c>
      <c r="K2080" s="86"/>
      <c r="L2080" s="86"/>
      <c r="M2080" s="81"/>
      <c r="N2080" s="87"/>
      <c r="O2080" s="88">
        <f>SUM(O2070:O2079)</f>
        <v>14.700000000000001</v>
      </c>
      <c r="P2080" s="86"/>
      <c r="Q2080" s="1071"/>
    </row>
    <row r="2082" spans="9:17" ht="13.9" x14ac:dyDescent="0.4">
      <c r="I2082" s="1071"/>
      <c r="J2082" s="78" t="str">
        <f>IF(OR(A2_Budget_Look_Up!$B$7=1,A2_Budget_Look_Up!$B$13=1),"Nematicide Detail", "Fungicide Detail")</f>
        <v>Fungicide Detail</v>
      </c>
      <c r="K2082" s="78"/>
      <c r="L2082" s="78"/>
      <c r="M2082" s="79"/>
      <c r="N2082" s="85"/>
      <c r="O2082" s="79"/>
      <c r="P2082" s="78"/>
      <c r="Q2082" s="1071"/>
    </row>
    <row r="2083" spans="9:17" ht="13.9" x14ac:dyDescent="0.4">
      <c r="I2083" s="1071"/>
      <c r="J2083" s="80" t="s">
        <v>212</v>
      </c>
      <c r="K2083" s="80" t="s">
        <v>838</v>
      </c>
      <c r="L2083" s="80" t="s">
        <v>2</v>
      </c>
      <c r="M2083" s="80" t="s">
        <v>21</v>
      </c>
      <c r="N2083" s="80" t="s">
        <v>174</v>
      </c>
      <c r="O2083" s="80" t="s">
        <v>14</v>
      </c>
      <c r="P2083" s="80" t="s">
        <v>890</v>
      </c>
      <c r="Q2083" s="1071"/>
    </row>
    <row r="2084" spans="9:17" ht="13.9" x14ac:dyDescent="0.4">
      <c r="I2084" s="1073">
        <f>IF($A$1=34,I2079+1,0)</f>
        <v>0</v>
      </c>
      <c r="J2084" s="156" t="s">
        <v>19</v>
      </c>
      <c r="K2084" s="1350" t="s">
        <v>839</v>
      </c>
      <c r="L2084" s="158"/>
      <c r="M2084" s="159">
        <v>0</v>
      </c>
      <c r="N2084" s="157">
        <v>0</v>
      </c>
      <c r="O2084" s="82">
        <f>M2084*N2084</f>
        <v>0</v>
      </c>
      <c r="P2084" s="158"/>
      <c r="Q2084" s="1071">
        <f>Q2079</f>
        <v>0</v>
      </c>
    </row>
    <row r="2085" spans="9:17" ht="13.9" x14ac:dyDescent="0.4">
      <c r="I2085" s="1073">
        <f>IF($A$1=34,I2084+1,0)</f>
        <v>0</v>
      </c>
      <c r="J2085" s="156" t="s">
        <v>19</v>
      </c>
      <c r="K2085" s="1350" t="s">
        <v>839</v>
      </c>
      <c r="L2085" s="158"/>
      <c r="M2085" s="159">
        <v>0</v>
      </c>
      <c r="N2085" s="157">
        <v>0</v>
      </c>
      <c r="O2085" s="82">
        <f>M2085*N2085</f>
        <v>0</v>
      </c>
      <c r="P2085" s="158"/>
      <c r="Q2085" s="1071">
        <f>Q2084</f>
        <v>0</v>
      </c>
    </row>
    <row r="2086" spans="9:17" ht="13.9" x14ac:dyDescent="0.4">
      <c r="I2086" s="1071"/>
      <c r="J2086" s="86" t="s">
        <v>22</v>
      </c>
      <c r="K2086" s="86"/>
      <c r="L2086" s="86"/>
      <c r="M2086" s="81"/>
      <c r="N2086" s="87"/>
      <c r="O2086" s="88">
        <f>SUM(O2084:O2085)</f>
        <v>0</v>
      </c>
      <c r="P2086" s="86"/>
      <c r="Q2086" s="1071"/>
    </row>
    <row r="2087" spans="9:17" ht="13.9" x14ac:dyDescent="0.4">
      <c r="I2087" s="1071"/>
      <c r="J2087" s="83"/>
      <c r="K2087" s="83"/>
      <c r="L2087" s="83"/>
      <c r="M2087" s="83"/>
      <c r="N2087" s="84"/>
      <c r="O2087" s="83"/>
      <c r="P2087" s="83"/>
      <c r="Q2087" s="1071"/>
    </row>
    <row r="2088" spans="9:17" ht="13.9" x14ac:dyDescent="0.4">
      <c r="I2088" s="1071"/>
      <c r="J2088" s="78" t="str">
        <f>IF(A2_Budget_Look_Up!$B$7=1,"Growth Regulator Detail", IF(A2_Budget_Look_Up!$B$13=1,"Fungicide Detail","Other Chemical Detail"))</f>
        <v>Other Chemical Detail</v>
      </c>
      <c r="K2088" s="78"/>
      <c r="L2088" s="78"/>
      <c r="M2088" s="79"/>
      <c r="N2088" s="85"/>
      <c r="O2088" s="79"/>
      <c r="P2088" s="78"/>
      <c r="Q2088" s="1071"/>
    </row>
    <row r="2089" spans="9:17" ht="13.9" x14ac:dyDescent="0.4">
      <c r="I2089" s="1071"/>
      <c r="J2089" s="80" t="s">
        <v>212</v>
      </c>
      <c r="K2089" s="80" t="s">
        <v>838</v>
      </c>
      <c r="L2089" s="80" t="s">
        <v>2</v>
      </c>
      <c r="M2089" s="80" t="s">
        <v>21</v>
      </c>
      <c r="N2089" s="80" t="s">
        <v>174</v>
      </c>
      <c r="O2089" s="80" t="s">
        <v>14</v>
      </c>
      <c r="P2089" s="80" t="s">
        <v>890</v>
      </c>
      <c r="Q2089" s="1071"/>
    </row>
    <row r="2090" spans="9:17" ht="13.9" x14ac:dyDescent="0.4">
      <c r="I2090" s="1073">
        <f>IF($A$1=34,I2085+1,0)</f>
        <v>0</v>
      </c>
      <c r="J2090" s="156" t="s">
        <v>19</v>
      </c>
      <c r="K2090" s="1350" t="s">
        <v>839</v>
      </c>
      <c r="L2090" s="158"/>
      <c r="M2090" s="159">
        <v>0</v>
      </c>
      <c r="N2090" s="157">
        <v>0</v>
      </c>
      <c r="O2090" s="82">
        <f t="shared" ref="O2090:O2096" si="415">M2090*N2090</f>
        <v>0</v>
      </c>
      <c r="P2090" s="160"/>
      <c r="Q2090" s="1071">
        <f>Q2085</f>
        <v>0</v>
      </c>
    </row>
    <row r="2091" spans="9:17" ht="13.9" x14ac:dyDescent="0.4">
      <c r="I2091" s="1073">
        <f t="shared" ref="I2091:I2096" si="416">IF($A$1=34,I2090+1,0)</f>
        <v>0</v>
      </c>
      <c r="J2091" s="156" t="s">
        <v>19</v>
      </c>
      <c r="K2091" s="1350" t="s">
        <v>839</v>
      </c>
      <c r="L2091" s="158"/>
      <c r="M2091" s="159">
        <v>0</v>
      </c>
      <c r="N2091" s="157">
        <v>0</v>
      </c>
      <c r="O2091" s="82">
        <f t="shared" si="415"/>
        <v>0</v>
      </c>
      <c r="P2091" s="160"/>
      <c r="Q2091" s="1071">
        <f t="shared" ref="Q2091:Q2096" si="417">Q2090</f>
        <v>0</v>
      </c>
    </row>
    <row r="2092" spans="9:17" ht="13.9" x14ac:dyDescent="0.4">
      <c r="I2092" s="1073">
        <f t="shared" si="416"/>
        <v>0</v>
      </c>
      <c r="J2092" s="156" t="s">
        <v>19</v>
      </c>
      <c r="K2092" s="1350" t="s">
        <v>839</v>
      </c>
      <c r="L2092" s="158"/>
      <c r="M2092" s="159">
        <v>0</v>
      </c>
      <c r="N2092" s="157">
        <v>0</v>
      </c>
      <c r="O2092" s="82">
        <f t="shared" si="415"/>
        <v>0</v>
      </c>
      <c r="P2092" s="160"/>
      <c r="Q2092" s="1071">
        <f t="shared" si="417"/>
        <v>0</v>
      </c>
    </row>
    <row r="2093" spans="9:17" ht="13.9" x14ac:dyDescent="0.4">
      <c r="I2093" s="1073">
        <f t="shared" si="416"/>
        <v>0</v>
      </c>
      <c r="J2093" s="156" t="s">
        <v>19</v>
      </c>
      <c r="K2093" s="1350" t="s">
        <v>839</v>
      </c>
      <c r="L2093" s="158"/>
      <c r="M2093" s="159">
        <v>0</v>
      </c>
      <c r="N2093" s="157">
        <v>0</v>
      </c>
      <c r="O2093" s="82">
        <f t="shared" si="415"/>
        <v>0</v>
      </c>
      <c r="P2093" s="158"/>
      <c r="Q2093" s="1071">
        <f t="shared" si="417"/>
        <v>0</v>
      </c>
    </row>
    <row r="2094" spans="9:17" ht="13.9" x14ac:dyDescent="0.4">
      <c r="I2094" s="1073">
        <f t="shared" si="416"/>
        <v>0</v>
      </c>
      <c r="J2094" s="156" t="s">
        <v>19</v>
      </c>
      <c r="K2094" s="1350" t="s">
        <v>839</v>
      </c>
      <c r="L2094" s="158"/>
      <c r="M2094" s="159">
        <v>0</v>
      </c>
      <c r="N2094" s="157">
        <v>0</v>
      </c>
      <c r="O2094" s="82">
        <f t="shared" si="415"/>
        <v>0</v>
      </c>
      <c r="P2094" s="158"/>
      <c r="Q2094" s="1071">
        <f t="shared" si="417"/>
        <v>0</v>
      </c>
    </row>
    <row r="2095" spans="9:17" ht="13.9" x14ac:dyDescent="0.4">
      <c r="I2095" s="1073">
        <f t="shared" si="416"/>
        <v>0</v>
      </c>
      <c r="J2095" s="156" t="s">
        <v>19</v>
      </c>
      <c r="K2095" s="1350" t="s">
        <v>839</v>
      </c>
      <c r="L2095" s="158"/>
      <c r="M2095" s="159">
        <v>0</v>
      </c>
      <c r="N2095" s="157">
        <v>0</v>
      </c>
      <c r="O2095" s="82">
        <f t="shared" si="415"/>
        <v>0</v>
      </c>
      <c r="P2095" s="158"/>
      <c r="Q2095" s="1071">
        <f t="shared" si="417"/>
        <v>0</v>
      </c>
    </row>
    <row r="2096" spans="9:17" ht="13.9" x14ac:dyDescent="0.4">
      <c r="I2096" s="1073">
        <f t="shared" si="416"/>
        <v>0</v>
      </c>
      <c r="J2096" s="156" t="s">
        <v>19</v>
      </c>
      <c r="K2096" s="1350" t="s">
        <v>839</v>
      </c>
      <c r="L2096" s="158"/>
      <c r="M2096" s="159">
        <v>0</v>
      </c>
      <c r="N2096" s="157">
        <v>0</v>
      </c>
      <c r="O2096" s="82">
        <f t="shared" si="415"/>
        <v>0</v>
      </c>
      <c r="P2096" s="158"/>
      <c r="Q2096" s="1071">
        <f t="shared" si="417"/>
        <v>0</v>
      </c>
    </row>
    <row r="2097" spans="9:17" ht="13.9" x14ac:dyDescent="0.4">
      <c r="I2097" s="1071"/>
      <c r="J2097" s="86" t="s">
        <v>22</v>
      </c>
      <c r="K2097" s="86"/>
      <c r="L2097" s="86"/>
      <c r="M2097" s="81"/>
      <c r="N2097" s="87"/>
      <c r="O2097" s="88">
        <f>SUM(O2090:O2096)</f>
        <v>0</v>
      </c>
      <c r="P2097" s="86"/>
      <c r="Q2097" s="1071"/>
    </row>
    <row r="2098" spans="9:17" ht="13.9" x14ac:dyDescent="0.4">
      <c r="I2098" s="1071"/>
      <c r="J2098" s="83"/>
      <c r="K2098" s="83"/>
      <c r="L2098" s="83"/>
      <c r="M2098" s="83"/>
      <c r="N2098" s="84"/>
      <c r="O2098" s="83"/>
      <c r="P2098" s="83"/>
      <c r="Q2098" s="1071"/>
    </row>
    <row r="2099" spans="9:17" ht="13.9" x14ac:dyDescent="0.4">
      <c r="I2099" s="1071"/>
      <c r="J2099" s="78" t="str">
        <f>IF(A2_Budget_Look_Up!$B$7=1,"Defoliant Detail", "Other Chemical Detail")</f>
        <v>Other Chemical Detail</v>
      </c>
      <c r="K2099" s="78"/>
      <c r="L2099" s="78"/>
      <c r="M2099" s="79"/>
      <c r="N2099" s="85"/>
      <c r="O2099" s="79"/>
      <c r="P2099" s="78"/>
      <c r="Q2099" s="1071"/>
    </row>
    <row r="2100" spans="9:17" ht="13.9" x14ac:dyDescent="0.4">
      <c r="I2100" s="1071"/>
      <c r="J2100" s="80" t="s">
        <v>212</v>
      </c>
      <c r="K2100" s="80" t="s">
        <v>838</v>
      </c>
      <c r="L2100" s="80" t="s">
        <v>2</v>
      </c>
      <c r="M2100" s="80" t="s">
        <v>21</v>
      </c>
      <c r="N2100" s="80" t="s">
        <v>174</v>
      </c>
      <c r="O2100" s="80" t="s">
        <v>14</v>
      </c>
      <c r="P2100" s="80" t="s">
        <v>890</v>
      </c>
      <c r="Q2100" s="1071"/>
    </row>
    <row r="2101" spans="9:17" ht="13.9" x14ac:dyDescent="0.4">
      <c r="I2101" s="1073">
        <f>IF($A$1=34,I2096+1,0)</f>
        <v>0</v>
      </c>
      <c r="J2101" s="156" t="s">
        <v>19</v>
      </c>
      <c r="K2101" s="1350" t="s">
        <v>839</v>
      </c>
      <c r="L2101" s="158"/>
      <c r="M2101" s="159">
        <v>0</v>
      </c>
      <c r="N2101" s="157">
        <v>0</v>
      </c>
      <c r="O2101" s="82">
        <f t="shared" ref="O2101:O2107" si="418">M2101*N2101</f>
        <v>0</v>
      </c>
      <c r="P2101" s="160"/>
      <c r="Q2101" s="1071">
        <f>Q2096</f>
        <v>0</v>
      </c>
    </row>
    <row r="2102" spans="9:17" ht="13.9" x14ac:dyDescent="0.4">
      <c r="I2102" s="1073">
        <f t="shared" ref="I2102:I2107" si="419">IF($A$1=34,I2101+1,0)</f>
        <v>0</v>
      </c>
      <c r="J2102" s="156" t="s">
        <v>19</v>
      </c>
      <c r="K2102" s="1350" t="s">
        <v>839</v>
      </c>
      <c r="L2102" s="158"/>
      <c r="M2102" s="159">
        <v>0</v>
      </c>
      <c r="N2102" s="157">
        <v>0</v>
      </c>
      <c r="O2102" s="82">
        <f t="shared" si="418"/>
        <v>0</v>
      </c>
      <c r="P2102" s="160"/>
      <c r="Q2102" s="1071">
        <f t="shared" ref="Q2102:Q2107" si="420">Q2101</f>
        <v>0</v>
      </c>
    </row>
    <row r="2103" spans="9:17" ht="13.9" x14ac:dyDescent="0.4">
      <c r="I2103" s="1073">
        <f t="shared" si="419"/>
        <v>0</v>
      </c>
      <c r="J2103" s="156" t="s">
        <v>19</v>
      </c>
      <c r="K2103" s="1350" t="s">
        <v>839</v>
      </c>
      <c r="L2103" s="158"/>
      <c r="M2103" s="159">
        <v>0</v>
      </c>
      <c r="N2103" s="157">
        <v>0</v>
      </c>
      <c r="O2103" s="82">
        <f t="shared" si="418"/>
        <v>0</v>
      </c>
      <c r="P2103" s="160"/>
      <c r="Q2103" s="1071">
        <f t="shared" si="420"/>
        <v>0</v>
      </c>
    </row>
    <row r="2104" spans="9:17" ht="13.9" x14ac:dyDescent="0.4">
      <c r="I2104" s="1073">
        <f t="shared" si="419"/>
        <v>0</v>
      </c>
      <c r="J2104" s="156" t="s">
        <v>19</v>
      </c>
      <c r="K2104" s="1350" t="s">
        <v>839</v>
      </c>
      <c r="L2104" s="158"/>
      <c r="M2104" s="159">
        <v>0</v>
      </c>
      <c r="N2104" s="157">
        <v>0</v>
      </c>
      <c r="O2104" s="82">
        <f t="shared" si="418"/>
        <v>0</v>
      </c>
      <c r="P2104" s="160"/>
      <c r="Q2104" s="1071">
        <f t="shared" si="420"/>
        <v>0</v>
      </c>
    </row>
    <row r="2105" spans="9:17" ht="13.9" x14ac:dyDescent="0.4">
      <c r="I2105" s="1073">
        <f t="shared" si="419"/>
        <v>0</v>
      </c>
      <c r="J2105" s="156" t="s">
        <v>19</v>
      </c>
      <c r="K2105" s="1350" t="s">
        <v>839</v>
      </c>
      <c r="L2105" s="158"/>
      <c r="M2105" s="159">
        <v>0</v>
      </c>
      <c r="N2105" s="157">
        <v>0</v>
      </c>
      <c r="O2105" s="82">
        <f t="shared" si="418"/>
        <v>0</v>
      </c>
      <c r="P2105" s="160"/>
      <c r="Q2105" s="1071">
        <f t="shared" si="420"/>
        <v>0</v>
      </c>
    </row>
    <row r="2106" spans="9:17" ht="13.9" x14ac:dyDescent="0.4">
      <c r="I2106" s="1073">
        <f t="shared" si="419"/>
        <v>0</v>
      </c>
      <c r="J2106" s="156" t="s">
        <v>19</v>
      </c>
      <c r="K2106" s="1350" t="s">
        <v>839</v>
      </c>
      <c r="L2106" s="158"/>
      <c r="M2106" s="159">
        <v>0</v>
      </c>
      <c r="N2106" s="157">
        <v>0</v>
      </c>
      <c r="O2106" s="82">
        <f t="shared" si="418"/>
        <v>0</v>
      </c>
      <c r="P2106" s="158"/>
      <c r="Q2106" s="1071">
        <f t="shared" si="420"/>
        <v>0</v>
      </c>
    </row>
    <row r="2107" spans="9:17" ht="13.9" x14ac:dyDescent="0.4">
      <c r="I2107" s="1073">
        <f t="shared" si="419"/>
        <v>0</v>
      </c>
      <c r="J2107" s="156" t="s">
        <v>19</v>
      </c>
      <c r="K2107" s="1350" t="s">
        <v>839</v>
      </c>
      <c r="L2107" s="158"/>
      <c r="M2107" s="159">
        <v>0</v>
      </c>
      <c r="N2107" s="157">
        <v>0</v>
      </c>
      <c r="O2107" s="82">
        <f t="shared" si="418"/>
        <v>0</v>
      </c>
      <c r="P2107" s="158"/>
      <c r="Q2107" s="1071">
        <f t="shared" si="420"/>
        <v>0</v>
      </c>
    </row>
    <row r="2108" spans="9:17" ht="13.9" x14ac:dyDescent="0.4">
      <c r="I2108" s="1071"/>
      <c r="J2108" s="86" t="s">
        <v>22</v>
      </c>
      <c r="K2108" s="86"/>
      <c r="L2108" s="86"/>
      <c r="M2108" s="81"/>
      <c r="N2108" s="87"/>
      <c r="O2108" s="88">
        <f>SUM(O2101:O2107)</f>
        <v>0</v>
      </c>
      <c r="P2108" s="86"/>
      <c r="Q2108" s="1071"/>
    </row>
    <row r="2109" spans="9:17" ht="13.9" x14ac:dyDescent="0.4">
      <c r="I2109" s="1071"/>
      <c r="J2109" s="83"/>
      <c r="K2109" s="83"/>
      <c r="L2109" s="83"/>
      <c r="M2109" s="89"/>
      <c r="N2109" s="84"/>
      <c r="O2109" s="89"/>
      <c r="P2109" s="83"/>
      <c r="Q2109" s="1071"/>
    </row>
    <row r="2110" spans="9:17" ht="13.9" x14ac:dyDescent="0.4">
      <c r="I2110" s="1071"/>
      <c r="J2110" s="1168" t="str">
        <f>A2_Budget_Look_Up!H37</f>
        <v>Soybeans, Conventional, Pivot</v>
      </c>
      <c r="K2110" s="1168"/>
      <c r="L2110" s="1168">
        <f>A2_Budget_Look_Up!F37</f>
        <v>35</v>
      </c>
      <c r="M2110" s="1168"/>
      <c r="N2110" s="1168"/>
      <c r="O2110" s="1168"/>
      <c r="P2110" s="1168"/>
      <c r="Q2110" s="1071"/>
    </row>
    <row r="2111" spans="9:17" ht="13.9" x14ac:dyDescent="0.4">
      <c r="I2111" s="1071"/>
      <c r="J2111" s="83"/>
      <c r="K2111" s="83"/>
      <c r="L2111" s="83"/>
      <c r="M2111" s="83"/>
      <c r="N2111" s="84"/>
      <c r="O2111" s="83"/>
      <c r="P2111" s="83"/>
      <c r="Q2111" s="1071"/>
    </row>
    <row r="2112" spans="9:17" ht="13.9" x14ac:dyDescent="0.4">
      <c r="I2112" s="1071"/>
      <c r="J2112" s="78" t="s">
        <v>18</v>
      </c>
      <c r="K2112" s="78"/>
      <c r="L2112" s="78"/>
      <c r="M2112" s="79"/>
      <c r="N2112" s="85"/>
      <c r="O2112" s="79"/>
      <c r="P2112" s="78"/>
      <c r="Q2112" s="1071"/>
    </row>
    <row r="2113" spans="9:17" ht="13.9" x14ac:dyDescent="0.4">
      <c r="I2113" s="1071"/>
      <c r="J2113" s="80" t="s">
        <v>212</v>
      </c>
      <c r="K2113" s="80" t="s">
        <v>838</v>
      </c>
      <c r="L2113" s="80" t="s">
        <v>2</v>
      </c>
      <c r="M2113" s="80" t="s">
        <v>21</v>
      </c>
      <c r="N2113" s="80" t="s">
        <v>174</v>
      </c>
      <c r="O2113" s="80" t="s">
        <v>14</v>
      </c>
      <c r="P2113" s="80" t="s">
        <v>890</v>
      </c>
      <c r="Q2113" s="1071"/>
    </row>
    <row r="2114" spans="9:17" ht="13.9" x14ac:dyDescent="0.4">
      <c r="I2114" s="1073">
        <f>IF($A$1=35,1,0)</f>
        <v>0</v>
      </c>
      <c r="J2114" s="159" t="str">
        <f>A4_Chem_Prices!N$2</f>
        <v>Roundup Powermax 3</v>
      </c>
      <c r="K2114" s="1350" t="s">
        <v>839</v>
      </c>
      <c r="L2114" s="158" t="str">
        <f>A4_Chem_Prices!O$2</f>
        <v>oz</v>
      </c>
      <c r="M2114" s="159">
        <f>A4_Chem_Prices!P$2</f>
        <v>0.140625</v>
      </c>
      <c r="N2114" s="159">
        <v>32</v>
      </c>
      <c r="O2114" s="82">
        <f t="shared" ref="O2114:O2127" si="421">M2114*N2114</f>
        <v>4.5</v>
      </c>
      <c r="P2114" s="1449">
        <f>N2114</f>
        <v>32</v>
      </c>
      <c r="Q2114" s="1171">
        <f>IF(SUM(I2114:I2169)=820,L2110,0)</f>
        <v>0</v>
      </c>
    </row>
    <row r="2115" spans="9:17" ht="13.9" x14ac:dyDescent="0.4">
      <c r="I2115" s="1073">
        <f t="shared" ref="I2115:I2127" si="422">IF($A$1=35,I2114+1,0)</f>
        <v>0</v>
      </c>
      <c r="J2115" s="159" t="str">
        <f>A4_Chem_Prices!N$3</f>
        <v>2,4-D</v>
      </c>
      <c r="K2115" s="1350" t="s">
        <v>839</v>
      </c>
      <c r="L2115" s="158" t="str">
        <f>A4_Chem_Prices!O$3</f>
        <v>oz</v>
      </c>
      <c r="M2115" s="159">
        <f>A4_Chem_Prices!P$3</f>
        <v>0.2734375</v>
      </c>
      <c r="N2115" s="159">
        <v>32</v>
      </c>
      <c r="O2115" s="82">
        <f t="shared" si="421"/>
        <v>8.75</v>
      </c>
      <c r="P2115" s="1449">
        <f>N2115</f>
        <v>32</v>
      </c>
      <c r="Q2115" s="1071">
        <f>Q2114</f>
        <v>0</v>
      </c>
    </row>
    <row r="2116" spans="9:17" ht="13.9" x14ac:dyDescent="0.4">
      <c r="I2116" s="1073">
        <f t="shared" si="422"/>
        <v>0</v>
      </c>
      <c r="J2116" s="159" t="str">
        <f>A4_Chem_Prices!Q$9</f>
        <v>Boundary</v>
      </c>
      <c r="K2116" s="1350" t="s">
        <v>839</v>
      </c>
      <c r="L2116" s="160" t="str">
        <f>A4_Chem_Prices!R$9</f>
        <v>oz</v>
      </c>
      <c r="M2116" s="159">
        <f>A4_Chem_Prices!S$9</f>
        <v>0.68414062499999995</v>
      </c>
      <c r="N2116" s="157">
        <v>1</v>
      </c>
      <c r="O2116" s="82">
        <f t="shared" si="421"/>
        <v>0.68414062499999995</v>
      </c>
      <c r="P2116" s="160">
        <f>N2116</f>
        <v>1</v>
      </c>
      <c r="Q2116" s="1071">
        <f t="shared" ref="Q2116:Q2127" si="423">Q2115</f>
        <v>0</v>
      </c>
    </row>
    <row r="2117" spans="9:17" ht="13.9" x14ac:dyDescent="0.4">
      <c r="I2117" s="1073">
        <f t="shared" si="422"/>
        <v>0</v>
      </c>
      <c r="J2117" s="159" t="str">
        <f>A4_Chem_Prices!N$8</f>
        <v>Select Max</v>
      </c>
      <c r="K2117" s="1350" t="s">
        <v>839</v>
      </c>
      <c r="L2117" s="158" t="s">
        <v>413</v>
      </c>
      <c r="M2117" s="159">
        <f>A4_Chem_Prices!P$8</f>
        <v>0.27396484375000002</v>
      </c>
      <c r="N2117" s="157">
        <v>1</v>
      </c>
      <c r="O2117" s="82">
        <f t="shared" si="421"/>
        <v>0.27396484375000002</v>
      </c>
      <c r="P2117" s="1449">
        <f>N2117*16</f>
        <v>16</v>
      </c>
      <c r="Q2117" s="1071">
        <f t="shared" si="423"/>
        <v>0</v>
      </c>
    </row>
    <row r="2118" spans="9:17" ht="13.9" x14ac:dyDescent="0.4">
      <c r="I2118" s="1073">
        <f t="shared" si="422"/>
        <v>0</v>
      </c>
      <c r="J2118" s="159" t="str">
        <f>A4_Chem_Prices!N$11</f>
        <v>Zidua</v>
      </c>
      <c r="K2118" s="1350" t="s">
        <v>839</v>
      </c>
      <c r="L2118" s="160" t="str">
        <f>A4_Chem_Prices!O$11</f>
        <v>oz</v>
      </c>
      <c r="M2118" s="159">
        <f>A4_Chem_Prices!P$11</f>
        <v>5.7421875</v>
      </c>
      <c r="N2118" s="157">
        <v>3.5</v>
      </c>
      <c r="O2118" s="82">
        <f t="shared" si="421"/>
        <v>20.09765625</v>
      </c>
      <c r="P2118" s="1449">
        <f>N2118*16</f>
        <v>56</v>
      </c>
      <c r="Q2118" s="1071">
        <f t="shared" si="423"/>
        <v>0</v>
      </c>
    </row>
    <row r="2119" spans="9:17" ht="13.9" x14ac:dyDescent="0.4">
      <c r="I2119" s="1073">
        <f t="shared" si="422"/>
        <v>0</v>
      </c>
      <c r="J2119" s="159" t="str">
        <f>A4_Chem_Prices!Q$12</f>
        <v>Flexstar</v>
      </c>
      <c r="K2119" s="1350" t="s">
        <v>839</v>
      </c>
      <c r="L2119" s="160" t="str">
        <f>A4_Chem_Prices!R$12</f>
        <v>oz</v>
      </c>
      <c r="M2119" s="159">
        <f>A4_Chem_Prices!S$12</f>
        <v>0.453125</v>
      </c>
      <c r="N2119" s="157">
        <v>1.5</v>
      </c>
      <c r="O2119" s="82">
        <f t="shared" si="421"/>
        <v>0.6796875</v>
      </c>
      <c r="P2119" s="1449">
        <f>N2119</f>
        <v>1.5</v>
      </c>
      <c r="Q2119" s="1071">
        <f t="shared" si="423"/>
        <v>0</v>
      </c>
    </row>
    <row r="2120" spans="9:17" ht="13.9" x14ac:dyDescent="0.4">
      <c r="I2120" s="1073">
        <f t="shared" si="422"/>
        <v>0</v>
      </c>
      <c r="J2120" s="159" t="str">
        <f>A4_Chem_Prices!Q$16</f>
        <v>Outlook</v>
      </c>
      <c r="K2120" s="1350" t="s">
        <v>839</v>
      </c>
      <c r="L2120" s="160" t="str">
        <f>A4_Chem_Prices!R$16</f>
        <v>oz</v>
      </c>
      <c r="M2120" s="159">
        <f>A4_Chem_Prices!S$16</f>
        <v>0.984375</v>
      </c>
      <c r="N2120" s="157">
        <v>12.8</v>
      </c>
      <c r="O2120" s="82">
        <f t="shared" si="421"/>
        <v>12.600000000000001</v>
      </c>
      <c r="P2120" s="160"/>
      <c r="Q2120" s="1071">
        <f t="shared" si="423"/>
        <v>0</v>
      </c>
    </row>
    <row r="2121" spans="9:17" ht="13.9" x14ac:dyDescent="0.4">
      <c r="I2121" s="1073">
        <f t="shared" si="422"/>
        <v>0</v>
      </c>
      <c r="J2121" s="159" t="str">
        <f>A4_Chem_Prices!N$10</f>
        <v>Gramoxone</v>
      </c>
      <c r="K2121" s="1350" t="s">
        <v>839</v>
      </c>
      <c r="L2121" s="160" t="str">
        <f>A4_Chem_Prices!O$10</f>
        <v>oz</v>
      </c>
      <c r="M2121" s="159">
        <f>A4_Chem_Prices!P$10</f>
        <v>0.23046875</v>
      </c>
      <c r="N2121" s="157">
        <v>32</v>
      </c>
      <c r="O2121" s="82">
        <f t="shared" si="421"/>
        <v>7.375</v>
      </c>
      <c r="P2121" s="160"/>
      <c r="Q2121" s="1071">
        <f t="shared" si="423"/>
        <v>0</v>
      </c>
    </row>
    <row r="2122" spans="9:17" ht="13.9" x14ac:dyDescent="0.4">
      <c r="I2122" s="1073">
        <f t="shared" si="422"/>
        <v>0</v>
      </c>
      <c r="J2122" s="159" t="str">
        <f>A4_Chem_Prices!Q$13</f>
        <v>First Rate</v>
      </c>
      <c r="K2122" s="1350" t="s">
        <v>839</v>
      </c>
      <c r="L2122" s="160" t="str">
        <f>A4_Chem_Prices!R$13</f>
        <v>oz</v>
      </c>
      <c r="M2122" s="159">
        <f>A4_Chem_Prices!S$13</f>
        <v>40.119999999999997</v>
      </c>
      <c r="N2122" s="157">
        <v>0.3</v>
      </c>
      <c r="O2122" s="82">
        <f t="shared" si="421"/>
        <v>12.036</v>
      </c>
      <c r="P2122" s="160"/>
      <c r="Q2122" s="1071">
        <f t="shared" si="423"/>
        <v>0</v>
      </c>
    </row>
    <row r="2123" spans="9:17" ht="13.9" x14ac:dyDescent="0.4">
      <c r="I2123" s="1073">
        <f t="shared" si="422"/>
        <v>0</v>
      </c>
      <c r="J2123" s="159" t="str">
        <f>A4_Chem_Prices!Q$14</f>
        <v>Python</v>
      </c>
      <c r="K2123" s="1350" t="s">
        <v>839</v>
      </c>
      <c r="L2123" s="160" t="str">
        <f>A4_Chem_Prices!R$14</f>
        <v>oz</v>
      </c>
      <c r="M2123" s="159">
        <f>A4_Chem_Prices!S$14</f>
        <v>5.6749999999999998</v>
      </c>
      <c r="N2123" s="157">
        <v>0.125</v>
      </c>
      <c r="O2123" s="82">
        <f t="shared" si="421"/>
        <v>0.70937499999999998</v>
      </c>
      <c r="P2123" s="160"/>
      <c r="Q2123" s="1071">
        <f t="shared" si="423"/>
        <v>0</v>
      </c>
    </row>
    <row r="2124" spans="9:17" ht="13.9" x14ac:dyDescent="0.4">
      <c r="I2124" s="1073">
        <f t="shared" si="422"/>
        <v>0</v>
      </c>
      <c r="J2124" s="159" t="s">
        <v>19</v>
      </c>
      <c r="K2124" s="1350" t="s">
        <v>839</v>
      </c>
      <c r="L2124" s="160"/>
      <c r="M2124" s="159">
        <v>0</v>
      </c>
      <c r="N2124" s="157">
        <v>0</v>
      </c>
      <c r="O2124" s="82">
        <f t="shared" si="421"/>
        <v>0</v>
      </c>
      <c r="P2124" s="160"/>
      <c r="Q2124" s="1071">
        <f t="shared" si="423"/>
        <v>0</v>
      </c>
    </row>
    <row r="2125" spans="9:17" ht="13.9" x14ac:dyDescent="0.4">
      <c r="I2125" s="1073">
        <f t="shared" si="422"/>
        <v>0</v>
      </c>
      <c r="J2125" s="159" t="s">
        <v>19</v>
      </c>
      <c r="K2125" s="1350" t="s">
        <v>839</v>
      </c>
      <c r="L2125" s="160"/>
      <c r="M2125" s="159">
        <v>0</v>
      </c>
      <c r="N2125" s="157">
        <v>0</v>
      </c>
      <c r="O2125" s="82">
        <f t="shared" si="421"/>
        <v>0</v>
      </c>
      <c r="P2125" s="160"/>
      <c r="Q2125" s="1071">
        <f t="shared" si="423"/>
        <v>0</v>
      </c>
    </row>
    <row r="2126" spans="9:17" ht="13.9" x14ac:dyDescent="0.4">
      <c r="I2126" s="1073">
        <f t="shared" si="422"/>
        <v>0</v>
      </c>
      <c r="J2126" s="159" t="s">
        <v>19</v>
      </c>
      <c r="K2126" s="1350" t="s">
        <v>839</v>
      </c>
      <c r="L2126" s="160"/>
      <c r="M2126" s="159">
        <v>0</v>
      </c>
      <c r="N2126" s="157">
        <v>0</v>
      </c>
      <c r="O2126" s="82">
        <f t="shared" si="421"/>
        <v>0</v>
      </c>
      <c r="P2126" s="160"/>
      <c r="Q2126" s="1071">
        <f t="shared" si="423"/>
        <v>0</v>
      </c>
    </row>
    <row r="2127" spans="9:17" ht="13.9" x14ac:dyDescent="0.4">
      <c r="I2127" s="1073">
        <f t="shared" si="422"/>
        <v>0</v>
      </c>
      <c r="J2127" s="159" t="s">
        <v>19</v>
      </c>
      <c r="K2127" s="1350" t="s">
        <v>839</v>
      </c>
      <c r="L2127" s="160"/>
      <c r="M2127" s="159">
        <v>0</v>
      </c>
      <c r="N2127" s="157">
        <v>0</v>
      </c>
      <c r="O2127" s="82">
        <f t="shared" si="421"/>
        <v>0</v>
      </c>
      <c r="P2127" s="160"/>
      <c r="Q2127" s="1071">
        <f t="shared" si="423"/>
        <v>0</v>
      </c>
    </row>
    <row r="2128" spans="9:17" ht="13.9" x14ac:dyDescent="0.4">
      <c r="I2128" s="1071"/>
      <c r="J2128" s="86" t="s">
        <v>22</v>
      </c>
      <c r="K2128" s="86"/>
      <c r="L2128" s="86"/>
      <c r="M2128" s="81"/>
      <c r="N2128" s="87"/>
      <c r="O2128" s="88">
        <f>SUM(O2114:O2127)</f>
        <v>67.705824218749996</v>
      </c>
      <c r="P2128" s="86"/>
      <c r="Q2128" s="1071"/>
    </row>
    <row r="2130" spans="9:17" ht="13.9" x14ac:dyDescent="0.4">
      <c r="I2130" s="1071"/>
      <c r="J2130" s="78" t="s">
        <v>20</v>
      </c>
      <c r="K2130" s="78"/>
      <c r="L2130" s="78"/>
      <c r="M2130" s="79"/>
      <c r="N2130" s="85"/>
      <c r="O2130" s="79"/>
      <c r="P2130" s="78"/>
      <c r="Q2130" s="1071"/>
    </row>
    <row r="2131" spans="9:17" ht="13.9" x14ac:dyDescent="0.4">
      <c r="I2131" s="1071"/>
      <c r="J2131" s="80" t="s">
        <v>212</v>
      </c>
      <c r="K2131" s="80" t="s">
        <v>838</v>
      </c>
      <c r="L2131" s="80" t="s">
        <v>2</v>
      </c>
      <c r="M2131" s="80" t="s">
        <v>21</v>
      </c>
      <c r="N2131" s="80" t="s">
        <v>174</v>
      </c>
      <c r="O2131" s="80" t="s">
        <v>14</v>
      </c>
      <c r="P2131" s="80" t="s">
        <v>890</v>
      </c>
      <c r="Q2131" s="1071"/>
    </row>
    <row r="2132" spans="9:17" ht="13.9" x14ac:dyDescent="0.4">
      <c r="I2132" s="1073">
        <f>IF($A$1=35,I2127+1,0)</f>
        <v>0</v>
      </c>
      <c r="J2132" s="159" t="str">
        <f>A4_Chem_Prices!N$19</f>
        <v>Besiege</v>
      </c>
      <c r="K2132" s="1350" t="s">
        <v>839</v>
      </c>
      <c r="L2132" s="160" t="str">
        <f>A4_Chem_Prices!O$19</f>
        <v>oz</v>
      </c>
      <c r="M2132" s="159">
        <f>A4_Chem_Prices!P$19</f>
        <v>1.98</v>
      </c>
      <c r="N2132" s="157">
        <v>9</v>
      </c>
      <c r="O2132" s="82">
        <f t="shared" ref="O2132:O2141" si="424">M2132*N2132</f>
        <v>17.82</v>
      </c>
      <c r="P2132" s="1449">
        <f>N2132</f>
        <v>9</v>
      </c>
      <c r="Q2132" s="1071">
        <f>Q2114</f>
        <v>0</v>
      </c>
    </row>
    <row r="2133" spans="9:17" ht="13.9" x14ac:dyDescent="0.4">
      <c r="I2133" s="1073">
        <f t="shared" ref="I2133:I2141" si="425">IF($A$1=35,I2132+1,0)</f>
        <v>0</v>
      </c>
      <c r="J2133" s="159" t="s">
        <v>19</v>
      </c>
      <c r="K2133" s="1350" t="s">
        <v>839</v>
      </c>
      <c r="L2133" s="160"/>
      <c r="M2133" s="159">
        <v>0</v>
      </c>
      <c r="N2133" s="157">
        <v>0</v>
      </c>
      <c r="O2133" s="82">
        <f t="shared" si="424"/>
        <v>0</v>
      </c>
      <c r="P2133" s="158"/>
      <c r="Q2133" s="1071">
        <f>Q2132</f>
        <v>0</v>
      </c>
    </row>
    <row r="2134" spans="9:17" ht="13.9" x14ac:dyDescent="0.4">
      <c r="I2134" s="1073">
        <f t="shared" si="425"/>
        <v>0</v>
      </c>
      <c r="J2134" s="159" t="s">
        <v>19</v>
      </c>
      <c r="K2134" s="1350" t="s">
        <v>839</v>
      </c>
      <c r="L2134" s="160"/>
      <c r="M2134" s="159">
        <v>0</v>
      </c>
      <c r="N2134" s="157">
        <v>0</v>
      </c>
      <c r="O2134" s="82">
        <f t="shared" si="424"/>
        <v>0</v>
      </c>
      <c r="P2134" s="158"/>
      <c r="Q2134" s="1071">
        <f t="shared" ref="Q2134:Q2141" si="426">Q2133</f>
        <v>0</v>
      </c>
    </row>
    <row r="2135" spans="9:17" ht="13.9" x14ac:dyDescent="0.4">
      <c r="I2135" s="1073">
        <f t="shared" si="425"/>
        <v>0</v>
      </c>
      <c r="J2135" s="159" t="s">
        <v>19</v>
      </c>
      <c r="K2135" s="1350" t="s">
        <v>839</v>
      </c>
      <c r="L2135" s="160"/>
      <c r="M2135" s="159">
        <v>0</v>
      </c>
      <c r="N2135" s="157">
        <v>0</v>
      </c>
      <c r="O2135" s="82">
        <f t="shared" si="424"/>
        <v>0</v>
      </c>
      <c r="P2135" s="158"/>
      <c r="Q2135" s="1071">
        <f t="shared" si="426"/>
        <v>0</v>
      </c>
    </row>
    <row r="2136" spans="9:17" ht="13.9" x14ac:dyDescent="0.4">
      <c r="I2136" s="1073">
        <f t="shared" si="425"/>
        <v>0</v>
      </c>
      <c r="J2136" s="159" t="s">
        <v>19</v>
      </c>
      <c r="K2136" s="1350" t="s">
        <v>839</v>
      </c>
      <c r="L2136" s="160"/>
      <c r="M2136" s="159">
        <v>0</v>
      </c>
      <c r="N2136" s="157">
        <v>0</v>
      </c>
      <c r="O2136" s="82">
        <f t="shared" si="424"/>
        <v>0</v>
      </c>
      <c r="P2136" s="158"/>
      <c r="Q2136" s="1071">
        <f t="shared" si="426"/>
        <v>0</v>
      </c>
    </row>
    <row r="2137" spans="9:17" ht="13.9" x14ac:dyDescent="0.4">
      <c r="I2137" s="1073">
        <f t="shared" si="425"/>
        <v>0</v>
      </c>
      <c r="J2137" s="159" t="s">
        <v>19</v>
      </c>
      <c r="K2137" s="1350" t="s">
        <v>839</v>
      </c>
      <c r="L2137" s="160"/>
      <c r="M2137" s="159">
        <v>0</v>
      </c>
      <c r="N2137" s="157">
        <v>0</v>
      </c>
      <c r="O2137" s="82">
        <f t="shared" si="424"/>
        <v>0</v>
      </c>
      <c r="P2137" s="158"/>
      <c r="Q2137" s="1071">
        <f t="shared" si="426"/>
        <v>0</v>
      </c>
    </row>
    <row r="2138" spans="9:17" ht="13.9" x14ac:dyDescent="0.4">
      <c r="I2138" s="1073">
        <f t="shared" si="425"/>
        <v>0</v>
      </c>
      <c r="J2138" s="159" t="s">
        <v>19</v>
      </c>
      <c r="K2138" s="1350" t="s">
        <v>839</v>
      </c>
      <c r="L2138" s="160"/>
      <c r="M2138" s="159">
        <v>0</v>
      </c>
      <c r="N2138" s="157">
        <v>0</v>
      </c>
      <c r="O2138" s="82">
        <f t="shared" si="424"/>
        <v>0</v>
      </c>
      <c r="P2138" s="158"/>
      <c r="Q2138" s="1071">
        <f t="shared" si="426"/>
        <v>0</v>
      </c>
    </row>
    <row r="2139" spans="9:17" ht="13.9" x14ac:dyDescent="0.4">
      <c r="I2139" s="1073">
        <f t="shared" si="425"/>
        <v>0</v>
      </c>
      <c r="J2139" s="159" t="s">
        <v>19</v>
      </c>
      <c r="K2139" s="1350" t="s">
        <v>839</v>
      </c>
      <c r="L2139" s="160"/>
      <c r="M2139" s="159">
        <v>0</v>
      </c>
      <c r="N2139" s="157">
        <v>0</v>
      </c>
      <c r="O2139" s="82">
        <f t="shared" si="424"/>
        <v>0</v>
      </c>
      <c r="P2139" s="158"/>
      <c r="Q2139" s="1071">
        <f t="shared" si="426"/>
        <v>0</v>
      </c>
    </row>
    <row r="2140" spans="9:17" ht="13.9" x14ac:dyDescent="0.4">
      <c r="I2140" s="1073">
        <f t="shared" si="425"/>
        <v>0</v>
      </c>
      <c r="J2140" s="159" t="s">
        <v>19</v>
      </c>
      <c r="K2140" s="1350" t="s">
        <v>839</v>
      </c>
      <c r="L2140" s="160"/>
      <c r="M2140" s="159">
        <v>0</v>
      </c>
      <c r="N2140" s="157">
        <v>0</v>
      </c>
      <c r="O2140" s="82">
        <f t="shared" si="424"/>
        <v>0</v>
      </c>
      <c r="P2140" s="158"/>
      <c r="Q2140" s="1071">
        <f t="shared" si="426"/>
        <v>0</v>
      </c>
    </row>
    <row r="2141" spans="9:17" ht="13.9" x14ac:dyDescent="0.4">
      <c r="I2141" s="1073">
        <f t="shared" si="425"/>
        <v>0</v>
      </c>
      <c r="J2141" s="159" t="s">
        <v>19</v>
      </c>
      <c r="K2141" s="1350" t="s">
        <v>839</v>
      </c>
      <c r="L2141" s="160"/>
      <c r="M2141" s="159">
        <v>0</v>
      </c>
      <c r="N2141" s="157">
        <v>0</v>
      </c>
      <c r="O2141" s="82">
        <f t="shared" si="424"/>
        <v>0</v>
      </c>
      <c r="P2141" s="158"/>
      <c r="Q2141" s="1071">
        <f t="shared" si="426"/>
        <v>0</v>
      </c>
    </row>
    <row r="2142" spans="9:17" ht="13.9" x14ac:dyDescent="0.4">
      <c r="I2142" s="1071"/>
      <c r="J2142" s="86" t="s">
        <v>22</v>
      </c>
      <c r="K2142" s="86"/>
      <c r="L2142" s="86"/>
      <c r="M2142" s="81"/>
      <c r="N2142" s="87"/>
      <c r="O2142" s="88">
        <f>SUM(O2132:O2141)</f>
        <v>17.82</v>
      </c>
      <c r="P2142" s="86"/>
      <c r="Q2142" s="1071"/>
    </row>
    <row r="2143" spans="9:17" ht="13.9" x14ac:dyDescent="0.4">
      <c r="I2143" s="1071"/>
      <c r="J2143" s="83"/>
      <c r="K2143" s="83"/>
      <c r="L2143" s="83"/>
      <c r="M2143" s="83"/>
      <c r="N2143" s="84"/>
      <c r="O2143" s="83"/>
      <c r="P2143" s="83"/>
      <c r="Q2143" s="1071"/>
    </row>
    <row r="2144" spans="9:17" ht="13.9" x14ac:dyDescent="0.4">
      <c r="I2144" s="1071"/>
      <c r="J2144" s="78" t="str">
        <f>IF(OR(A2_Budget_Look_Up!$B$7=1,A2_Budget_Look_Up!$B$13=1),"Nematicide Detail", "Fungicide Detail")</f>
        <v>Fungicide Detail</v>
      </c>
      <c r="K2144" s="78"/>
      <c r="L2144" s="78"/>
      <c r="M2144" s="79"/>
      <c r="N2144" s="85"/>
      <c r="O2144" s="79"/>
      <c r="P2144" s="78"/>
      <c r="Q2144" s="1071"/>
    </row>
    <row r="2145" spans="9:17" ht="13.9" x14ac:dyDescent="0.4">
      <c r="I2145" s="1071"/>
      <c r="J2145" s="80" t="s">
        <v>212</v>
      </c>
      <c r="K2145" s="80" t="s">
        <v>838</v>
      </c>
      <c r="L2145" s="80" t="s">
        <v>2</v>
      </c>
      <c r="M2145" s="80" t="s">
        <v>21</v>
      </c>
      <c r="N2145" s="80" t="s">
        <v>174</v>
      </c>
      <c r="O2145" s="80" t="s">
        <v>14</v>
      </c>
      <c r="P2145" s="80" t="s">
        <v>890</v>
      </c>
      <c r="Q2145" s="1071"/>
    </row>
    <row r="2146" spans="9:17" ht="13.9" x14ac:dyDescent="0.4">
      <c r="I2146" s="1073">
        <f>IF($A$1=35,I2141+1,0)</f>
        <v>0</v>
      </c>
      <c r="J2146" s="156" t="str">
        <f>A4_Chem_Prices!N$32</f>
        <v>Quadris Top</v>
      </c>
      <c r="K2146" s="1350" t="s">
        <v>839</v>
      </c>
      <c r="L2146" s="158" t="str">
        <f>A4_Chem_Prices!O$32</f>
        <v>oz</v>
      </c>
      <c r="M2146" s="159">
        <f>A4_Chem_Prices!P$32</f>
        <v>1.315390625</v>
      </c>
      <c r="N2146" s="157">
        <v>10</v>
      </c>
      <c r="O2146" s="82">
        <f>M2146*N2146</f>
        <v>13.15390625</v>
      </c>
      <c r="P2146" s="1449">
        <f>N2146</f>
        <v>10</v>
      </c>
      <c r="Q2146" s="1071">
        <f>Q2141</f>
        <v>0</v>
      </c>
    </row>
    <row r="2147" spans="9:17" ht="13.9" x14ac:dyDescent="0.4">
      <c r="I2147" s="1073">
        <f>IF($A$1=35,I2146+1,0)</f>
        <v>0</v>
      </c>
      <c r="J2147" s="156" t="s">
        <v>19</v>
      </c>
      <c r="K2147" s="1350" t="s">
        <v>839</v>
      </c>
      <c r="L2147" s="158"/>
      <c r="M2147" s="159">
        <v>0</v>
      </c>
      <c r="N2147" s="157">
        <v>0</v>
      </c>
      <c r="O2147" s="82">
        <f>M2147*N2147</f>
        <v>0</v>
      </c>
      <c r="P2147" s="158"/>
      <c r="Q2147" s="1071">
        <f>Q2146</f>
        <v>0</v>
      </c>
    </row>
    <row r="2148" spans="9:17" ht="13.9" x14ac:dyDescent="0.4">
      <c r="I2148" s="1071"/>
      <c r="J2148" s="86" t="s">
        <v>22</v>
      </c>
      <c r="K2148" s="86"/>
      <c r="L2148" s="86"/>
      <c r="M2148" s="81"/>
      <c r="N2148" s="87"/>
      <c r="O2148" s="88">
        <f>SUM(O2146:O2147)</f>
        <v>13.15390625</v>
      </c>
      <c r="P2148" s="86"/>
      <c r="Q2148" s="1071"/>
    </row>
    <row r="2149" spans="9:17" ht="13.9" x14ac:dyDescent="0.4">
      <c r="I2149" s="1071"/>
      <c r="J2149" s="83"/>
      <c r="K2149" s="83"/>
      <c r="L2149" s="83"/>
      <c r="M2149" s="83"/>
      <c r="N2149" s="84"/>
      <c r="O2149" s="83"/>
      <c r="P2149" s="83"/>
      <c r="Q2149" s="1071"/>
    </row>
    <row r="2150" spans="9:17" ht="13.9" x14ac:dyDescent="0.4">
      <c r="I2150" s="1071"/>
      <c r="J2150" s="78" t="str">
        <f>IF(A2_Budget_Look_Up!$B$7=1,"Growth Regulator Detail", IF(A2_Budget_Look_Up!$B$13=1,"Fungicide Detail","Other Chemical Detail"))</f>
        <v>Other Chemical Detail</v>
      </c>
      <c r="K2150" s="78"/>
      <c r="L2150" s="78"/>
      <c r="M2150" s="79"/>
      <c r="N2150" s="85"/>
      <c r="O2150" s="79"/>
      <c r="P2150" s="78"/>
      <c r="Q2150" s="1071"/>
    </row>
    <row r="2151" spans="9:17" ht="13.9" x14ac:dyDescent="0.4">
      <c r="I2151" s="1071"/>
      <c r="J2151" s="80" t="s">
        <v>212</v>
      </c>
      <c r="K2151" s="80" t="s">
        <v>838</v>
      </c>
      <c r="L2151" s="80" t="s">
        <v>2</v>
      </c>
      <c r="M2151" s="80" t="s">
        <v>21</v>
      </c>
      <c r="N2151" s="80" t="s">
        <v>174</v>
      </c>
      <c r="O2151" s="80" t="s">
        <v>14</v>
      </c>
      <c r="P2151" s="80" t="s">
        <v>890</v>
      </c>
      <c r="Q2151" s="1071"/>
    </row>
    <row r="2152" spans="9:17" ht="13.9" x14ac:dyDescent="0.4">
      <c r="I2152" s="1073">
        <f>IF($A$1=35,I2147+1,0)</f>
        <v>0</v>
      </c>
      <c r="J2152" s="156" t="s">
        <v>19</v>
      </c>
      <c r="K2152" s="1350" t="s">
        <v>839</v>
      </c>
      <c r="L2152" s="158"/>
      <c r="M2152" s="159">
        <v>0</v>
      </c>
      <c r="N2152" s="157">
        <v>0</v>
      </c>
      <c r="O2152" s="82">
        <f t="shared" ref="O2152:O2158" si="427">M2152*N2152</f>
        <v>0</v>
      </c>
      <c r="P2152" s="158"/>
      <c r="Q2152" s="1071">
        <f>Q2147</f>
        <v>0</v>
      </c>
    </row>
    <row r="2153" spans="9:17" ht="13.9" x14ac:dyDescent="0.4">
      <c r="I2153" s="1073">
        <f t="shared" ref="I2153:I2158" si="428">IF($A$1=35,I2152+1,0)</f>
        <v>0</v>
      </c>
      <c r="J2153" s="156" t="s">
        <v>19</v>
      </c>
      <c r="K2153" s="1350" t="s">
        <v>839</v>
      </c>
      <c r="L2153" s="158"/>
      <c r="M2153" s="159">
        <v>0</v>
      </c>
      <c r="N2153" s="157">
        <v>0</v>
      </c>
      <c r="O2153" s="82">
        <f t="shared" si="427"/>
        <v>0</v>
      </c>
      <c r="P2153" s="158"/>
      <c r="Q2153" s="1071">
        <f t="shared" ref="Q2153:Q2158" si="429">Q2152</f>
        <v>0</v>
      </c>
    </row>
    <row r="2154" spans="9:17" ht="13.9" x14ac:dyDescent="0.4">
      <c r="I2154" s="1073">
        <f t="shared" si="428"/>
        <v>0</v>
      </c>
      <c r="J2154" s="156" t="s">
        <v>19</v>
      </c>
      <c r="K2154" s="1350" t="s">
        <v>839</v>
      </c>
      <c r="L2154" s="158"/>
      <c r="M2154" s="159">
        <v>0</v>
      </c>
      <c r="N2154" s="157">
        <v>0</v>
      </c>
      <c r="O2154" s="82">
        <f t="shared" si="427"/>
        <v>0</v>
      </c>
      <c r="P2154" s="158"/>
      <c r="Q2154" s="1071">
        <f t="shared" si="429"/>
        <v>0</v>
      </c>
    </row>
    <row r="2155" spans="9:17" ht="13.9" x14ac:dyDescent="0.4">
      <c r="I2155" s="1073">
        <f t="shared" si="428"/>
        <v>0</v>
      </c>
      <c r="J2155" s="156" t="s">
        <v>19</v>
      </c>
      <c r="K2155" s="1350" t="s">
        <v>839</v>
      </c>
      <c r="L2155" s="158"/>
      <c r="M2155" s="159">
        <v>0</v>
      </c>
      <c r="N2155" s="157">
        <v>0</v>
      </c>
      <c r="O2155" s="82">
        <f t="shared" si="427"/>
        <v>0</v>
      </c>
      <c r="P2155" s="158"/>
      <c r="Q2155" s="1071">
        <f t="shared" si="429"/>
        <v>0</v>
      </c>
    </row>
    <row r="2156" spans="9:17" ht="13.9" x14ac:dyDescent="0.4">
      <c r="I2156" s="1073">
        <f t="shared" si="428"/>
        <v>0</v>
      </c>
      <c r="J2156" s="156" t="s">
        <v>19</v>
      </c>
      <c r="K2156" s="1350" t="s">
        <v>839</v>
      </c>
      <c r="L2156" s="158"/>
      <c r="M2156" s="159">
        <v>0</v>
      </c>
      <c r="N2156" s="157">
        <v>0</v>
      </c>
      <c r="O2156" s="82">
        <f t="shared" si="427"/>
        <v>0</v>
      </c>
      <c r="P2156" s="158"/>
      <c r="Q2156" s="1071">
        <f t="shared" si="429"/>
        <v>0</v>
      </c>
    </row>
    <row r="2157" spans="9:17" ht="13.9" x14ac:dyDescent="0.4">
      <c r="I2157" s="1073">
        <f t="shared" si="428"/>
        <v>0</v>
      </c>
      <c r="J2157" s="156" t="s">
        <v>19</v>
      </c>
      <c r="K2157" s="1350" t="s">
        <v>839</v>
      </c>
      <c r="L2157" s="158"/>
      <c r="M2157" s="159">
        <v>0</v>
      </c>
      <c r="N2157" s="157">
        <v>0</v>
      </c>
      <c r="O2157" s="82">
        <f t="shared" si="427"/>
        <v>0</v>
      </c>
      <c r="P2157" s="158"/>
      <c r="Q2157" s="1071">
        <f t="shared" si="429"/>
        <v>0</v>
      </c>
    </row>
    <row r="2158" spans="9:17" ht="13.9" x14ac:dyDescent="0.4">
      <c r="I2158" s="1073">
        <f t="shared" si="428"/>
        <v>0</v>
      </c>
      <c r="J2158" s="156" t="s">
        <v>19</v>
      </c>
      <c r="K2158" s="1350" t="s">
        <v>839</v>
      </c>
      <c r="L2158" s="158"/>
      <c r="M2158" s="159">
        <v>0</v>
      </c>
      <c r="N2158" s="157">
        <v>0</v>
      </c>
      <c r="O2158" s="82">
        <f t="shared" si="427"/>
        <v>0</v>
      </c>
      <c r="P2158" s="158"/>
      <c r="Q2158" s="1071">
        <f t="shared" si="429"/>
        <v>0</v>
      </c>
    </row>
    <row r="2159" spans="9:17" ht="13.9" x14ac:dyDescent="0.4">
      <c r="I2159" s="1071"/>
      <c r="J2159" s="86" t="s">
        <v>22</v>
      </c>
      <c r="K2159" s="86"/>
      <c r="L2159" s="86"/>
      <c r="M2159" s="81"/>
      <c r="N2159" s="87"/>
      <c r="O2159" s="88">
        <f>SUM(O2152:O2158)</f>
        <v>0</v>
      </c>
      <c r="P2159" s="86"/>
      <c r="Q2159" s="1071"/>
    </row>
    <row r="2161" spans="9:17" ht="13.9" x14ac:dyDescent="0.4">
      <c r="I2161" s="1071"/>
      <c r="J2161" s="78" t="str">
        <f>IF(A2_Budget_Look_Up!$B$7=1,"Defoliant Detail", "Other Chemical Detail")</f>
        <v>Other Chemical Detail</v>
      </c>
      <c r="K2161" s="78"/>
      <c r="L2161" s="78"/>
      <c r="M2161" s="79"/>
      <c r="N2161" s="85"/>
      <c r="O2161" s="79"/>
      <c r="P2161" s="78"/>
      <c r="Q2161" s="1071"/>
    </row>
    <row r="2162" spans="9:17" ht="13.9" x14ac:dyDescent="0.4">
      <c r="I2162" s="1071"/>
      <c r="J2162" s="80" t="s">
        <v>212</v>
      </c>
      <c r="K2162" s="80" t="s">
        <v>838</v>
      </c>
      <c r="L2162" s="80" t="s">
        <v>2</v>
      </c>
      <c r="M2162" s="80" t="s">
        <v>21</v>
      </c>
      <c r="N2162" s="80" t="s">
        <v>174</v>
      </c>
      <c r="O2162" s="80" t="s">
        <v>14</v>
      </c>
      <c r="P2162" s="80" t="s">
        <v>890</v>
      </c>
      <c r="Q2162" s="1071"/>
    </row>
    <row r="2163" spans="9:17" ht="13.9" x14ac:dyDescent="0.4">
      <c r="I2163" s="1073">
        <f>IF($A$1=35,I2158+1,0)</f>
        <v>0</v>
      </c>
      <c r="J2163" s="156" t="s">
        <v>19</v>
      </c>
      <c r="K2163" s="1350" t="s">
        <v>839</v>
      </c>
      <c r="L2163" s="158"/>
      <c r="M2163" s="159">
        <v>0</v>
      </c>
      <c r="N2163" s="157">
        <v>0</v>
      </c>
      <c r="O2163" s="82">
        <f t="shared" ref="O2163:O2169" si="430">M2163*N2163</f>
        <v>0</v>
      </c>
      <c r="P2163" s="158"/>
      <c r="Q2163" s="1071">
        <f>Q2158</f>
        <v>0</v>
      </c>
    </row>
    <row r="2164" spans="9:17" ht="13.9" x14ac:dyDescent="0.4">
      <c r="I2164" s="1073">
        <f t="shared" ref="I2164:I2169" si="431">IF($A$1=35,I2163+1,0)</f>
        <v>0</v>
      </c>
      <c r="J2164" s="156" t="s">
        <v>19</v>
      </c>
      <c r="K2164" s="1350" t="s">
        <v>839</v>
      </c>
      <c r="L2164" s="158"/>
      <c r="M2164" s="159">
        <v>0</v>
      </c>
      <c r="N2164" s="157">
        <v>0</v>
      </c>
      <c r="O2164" s="82">
        <f t="shared" si="430"/>
        <v>0</v>
      </c>
      <c r="P2164" s="158"/>
      <c r="Q2164" s="1071">
        <f t="shared" ref="Q2164:Q2169" si="432">Q2163</f>
        <v>0</v>
      </c>
    </row>
    <row r="2165" spans="9:17" ht="13.9" x14ac:dyDescent="0.4">
      <c r="I2165" s="1073">
        <f t="shared" si="431"/>
        <v>0</v>
      </c>
      <c r="J2165" s="156" t="s">
        <v>19</v>
      </c>
      <c r="K2165" s="1350" t="s">
        <v>839</v>
      </c>
      <c r="L2165" s="158"/>
      <c r="M2165" s="159">
        <v>0</v>
      </c>
      <c r="N2165" s="157">
        <v>0</v>
      </c>
      <c r="O2165" s="82">
        <f t="shared" si="430"/>
        <v>0</v>
      </c>
      <c r="P2165" s="158"/>
      <c r="Q2165" s="1071">
        <f t="shared" si="432"/>
        <v>0</v>
      </c>
    </row>
    <row r="2166" spans="9:17" ht="13.9" x14ac:dyDescent="0.4">
      <c r="I2166" s="1073">
        <f t="shared" si="431"/>
        <v>0</v>
      </c>
      <c r="J2166" s="156" t="s">
        <v>19</v>
      </c>
      <c r="K2166" s="1350" t="s">
        <v>839</v>
      </c>
      <c r="L2166" s="158"/>
      <c r="M2166" s="159">
        <v>0</v>
      </c>
      <c r="N2166" s="157">
        <v>0</v>
      </c>
      <c r="O2166" s="82">
        <f t="shared" si="430"/>
        <v>0</v>
      </c>
      <c r="P2166" s="158"/>
      <c r="Q2166" s="1071">
        <f t="shared" si="432"/>
        <v>0</v>
      </c>
    </row>
    <row r="2167" spans="9:17" ht="13.9" x14ac:dyDescent="0.4">
      <c r="I2167" s="1073">
        <f t="shared" si="431"/>
        <v>0</v>
      </c>
      <c r="J2167" s="156" t="s">
        <v>19</v>
      </c>
      <c r="K2167" s="1350" t="s">
        <v>839</v>
      </c>
      <c r="L2167" s="158"/>
      <c r="M2167" s="159">
        <v>0</v>
      </c>
      <c r="N2167" s="157">
        <v>0</v>
      </c>
      <c r="O2167" s="82">
        <f t="shared" si="430"/>
        <v>0</v>
      </c>
      <c r="P2167" s="158"/>
      <c r="Q2167" s="1071">
        <f t="shared" si="432"/>
        <v>0</v>
      </c>
    </row>
    <row r="2168" spans="9:17" ht="13.9" x14ac:dyDescent="0.4">
      <c r="I2168" s="1073">
        <f t="shared" si="431"/>
        <v>0</v>
      </c>
      <c r="J2168" s="156" t="s">
        <v>19</v>
      </c>
      <c r="K2168" s="1350" t="s">
        <v>839</v>
      </c>
      <c r="L2168" s="158"/>
      <c r="M2168" s="159">
        <v>0</v>
      </c>
      <c r="N2168" s="157">
        <v>0</v>
      </c>
      <c r="O2168" s="82">
        <f t="shared" si="430"/>
        <v>0</v>
      </c>
      <c r="P2168" s="158"/>
      <c r="Q2168" s="1071">
        <f t="shared" si="432"/>
        <v>0</v>
      </c>
    </row>
    <row r="2169" spans="9:17" ht="13.9" x14ac:dyDescent="0.4">
      <c r="I2169" s="1073">
        <f t="shared" si="431"/>
        <v>0</v>
      </c>
      <c r="J2169" s="156" t="s">
        <v>19</v>
      </c>
      <c r="K2169" s="1350" t="s">
        <v>839</v>
      </c>
      <c r="L2169" s="158"/>
      <c r="M2169" s="159">
        <v>0</v>
      </c>
      <c r="N2169" s="157">
        <v>0</v>
      </c>
      <c r="O2169" s="82">
        <f t="shared" si="430"/>
        <v>0</v>
      </c>
      <c r="P2169" s="158"/>
      <c r="Q2169" s="1071">
        <f t="shared" si="432"/>
        <v>0</v>
      </c>
    </row>
    <row r="2170" spans="9:17" ht="13.9" x14ac:dyDescent="0.4">
      <c r="I2170" s="1071"/>
      <c r="J2170" s="86" t="s">
        <v>22</v>
      </c>
      <c r="K2170" s="86"/>
      <c r="L2170" s="86"/>
      <c r="M2170" s="81"/>
      <c r="N2170" s="87"/>
      <c r="O2170" s="88">
        <f>SUM(O2163:O2169)</f>
        <v>0</v>
      </c>
      <c r="P2170" s="86"/>
      <c r="Q2170" s="1071"/>
    </row>
    <row r="2171" spans="9:17" ht="13.9" x14ac:dyDescent="0.4">
      <c r="I2171" s="1071"/>
      <c r="J2171" s="83"/>
      <c r="K2171" s="83"/>
      <c r="L2171" s="83"/>
      <c r="M2171" s="89"/>
      <c r="N2171" s="84"/>
      <c r="O2171" s="89"/>
      <c r="P2171" s="83"/>
      <c r="Q2171" s="1071"/>
    </row>
    <row r="2172" spans="9:17" ht="13.9" x14ac:dyDescent="0.4">
      <c r="I2172" s="1071"/>
      <c r="J2172" s="1168" t="str">
        <f>A2_Budget_Look_Up!H38</f>
        <v>Soybeans, Conventional, No Irrigation</v>
      </c>
      <c r="K2172" s="1168"/>
      <c r="L2172" s="1168">
        <f>A2_Budget_Look_Up!F38</f>
        <v>36</v>
      </c>
      <c r="M2172" s="1168"/>
      <c r="N2172" s="1168"/>
      <c r="O2172" s="1168"/>
      <c r="P2172" s="1168"/>
      <c r="Q2172" s="1071"/>
    </row>
    <row r="2173" spans="9:17" ht="13.9" x14ac:dyDescent="0.4">
      <c r="I2173" s="1071"/>
      <c r="J2173" s="83"/>
      <c r="K2173" s="83"/>
      <c r="L2173" s="83"/>
      <c r="M2173" s="83"/>
      <c r="N2173" s="84"/>
      <c r="O2173" s="83"/>
      <c r="P2173" s="83"/>
      <c r="Q2173" s="1071"/>
    </row>
    <row r="2174" spans="9:17" ht="13.9" x14ac:dyDescent="0.4">
      <c r="I2174" s="1071"/>
      <c r="J2174" s="78" t="s">
        <v>18</v>
      </c>
      <c r="K2174" s="78"/>
      <c r="L2174" s="78"/>
      <c r="M2174" s="79"/>
      <c r="N2174" s="85"/>
      <c r="O2174" s="79"/>
      <c r="P2174" s="78"/>
      <c r="Q2174" s="1071"/>
    </row>
    <row r="2175" spans="9:17" ht="13.9" x14ac:dyDescent="0.4">
      <c r="I2175" s="1071"/>
      <c r="J2175" s="80" t="s">
        <v>212</v>
      </c>
      <c r="K2175" s="80" t="s">
        <v>838</v>
      </c>
      <c r="L2175" s="80" t="s">
        <v>2</v>
      </c>
      <c r="M2175" s="80" t="s">
        <v>21</v>
      </c>
      <c r="N2175" s="80" t="s">
        <v>174</v>
      </c>
      <c r="O2175" s="80" t="s">
        <v>14</v>
      </c>
      <c r="P2175" s="80" t="s">
        <v>890</v>
      </c>
      <c r="Q2175" s="1071"/>
    </row>
    <row r="2176" spans="9:17" ht="13.9" x14ac:dyDescent="0.4">
      <c r="I2176" s="1073">
        <f>IF($A$1=36,1,0)</f>
        <v>0</v>
      </c>
      <c r="J2176" s="159" t="str">
        <f>A4_Chem_Prices!N$2</f>
        <v>Roundup Powermax 3</v>
      </c>
      <c r="K2176" s="1350" t="s">
        <v>839</v>
      </c>
      <c r="L2176" s="158" t="str">
        <f>A4_Chem_Prices!O$2</f>
        <v>oz</v>
      </c>
      <c r="M2176" s="159">
        <f>A4_Chem_Prices!P$2</f>
        <v>0.140625</v>
      </c>
      <c r="N2176" s="159">
        <v>32</v>
      </c>
      <c r="O2176" s="82">
        <f t="shared" ref="O2176:O2189" si="433">M2176*N2176</f>
        <v>4.5</v>
      </c>
      <c r="P2176" s="1449">
        <f>N2176</f>
        <v>32</v>
      </c>
      <c r="Q2176" s="1171">
        <f>IF(SUM(I2176:I2231)=820,L2172,0)</f>
        <v>0</v>
      </c>
    </row>
    <row r="2177" spans="9:17" ht="13.9" x14ac:dyDescent="0.4">
      <c r="I2177" s="1073">
        <f t="shared" ref="I2177:I2189" si="434">IF($A$1=36,I2176+1,0)</f>
        <v>0</v>
      </c>
      <c r="J2177" s="159" t="str">
        <f>A4_Chem_Prices!N$3</f>
        <v>2,4-D</v>
      </c>
      <c r="K2177" s="1350" t="s">
        <v>839</v>
      </c>
      <c r="L2177" s="158" t="str">
        <f>A4_Chem_Prices!O$3</f>
        <v>oz</v>
      </c>
      <c r="M2177" s="159">
        <f>A4_Chem_Prices!P$3</f>
        <v>0.2734375</v>
      </c>
      <c r="N2177" s="159">
        <v>32</v>
      </c>
      <c r="O2177" s="82">
        <f t="shared" si="433"/>
        <v>8.75</v>
      </c>
      <c r="P2177" s="1449">
        <f>N2177</f>
        <v>32</v>
      </c>
      <c r="Q2177" s="1071">
        <f>Q2176</f>
        <v>0</v>
      </c>
    </row>
    <row r="2178" spans="9:17" ht="13.9" x14ac:dyDescent="0.4">
      <c r="I2178" s="1073">
        <f t="shared" si="434"/>
        <v>0</v>
      </c>
      <c r="J2178" s="159" t="str">
        <f>A4_Chem_Prices!Q$9</f>
        <v>Boundary</v>
      </c>
      <c r="K2178" s="1350" t="s">
        <v>839</v>
      </c>
      <c r="L2178" s="160" t="str">
        <f>A4_Chem_Prices!R$9</f>
        <v>oz</v>
      </c>
      <c r="M2178" s="159">
        <f>A4_Chem_Prices!S$9</f>
        <v>0.68414062499999995</v>
      </c>
      <c r="N2178" s="157">
        <v>1</v>
      </c>
      <c r="O2178" s="82">
        <f t="shared" si="433"/>
        <v>0.68414062499999995</v>
      </c>
      <c r="P2178" s="160">
        <f>N2178</f>
        <v>1</v>
      </c>
      <c r="Q2178" s="1071">
        <f t="shared" ref="Q2178:Q2189" si="435">Q2177</f>
        <v>0</v>
      </c>
    </row>
    <row r="2179" spans="9:17" ht="13.9" x14ac:dyDescent="0.4">
      <c r="I2179" s="1073">
        <f t="shared" si="434"/>
        <v>0</v>
      </c>
      <c r="J2179" s="159" t="str">
        <f>A4_Chem_Prices!N$8</f>
        <v>Select Max</v>
      </c>
      <c r="K2179" s="1350" t="s">
        <v>839</v>
      </c>
      <c r="L2179" s="158" t="s">
        <v>413</v>
      </c>
      <c r="M2179" s="159">
        <f>A4_Chem_Prices!P$8</f>
        <v>0.27396484375000002</v>
      </c>
      <c r="N2179" s="157">
        <v>1</v>
      </c>
      <c r="O2179" s="82">
        <f t="shared" si="433"/>
        <v>0.27396484375000002</v>
      </c>
      <c r="P2179" s="1449">
        <f>N2179*16</f>
        <v>16</v>
      </c>
      <c r="Q2179" s="1071">
        <f t="shared" si="435"/>
        <v>0</v>
      </c>
    </row>
    <row r="2180" spans="9:17" ht="13.9" x14ac:dyDescent="0.4">
      <c r="I2180" s="1073">
        <f t="shared" si="434"/>
        <v>0</v>
      </c>
      <c r="J2180" s="159" t="str">
        <f>A4_Chem_Prices!N$11</f>
        <v>Zidua</v>
      </c>
      <c r="K2180" s="1350" t="s">
        <v>839</v>
      </c>
      <c r="L2180" s="160" t="str">
        <f>A4_Chem_Prices!O$11</f>
        <v>oz</v>
      </c>
      <c r="M2180" s="159">
        <f>A4_Chem_Prices!P$11</f>
        <v>5.7421875</v>
      </c>
      <c r="N2180" s="157">
        <v>3.5</v>
      </c>
      <c r="O2180" s="82">
        <f t="shared" si="433"/>
        <v>20.09765625</v>
      </c>
      <c r="P2180" s="1449">
        <f>N2180*16</f>
        <v>56</v>
      </c>
      <c r="Q2180" s="1071">
        <f t="shared" si="435"/>
        <v>0</v>
      </c>
    </row>
    <row r="2181" spans="9:17" ht="13.9" x14ac:dyDescent="0.4">
      <c r="I2181" s="1073">
        <f t="shared" si="434"/>
        <v>0</v>
      </c>
      <c r="J2181" s="159" t="str">
        <f>A4_Chem_Prices!Q$12</f>
        <v>Flexstar</v>
      </c>
      <c r="K2181" s="1350" t="s">
        <v>839</v>
      </c>
      <c r="L2181" s="160" t="str">
        <f>A4_Chem_Prices!R$12</f>
        <v>oz</v>
      </c>
      <c r="M2181" s="159">
        <f>A4_Chem_Prices!S$12</f>
        <v>0.453125</v>
      </c>
      <c r="N2181" s="157">
        <v>1.5</v>
      </c>
      <c r="O2181" s="82">
        <f t="shared" si="433"/>
        <v>0.6796875</v>
      </c>
      <c r="P2181" s="1449">
        <f>N2181</f>
        <v>1.5</v>
      </c>
      <c r="Q2181" s="1071">
        <f t="shared" si="435"/>
        <v>0</v>
      </c>
    </row>
    <row r="2182" spans="9:17" ht="13.9" x14ac:dyDescent="0.4">
      <c r="I2182" s="1073">
        <f t="shared" si="434"/>
        <v>0</v>
      </c>
      <c r="J2182" s="159" t="str">
        <f>A4_Chem_Prices!Q$16</f>
        <v>Outlook</v>
      </c>
      <c r="K2182" s="1350" t="s">
        <v>839</v>
      </c>
      <c r="L2182" s="160" t="str">
        <f>A4_Chem_Prices!R$16</f>
        <v>oz</v>
      </c>
      <c r="M2182" s="159">
        <f>A4_Chem_Prices!S$16</f>
        <v>0.984375</v>
      </c>
      <c r="N2182" s="157">
        <v>12.8</v>
      </c>
      <c r="O2182" s="82">
        <f t="shared" si="433"/>
        <v>12.600000000000001</v>
      </c>
      <c r="P2182" s="160"/>
      <c r="Q2182" s="1071">
        <f t="shared" si="435"/>
        <v>0</v>
      </c>
    </row>
    <row r="2183" spans="9:17" ht="13.9" x14ac:dyDescent="0.4">
      <c r="I2183" s="1073">
        <f t="shared" si="434"/>
        <v>0</v>
      </c>
      <c r="J2183" s="159" t="str">
        <f>A4_Chem_Prices!N$10</f>
        <v>Gramoxone</v>
      </c>
      <c r="K2183" s="1350" t="s">
        <v>839</v>
      </c>
      <c r="L2183" s="160" t="str">
        <f>A4_Chem_Prices!O$10</f>
        <v>oz</v>
      </c>
      <c r="M2183" s="159">
        <f>A4_Chem_Prices!P$10</f>
        <v>0.23046875</v>
      </c>
      <c r="N2183" s="157">
        <v>32</v>
      </c>
      <c r="O2183" s="82">
        <f t="shared" si="433"/>
        <v>7.375</v>
      </c>
      <c r="P2183" s="160"/>
      <c r="Q2183" s="1071">
        <f t="shared" si="435"/>
        <v>0</v>
      </c>
    </row>
    <row r="2184" spans="9:17" ht="13.9" x14ac:dyDescent="0.4">
      <c r="I2184" s="1073">
        <f t="shared" si="434"/>
        <v>0</v>
      </c>
      <c r="J2184" s="159" t="str">
        <f>A4_Chem_Prices!Q$13</f>
        <v>First Rate</v>
      </c>
      <c r="K2184" s="1350" t="s">
        <v>839</v>
      </c>
      <c r="L2184" s="160" t="str">
        <f>A4_Chem_Prices!R$13</f>
        <v>oz</v>
      </c>
      <c r="M2184" s="159">
        <f>A4_Chem_Prices!S$13</f>
        <v>40.119999999999997</v>
      </c>
      <c r="N2184" s="157">
        <v>0.3</v>
      </c>
      <c r="O2184" s="82">
        <f t="shared" si="433"/>
        <v>12.036</v>
      </c>
      <c r="P2184" s="160"/>
      <c r="Q2184" s="1071">
        <f t="shared" si="435"/>
        <v>0</v>
      </c>
    </row>
    <row r="2185" spans="9:17" ht="13.9" x14ac:dyDescent="0.4">
      <c r="I2185" s="1073">
        <f t="shared" si="434"/>
        <v>0</v>
      </c>
      <c r="J2185" s="159" t="str">
        <f>A4_Chem_Prices!Q$14</f>
        <v>Python</v>
      </c>
      <c r="K2185" s="1350" t="s">
        <v>839</v>
      </c>
      <c r="L2185" s="160" t="str">
        <f>A4_Chem_Prices!R$14</f>
        <v>oz</v>
      </c>
      <c r="M2185" s="159">
        <f>A4_Chem_Prices!S$14</f>
        <v>5.6749999999999998</v>
      </c>
      <c r="N2185" s="157">
        <v>0.125</v>
      </c>
      <c r="O2185" s="82">
        <f t="shared" si="433"/>
        <v>0.70937499999999998</v>
      </c>
      <c r="P2185" s="160"/>
      <c r="Q2185" s="1071">
        <f t="shared" si="435"/>
        <v>0</v>
      </c>
    </row>
    <row r="2186" spans="9:17" ht="13.9" x14ac:dyDescent="0.4">
      <c r="I2186" s="1073">
        <f t="shared" si="434"/>
        <v>0</v>
      </c>
      <c r="J2186" s="159" t="s">
        <v>19</v>
      </c>
      <c r="K2186" s="1350" t="s">
        <v>839</v>
      </c>
      <c r="L2186" s="160"/>
      <c r="M2186" s="159">
        <v>0</v>
      </c>
      <c r="N2186" s="157">
        <v>0</v>
      </c>
      <c r="O2186" s="82">
        <f t="shared" si="433"/>
        <v>0</v>
      </c>
      <c r="P2186" s="160"/>
      <c r="Q2186" s="1071">
        <f t="shared" si="435"/>
        <v>0</v>
      </c>
    </row>
    <row r="2187" spans="9:17" ht="13.9" x14ac:dyDescent="0.4">
      <c r="I2187" s="1073">
        <f t="shared" si="434"/>
        <v>0</v>
      </c>
      <c r="J2187" s="159" t="s">
        <v>19</v>
      </c>
      <c r="K2187" s="1350" t="s">
        <v>839</v>
      </c>
      <c r="L2187" s="160"/>
      <c r="M2187" s="159">
        <v>0</v>
      </c>
      <c r="N2187" s="157">
        <v>0</v>
      </c>
      <c r="O2187" s="82">
        <f t="shared" si="433"/>
        <v>0</v>
      </c>
      <c r="P2187" s="160"/>
      <c r="Q2187" s="1071">
        <f t="shared" si="435"/>
        <v>0</v>
      </c>
    </row>
    <row r="2188" spans="9:17" ht="13.9" x14ac:dyDescent="0.4">
      <c r="I2188" s="1073">
        <f t="shared" si="434"/>
        <v>0</v>
      </c>
      <c r="J2188" s="159" t="s">
        <v>19</v>
      </c>
      <c r="K2188" s="1350" t="s">
        <v>839</v>
      </c>
      <c r="L2188" s="160"/>
      <c r="M2188" s="159">
        <v>0</v>
      </c>
      <c r="N2188" s="157">
        <v>0</v>
      </c>
      <c r="O2188" s="82">
        <f t="shared" si="433"/>
        <v>0</v>
      </c>
      <c r="P2188" s="160"/>
      <c r="Q2188" s="1071">
        <f t="shared" si="435"/>
        <v>0</v>
      </c>
    </row>
    <row r="2189" spans="9:17" ht="13.9" x14ac:dyDescent="0.4">
      <c r="I2189" s="1073">
        <f t="shared" si="434"/>
        <v>0</v>
      </c>
      <c r="J2189" s="159" t="s">
        <v>19</v>
      </c>
      <c r="K2189" s="1350" t="s">
        <v>839</v>
      </c>
      <c r="L2189" s="160"/>
      <c r="M2189" s="159">
        <v>0</v>
      </c>
      <c r="N2189" s="157">
        <v>0</v>
      </c>
      <c r="O2189" s="82">
        <f t="shared" si="433"/>
        <v>0</v>
      </c>
      <c r="P2189" s="160"/>
      <c r="Q2189" s="1071">
        <f t="shared" si="435"/>
        <v>0</v>
      </c>
    </row>
    <row r="2190" spans="9:17" ht="13.9" x14ac:dyDescent="0.4">
      <c r="I2190" s="1071"/>
      <c r="J2190" s="86" t="s">
        <v>22</v>
      </c>
      <c r="K2190" s="86"/>
      <c r="L2190" s="86"/>
      <c r="M2190" s="81"/>
      <c r="N2190" s="87"/>
      <c r="O2190" s="88">
        <f>SUM(O2176:O2189)</f>
        <v>67.705824218749996</v>
      </c>
      <c r="P2190" s="86"/>
      <c r="Q2190" s="1071"/>
    </row>
    <row r="2191" spans="9:17" ht="13.9" x14ac:dyDescent="0.4">
      <c r="I2191" s="1071"/>
      <c r="J2191" s="83"/>
      <c r="K2191" s="83"/>
      <c r="L2191" s="83"/>
      <c r="M2191" s="83"/>
      <c r="N2191" s="84"/>
      <c r="O2191" s="83"/>
      <c r="P2191" s="83"/>
      <c r="Q2191" s="1071"/>
    </row>
    <row r="2192" spans="9:17" ht="13.9" x14ac:dyDescent="0.4">
      <c r="I2192" s="1071"/>
      <c r="J2192" s="78" t="s">
        <v>20</v>
      </c>
      <c r="K2192" s="78"/>
      <c r="L2192" s="78"/>
      <c r="M2192" s="79"/>
      <c r="N2192" s="85"/>
      <c r="O2192" s="79"/>
      <c r="P2192" s="78"/>
      <c r="Q2192" s="1071"/>
    </row>
    <row r="2193" spans="9:17" ht="13.9" x14ac:dyDescent="0.4">
      <c r="I2193" s="1071"/>
      <c r="J2193" s="80" t="s">
        <v>212</v>
      </c>
      <c r="K2193" s="80" t="s">
        <v>838</v>
      </c>
      <c r="L2193" s="80" t="s">
        <v>2</v>
      </c>
      <c r="M2193" s="80" t="s">
        <v>21</v>
      </c>
      <c r="N2193" s="80" t="s">
        <v>174</v>
      </c>
      <c r="O2193" s="80" t="s">
        <v>14</v>
      </c>
      <c r="P2193" s="80" t="s">
        <v>890</v>
      </c>
      <c r="Q2193" s="1071"/>
    </row>
    <row r="2194" spans="9:17" ht="13.9" x14ac:dyDescent="0.4">
      <c r="I2194" s="1073">
        <f>IF($A$1=36,I2189+1,0)</f>
        <v>0</v>
      </c>
      <c r="J2194" s="159" t="str">
        <f>A4_Chem_Prices!N$19</f>
        <v>Besiege</v>
      </c>
      <c r="K2194" s="1350" t="s">
        <v>839</v>
      </c>
      <c r="L2194" s="160" t="str">
        <f>A4_Chem_Prices!O$19</f>
        <v>oz</v>
      </c>
      <c r="M2194" s="159">
        <f>A4_Chem_Prices!P$19</f>
        <v>1.98</v>
      </c>
      <c r="N2194" s="157">
        <v>9</v>
      </c>
      <c r="O2194" s="82">
        <f t="shared" ref="O2194:O2203" si="436">M2194*N2194</f>
        <v>17.82</v>
      </c>
      <c r="P2194" s="1449">
        <f>N2194</f>
        <v>9</v>
      </c>
      <c r="Q2194" s="1071">
        <f>Q2176</f>
        <v>0</v>
      </c>
    </row>
    <row r="2195" spans="9:17" ht="13.9" x14ac:dyDescent="0.4">
      <c r="I2195" s="1073">
        <f t="shared" ref="I2195:I2203" si="437">IF($A$1=36,I2194+1,0)</f>
        <v>0</v>
      </c>
      <c r="J2195" s="159" t="s">
        <v>19</v>
      </c>
      <c r="K2195" s="1350" t="s">
        <v>839</v>
      </c>
      <c r="L2195" s="160"/>
      <c r="M2195" s="159">
        <v>0</v>
      </c>
      <c r="N2195" s="157">
        <v>0</v>
      </c>
      <c r="O2195" s="82">
        <f t="shared" si="436"/>
        <v>0</v>
      </c>
      <c r="P2195" s="158"/>
      <c r="Q2195" s="1071">
        <f>Q2194</f>
        <v>0</v>
      </c>
    </row>
    <row r="2196" spans="9:17" ht="13.9" x14ac:dyDescent="0.4">
      <c r="I2196" s="1073">
        <f t="shared" si="437"/>
        <v>0</v>
      </c>
      <c r="J2196" s="159" t="s">
        <v>19</v>
      </c>
      <c r="K2196" s="1350" t="s">
        <v>839</v>
      </c>
      <c r="L2196" s="160"/>
      <c r="M2196" s="159">
        <v>0</v>
      </c>
      <c r="N2196" s="157">
        <v>0</v>
      </c>
      <c r="O2196" s="82">
        <f t="shared" si="436"/>
        <v>0</v>
      </c>
      <c r="P2196" s="158"/>
      <c r="Q2196" s="1071">
        <f t="shared" ref="Q2196:Q2203" si="438">Q2195</f>
        <v>0</v>
      </c>
    </row>
    <row r="2197" spans="9:17" ht="13.9" x14ac:dyDescent="0.4">
      <c r="I2197" s="1073">
        <f t="shared" si="437"/>
        <v>0</v>
      </c>
      <c r="J2197" s="159" t="s">
        <v>19</v>
      </c>
      <c r="K2197" s="1350" t="s">
        <v>839</v>
      </c>
      <c r="L2197" s="160"/>
      <c r="M2197" s="159">
        <v>0</v>
      </c>
      <c r="N2197" s="157">
        <v>0</v>
      </c>
      <c r="O2197" s="82">
        <f t="shared" si="436"/>
        <v>0</v>
      </c>
      <c r="P2197" s="158"/>
      <c r="Q2197" s="1071">
        <f t="shared" si="438"/>
        <v>0</v>
      </c>
    </row>
    <row r="2198" spans="9:17" ht="13.9" x14ac:dyDescent="0.4">
      <c r="I2198" s="1073">
        <f t="shared" si="437"/>
        <v>0</v>
      </c>
      <c r="J2198" s="159" t="s">
        <v>19</v>
      </c>
      <c r="K2198" s="1350" t="s">
        <v>839</v>
      </c>
      <c r="L2198" s="160"/>
      <c r="M2198" s="159">
        <v>0</v>
      </c>
      <c r="N2198" s="157">
        <v>0</v>
      </c>
      <c r="O2198" s="82">
        <f t="shared" si="436"/>
        <v>0</v>
      </c>
      <c r="P2198" s="158"/>
      <c r="Q2198" s="1071">
        <f t="shared" si="438"/>
        <v>0</v>
      </c>
    </row>
    <row r="2199" spans="9:17" ht="13.9" x14ac:dyDescent="0.4">
      <c r="I2199" s="1073">
        <f t="shared" si="437"/>
        <v>0</v>
      </c>
      <c r="J2199" s="159" t="s">
        <v>19</v>
      </c>
      <c r="K2199" s="1350" t="s">
        <v>839</v>
      </c>
      <c r="L2199" s="160"/>
      <c r="M2199" s="159">
        <v>0</v>
      </c>
      <c r="N2199" s="157">
        <v>0</v>
      </c>
      <c r="O2199" s="82">
        <f t="shared" si="436"/>
        <v>0</v>
      </c>
      <c r="P2199" s="158"/>
      <c r="Q2199" s="1071">
        <f t="shared" si="438"/>
        <v>0</v>
      </c>
    </row>
    <row r="2200" spans="9:17" ht="13.9" x14ac:dyDescent="0.4">
      <c r="I2200" s="1073">
        <f t="shared" si="437"/>
        <v>0</v>
      </c>
      <c r="J2200" s="159" t="s">
        <v>19</v>
      </c>
      <c r="K2200" s="1350" t="s">
        <v>839</v>
      </c>
      <c r="L2200" s="160"/>
      <c r="M2200" s="159">
        <v>0</v>
      </c>
      <c r="N2200" s="157">
        <v>0</v>
      </c>
      <c r="O2200" s="82">
        <f t="shared" si="436"/>
        <v>0</v>
      </c>
      <c r="P2200" s="158"/>
      <c r="Q2200" s="1071">
        <f t="shared" si="438"/>
        <v>0</v>
      </c>
    </row>
    <row r="2201" spans="9:17" ht="13.9" x14ac:dyDescent="0.4">
      <c r="I2201" s="1073">
        <f t="shared" si="437"/>
        <v>0</v>
      </c>
      <c r="J2201" s="159" t="s">
        <v>19</v>
      </c>
      <c r="K2201" s="1350" t="s">
        <v>839</v>
      </c>
      <c r="L2201" s="160"/>
      <c r="M2201" s="159">
        <v>0</v>
      </c>
      <c r="N2201" s="157">
        <v>0</v>
      </c>
      <c r="O2201" s="82">
        <f t="shared" si="436"/>
        <v>0</v>
      </c>
      <c r="P2201" s="158"/>
      <c r="Q2201" s="1071">
        <f t="shared" si="438"/>
        <v>0</v>
      </c>
    </row>
    <row r="2202" spans="9:17" ht="13.9" x14ac:dyDescent="0.4">
      <c r="I2202" s="1073">
        <f t="shared" si="437"/>
        <v>0</v>
      </c>
      <c r="J2202" s="159" t="s">
        <v>19</v>
      </c>
      <c r="K2202" s="1350" t="s">
        <v>839</v>
      </c>
      <c r="L2202" s="160"/>
      <c r="M2202" s="159">
        <v>0</v>
      </c>
      <c r="N2202" s="157">
        <v>0</v>
      </c>
      <c r="O2202" s="82">
        <f t="shared" si="436"/>
        <v>0</v>
      </c>
      <c r="P2202" s="158"/>
      <c r="Q2202" s="1071">
        <f t="shared" si="438"/>
        <v>0</v>
      </c>
    </row>
    <row r="2203" spans="9:17" ht="13.9" x14ac:dyDescent="0.4">
      <c r="I2203" s="1073">
        <f t="shared" si="437"/>
        <v>0</v>
      </c>
      <c r="J2203" s="159" t="s">
        <v>19</v>
      </c>
      <c r="K2203" s="1350" t="s">
        <v>839</v>
      </c>
      <c r="L2203" s="160"/>
      <c r="M2203" s="159">
        <v>0</v>
      </c>
      <c r="N2203" s="157">
        <v>0</v>
      </c>
      <c r="O2203" s="82">
        <f t="shared" si="436"/>
        <v>0</v>
      </c>
      <c r="P2203" s="158"/>
      <c r="Q2203" s="1071">
        <f t="shared" si="438"/>
        <v>0</v>
      </c>
    </row>
    <row r="2204" spans="9:17" ht="13.9" x14ac:dyDescent="0.4">
      <c r="I2204" s="1071"/>
      <c r="J2204" s="86" t="s">
        <v>22</v>
      </c>
      <c r="K2204" s="86"/>
      <c r="L2204" s="86"/>
      <c r="M2204" s="81"/>
      <c r="N2204" s="87"/>
      <c r="O2204" s="88">
        <f>SUM(O2194:O2203)</f>
        <v>17.82</v>
      </c>
      <c r="P2204" s="86"/>
      <c r="Q2204" s="1071"/>
    </row>
    <row r="2205" spans="9:17" ht="13.9" x14ac:dyDescent="0.4">
      <c r="I2205" s="1071"/>
      <c r="J2205" s="83"/>
      <c r="K2205" s="83"/>
      <c r="L2205" s="83"/>
      <c r="M2205" s="83"/>
      <c r="N2205" s="84"/>
      <c r="O2205" s="83"/>
      <c r="P2205" s="83"/>
      <c r="Q2205" s="1071"/>
    </row>
    <row r="2206" spans="9:17" ht="13.9" x14ac:dyDescent="0.4">
      <c r="I2206" s="1071"/>
      <c r="J2206" s="78" t="str">
        <f>IF(OR(A2_Budget_Look_Up!$B$7=1,A2_Budget_Look_Up!$B$13=1),"Nematicide Detail", "Fungicide Detail")</f>
        <v>Fungicide Detail</v>
      </c>
      <c r="K2206" s="78"/>
      <c r="L2206" s="78"/>
      <c r="M2206" s="79"/>
      <c r="N2206" s="85"/>
      <c r="O2206" s="79"/>
      <c r="P2206" s="78"/>
      <c r="Q2206" s="1071"/>
    </row>
    <row r="2207" spans="9:17" ht="13.9" x14ac:dyDescent="0.4">
      <c r="I2207" s="1071"/>
      <c r="J2207" s="80" t="s">
        <v>212</v>
      </c>
      <c r="K2207" s="80" t="s">
        <v>838</v>
      </c>
      <c r="L2207" s="80" t="s">
        <v>2</v>
      </c>
      <c r="M2207" s="80" t="s">
        <v>21</v>
      </c>
      <c r="N2207" s="80" t="s">
        <v>174</v>
      </c>
      <c r="O2207" s="80" t="s">
        <v>14</v>
      </c>
      <c r="P2207" s="80" t="s">
        <v>890</v>
      </c>
      <c r="Q2207" s="1071"/>
    </row>
    <row r="2208" spans="9:17" ht="13.9" x14ac:dyDescent="0.4">
      <c r="I2208" s="1073">
        <f>IF($A$1=36,I2203+1,0)</f>
        <v>0</v>
      </c>
      <c r="J2208" s="156" t="str">
        <f>A4_Chem_Prices!N$32</f>
        <v>Quadris Top</v>
      </c>
      <c r="K2208" s="1350" t="s">
        <v>839</v>
      </c>
      <c r="L2208" s="158" t="str">
        <f>A4_Chem_Prices!O$32</f>
        <v>oz</v>
      </c>
      <c r="M2208" s="159">
        <f>A4_Chem_Prices!P$32</f>
        <v>1.315390625</v>
      </c>
      <c r="N2208" s="157">
        <v>10</v>
      </c>
      <c r="O2208" s="82">
        <f>M2208*N2208</f>
        <v>13.15390625</v>
      </c>
      <c r="P2208" s="1449">
        <f>N2208</f>
        <v>10</v>
      </c>
      <c r="Q2208" s="1071">
        <f>Q2203</f>
        <v>0</v>
      </c>
    </row>
    <row r="2209" spans="9:17" ht="13.9" x14ac:dyDescent="0.4">
      <c r="I2209" s="1073">
        <f>IF($A$1=36,I2208+1,0)</f>
        <v>0</v>
      </c>
      <c r="J2209" s="156" t="s">
        <v>19</v>
      </c>
      <c r="K2209" s="1350" t="s">
        <v>839</v>
      </c>
      <c r="L2209" s="158"/>
      <c r="M2209" s="159">
        <v>0</v>
      </c>
      <c r="N2209" s="157">
        <v>0</v>
      </c>
      <c r="O2209" s="82">
        <f>M2209*N2209</f>
        <v>0</v>
      </c>
      <c r="P2209" s="158"/>
      <c r="Q2209" s="1071">
        <f>Q2208</f>
        <v>0</v>
      </c>
    </row>
    <row r="2210" spans="9:17" ht="13.9" x14ac:dyDescent="0.4">
      <c r="I2210" s="1071"/>
      <c r="J2210" s="86" t="s">
        <v>22</v>
      </c>
      <c r="K2210" s="86"/>
      <c r="L2210" s="86"/>
      <c r="M2210" s="81"/>
      <c r="N2210" s="87"/>
      <c r="O2210" s="88">
        <f>SUM(O2208:O2209)</f>
        <v>13.15390625</v>
      </c>
      <c r="P2210" s="86"/>
      <c r="Q2210" s="1071"/>
    </row>
    <row r="2211" spans="9:17" ht="13.9" x14ac:dyDescent="0.4">
      <c r="I2211" s="1071"/>
      <c r="J2211" s="83"/>
      <c r="K2211" s="83"/>
      <c r="L2211" s="83"/>
      <c r="M2211" s="83"/>
      <c r="N2211" s="84"/>
      <c r="O2211" s="83"/>
      <c r="P2211" s="83"/>
      <c r="Q2211" s="1071"/>
    </row>
    <row r="2212" spans="9:17" ht="13.9" x14ac:dyDescent="0.4">
      <c r="I2212" s="1071"/>
      <c r="J2212" s="78" t="str">
        <f>IF(A2_Budget_Look_Up!$B$7=1,"Growth Regulator Detail", IF(A2_Budget_Look_Up!$B$13=1,"Fungicide Detail","Other Chemical Detail"))</f>
        <v>Other Chemical Detail</v>
      </c>
      <c r="K2212" s="78"/>
      <c r="L2212" s="78"/>
      <c r="M2212" s="79"/>
      <c r="N2212" s="85"/>
      <c r="O2212" s="79"/>
      <c r="P2212" s="78"/>
      <c r="Q2212" s="1071"/>
    </row>
    <row r="2213" spans="9:17" ht="13.9" x14ac:dyDescent="0.4">
      <c r="I2213" s="1071"/>
      <c r="J2213" s="80" t="s">
        <v>212</v>
      </c>
      <c r="K2213" s="80" t="s">
        <v>838</v>
      </c>
      <c r="L2213" s="80" t="s">
        <v>2</v>
      </c>
      <c r="M2213" s="80" t="s">
        <v>21</v>
      </c>
      <c r="N2213" s="80" t="s">
        <v>174</v>
      </c>
      <c r="O2213" s="80" t="s">
        <v>14</v>
      </c>
      <c r="P2213" s="80" t="s">
        <v>890</v>
      </c>
      <c r="Q2213" s="1071"/>
    </row>
    <row r="2214" spans="9:17" ht="13.9" x14ac:dyDescent="0.4">
      <c r="I2214" s="1073">
        <f>IF($A$1=36,I2209+1,0)</f>
        <v>0</v>
      </c>
      <c r="J2214" s="156" t="s">
        <v>19</v>
      </c>
      <c r="K2214" s="1350" t="s">
        <v>839</v>
      </c>
      <c r="L2214" s="158"/>
      <c r="M2214" s="159">
        <v>0</v>
      </c>
      <c r="N2214" s="157">
        <v>0</v>
      </c>
      <c r="O2214" s="82">
        <f t="shared" ref="O2214:O2220" si="439">M2214*N2214</f>
        <v>0</v>
      </c>
      <c r="P2214" s="158"/>
      <c r="Q2214" s="1071">
        <f>Q2209</f>
        <v>0</v>
      </c>
    </row>
    <row r="2215" spans="9:17" ht="13.9" x14ac:dyDescent="0.4">
      <c r="I2215" s="1073">
        <f t="shared" ref="I2215:I2220" si="440">IF($A$1=36,I2214+1,0)</f>
        <v>0</v>
      </c>
      <c r="J2215" s="156" t="s">
        <v>19</v>
      </c>
      <c r="K2215" s="1350" t="s">
        <v>839</v>
      </c>
      <c r="L2215" s="158"/>
      <c r="M2215" s="159">
        <v>0</v>
      </c>
      <c r="N2215" s="157">
        <v>0</v>
      </c>
      <c r="O2215" s="82">
        <f t="shared" si="439"/>
        <v>0</v>
      </c>
      <c r="P2215" s="158"/>
      <c r="Q2215" s="1071">
        <f t="shared" ref="Q2215:Q2220" si="441">Q2214</f>
        <v>0</v>
      </c>
    </row>
    <row r="2216" spans="9:17" ht="13.9" x14ac:dyDescent="0.4">
      <c r="I2216" s="1073">
        <f t="shared" si="440"/>
        <v>0</v>
      </c>
      <c r="J2216" s="156" t="s">
        <v>19</v>
      </c>
      <c r="K2216" s="1350" t="s">
        <v>839</v>
      </c>
      <c r="L2216" s="158"/>
      <c r="M2216" s="159">
        <v>0</v>
      </c>
      <c r="N2216" s="157">
        <v>0</v>
      </c>
      <c r="O2216" s="82">
        <f t="shared" si="439"/>
        <v>0</v>
      </c>
      <c r="P2216" s="158"/>
      <c r="Q2216" s="1071">
        <f t="shared" si="441"/>
        <v>0</v>
      </c>
    </row>
    <row r="2217" spans="9:17" ht="13.9" x14ac:dyDescent="0.4">
      <c r="I2217" s="1073">
        <f t="shared" si="440"/>
        <v>0</v>
      </c>
      <c r="J2217" s="156" t="s">
        <v>19</v>
      </c>
      <c r="K2217" s="1350" t="s">
        <v>839</v>
      </c>
      <c r="L2217" s="158"/>
      <c r="M2217" s="159">
        <v>0</v>
      </c>
      <c r="N2217" s="157">
        <v>0</v>
      </c>
      <c r="O2217" s="82">
        <f t="shared" si="439"/>
        <v>0</v>
      </c>
      <c r="P2217" s="158"/>
      <c r="Q2217" s="1071">
        <f t="shared" si="441"/>
        <v>0</v>
      </c>
    </row>
    <row r="2218" spans="9:17" ht="13.9" x14ac:dyDescent="0.4">
      <c r="I2218" s="1073">
        <f t="shared" si="440"/>
        <v>0</v>
      </c>
      <c r="J2218" s="156" t="s">
        <v>19</v>
      </c>
      <c r="K2218" s="1350" t="s">
        <v>839</v>
      </c>
      <c r="L2218" s="158"/>
      <c r="M2218" s="159">
        <v>0</v>
      </c>
      <c r="N2218" s="157">
        <v>0</v>
      </c>
      <c r="O2218" s="82">
        <f t="shared" si="439"/>
        <v>0</v>
      </c>
      <c r="P2218" s="158"/>
      <c r="Q2218" s="1071">
        <f t="shared" si="441"/>
        <v>0</v>
      </c>
    </row>
    <row r="2219" spans="9:17" ht="13.9" x14ac:dyDescent="0.4">
      <c r="I2219" s="1073">
        <f t="shared" si="440"/>
        <v>0</v>
      </c>
      <c r="J2219" s="156" t="s">
        <v>19</v>
      </c>
      <c r="K2219" s="1350" t="s">
        <v>839</v>
      </c>
      <c r="L2219" s="158"/>
      <c r="M2219" s="159">
        <v>0</v>
      </c>
      <c r="N2219" s="157">
        <v>0</v>
      </c>
      <c r="O2219" s="82">
        <f t="shared" si="439"/>
        <v>0</v>
      </c>
      <c r="P2219" s="158"/>
      <c r="Q2219" s="1071">
        <f t="shared" si="441"/>
        <v>0</v>
      </c>
    </row>
    <row r="2220" spans="9:17" ht="13.9" x14ac:dyDescent="0.4">
      <c r="I2220" s="1073">
        <f t="shared" si="440"/>
        <v>0</v>
      </c>
      <c r="J2220" s="156" t="s">
        <v>19</v>
      </c>
      <c r="K2220" s="1350" t="s">
        <v>839</v>
      </c>
      <c r="L2220" s="158"/>
      <c r="M2220" s="159">
        <v>0</v>
      </c>
      <c r="N2220" s="157">
        <v>0</v>
      </c>
      <c r="O2220" s="82">
        <f t="shared" si="439"/>
        <v>0</v>
      </c>
      <c r="P2220" s="158"/>
      <c r="Q2220" s="1071">
        <f t="shared" si="441"/>
        <v>0</v>
      </c>
    </row>
    <row r="2221" spans="9:17" ht="13.9" x14ac:dyDescent="0.4">
      <c r="I2221" s="1071"/>
      <c r="J2221" s="86" t="s">
        <v>22</v>
      </c>
      <c r="K2221" s="86"/>
      <c r="L2221" s="86"/>
      <c r="M2221" s="81"/>
      <c r="N2221" s="87"/>
      <c r="O2221" s="88">
        <f>SUM(O2214:O2220)</f>
        <v>0</v>
      </c>
      <c r="P2221" s="86"/>
      <c r="Q2221" s="1071"/>
    </row>
    <row r="2222" spans="9:17" ht="13.9" x14ac:dyDescent="0.4">
      <c r="I2222" s="1071"/>
      <c r="J2222" s="83"/>
      <c r="K2222" s="83"/>
      <c r="L2222" s="83"/>
      <c r="M2222" s="83"/>
      <c r="N2222" s="84"/>
      <c r="O2222" s="83"/>
      <c r="P2222" s="83"/>
      <c r="Q2222" s="1071"/>
    </row>
    <row r="2223" spans="9:17" ht="13.9" x14ac:dyDescent="0.4">
      <c r="I2223" s="1071"/>
      <c r="J2223" s="78" t="str">
        <f>IF(A2_Budget_Look_Up!$B$7=1,"Defoliant Detail", "Other Chemical Detail")</f>
        <v>Other Chemical Detail</v>
      </c>
      <c r="K2223" s="78"/>
      <c r="L2223" s="78"/>
      <c r="M2223" s="79"/>
      <c r="N2223" s="85"/>
      <c r="O2223" s="79"/>
      <c r="P2223" s="78"/>
      <c r="Q2223" s="1071"/>
    </row>
    <row r="2224" spans="9:17" ht="13.9" x14ac:dyDescent="0.4">
      <c r="I2224" s="1071"/>
      <c r="J2224" s="80" t="s">
        <v>212</v>
      </c>
      <c r="K2224" s="80" t="s">
        <v>838</v>
      </c>
      <c r="L2224" s="80" t="s">
        <v>2</v>
      </c>
      <c r="M2224" s="80" t="s">
        <v>21</v>
      </c>
      <c r="N2224" s="80" t="s">
        <v>174</v>
      </c>
      <c r="O2224" s="80" t="s">
        <v>14</v>
      </c>
      <c r="P2224" s="80" t="s">
        <v>890</v>
      </c>
      <c r="Q2224" s="1071"/>
    </row>
    <row r="2225" spans="9:17" ht="13.9" x14ac:dyDescent="0.4">
      <c r="I2225" s="1073">
        <f>IF($A$1=36,I2220+1,0)</f>
        <v>0</v>
      </c>
      <c r="J2225" s="156" t="s">
        <v>19</v>
      </c>
      <c r="K2225" s="1350" t="s">
        <v>839</v>
      </c>
      <c r="L2225" s="158"/>
      <c r="M2225" s="159">
        <v>0</v>
      </c>
      <c r="N2225" s="157">
        <v>0</v>
      </c>
      <c r="O2225" s="82">
        <f t="shared" ref="O2225:O2231" si="442">M2225*N2225</f>
        <v>0</v>
      </c>
      <c r="P2225" s="158"/>
      <c r="Q2225" s="1071">
        <f>Q2220</f>
        <v>0</v>
      </c>
    </row>
    <row r="2226" spans="9:17" ht="13.9" x14ac:dyDescent="0.4">
      <c r="I2226" s="1073">
        <f t="shared" ref="I2226:I2231" si="443">IF($A$1=36,I2225+1,0)</f>
        <v>0</v>
      </c>
      <c r="J2226" s="156" t="s">
        <v>19</v>
      </c>
      <c r="K2226" s="1350" t="s">
        <v>839</v>
      </c>
      <c r="L2226" s="158"/>
      <c r="M2226" s="159">
        <v>0</v>
      </c>
      <c r="N2226" s="157">
        <v>0</v>
      </c>
      <c r="O2226" s="82">
        <f t="shared" si="442"/>
        <v>0</v>
      </c>
      <c r="P2226" s="158"/>
      <c r="Q2226" s="1071">
        <f t="shared" ref="Q2226:Q2231" si="444">Q2225</f>
        <v>0</v>
      </c>
    </row>
    <row r="2227" spans="9:17" ht="13.9" x14ac:dyDescent="0.4">
      <c r="I2227" s="1073">
        <f t="shared" si="443"/>
        <v>0</v>
      </c>
      <c r="J2227" s="156" t="s">
        <v>19</v>
      </c>
      <c r="K2227" s="1350" t="s">
        <v>839</v>
      </c>
      <c r="L2227" s="158"/>
      <c r="M2227" s="159">
        <v>0</v>
      </c>
      <c r="N2227" s="157">
        <v>0</v>
      </c>
      <c r="O2227" s="82">
        <f t="shared" si="442"/>
        <v>0</v>
      </c>
      <c r="P2227" s="158"/>
      <c r="Q2227" s="1071">
        <f t="shared" si="444"/>
        <v>0</v>
      </c>
    </row>
    <row r="2228" spans="9:17" ht="13.9" x14ac:dyDescent="0.4">
      <c r="I2228" s="1073">
        <f t="shared" si="443"/>
        <v>0</v>
      </c>
      <c r="J2228" s="156" t="s">
        <v>19</v>
      </c>
      <c r="K2228" s="1350" t="s">
        <v>839</v>
      </c>
      <c r="L2228" s="158"/>
      <c r="M2228" s="159">
        <v>0</v>
      </c>
      <c r="N2228" s="157">
        <v>0</v>
      </c>
      <c r="O2228" s="82">
        <f t="shared" si="442"/>
        <v>0</v>
      </c>
      <c r="P2228" s="158"/>
      <c r="Q2228" s="1071">
        <f t="shared" si="444"/>
        <v>0</v>
      </c>
    </row>
    <row r="2229" spans="9:17" ht="13.9" x14ac:dyDescent="0.4">
      <c r="I2229" s="1073">
        <f t="shared" si="443"/>
        <v>0</v>
      </c>
      <c r="J2229" s="156" t="s">
        <v>19</v>
      </c>
      <c r="K2229" s="1350" t="s">
        <v>839</v>
      </c>
      <c r="L2229" s="158"/>
      <c r="M2229" s="159">
        <v>0</v>
      </c>
      <c r="N2229" s="157">
        <v>0</v>
      </c>
      <c r="O2229" s="82">
        <f t="shared" si="442"/>
        <v>0</v>
      </c>
      <c r="P2229" s="158"/>
      <c r="Q2229" s="1071">
        <f t="shared" si="444"/>
        <v>0</v>
      </c>
    </row>
    <row r="2230" spans="9:17" ht="13.9" x14ac:dyDescent="0.4">
      <c r="I2230" s="1073">
        <f t="shared" si="443"/>
        <v>0</v>
      </c>
      <c r="J2230" s="156" t="s">
        <v>19</v>
      </c>
      <c r="K2230" s="1350" t="s">
        <v>839</v>
      </c>
      <c r="L2230" s="158"/>
      <c r="M2230" s="159">
        <v>0</v>
      </c>
      <c r="N2230" s="157">
        <v>0</v>
      </c>
      <c r="O2230" s="82">
        <f t="shared" si="442"/>
        <v>0</v>
      </c>
      <c r="P2230" s="158"/>
      <c r="Q2230" s="1071">
        <f t="shared" si="444"/>
        <v>0</v>
      </c>
    </row>
    <row r="2231" spans="9:17" ht="13.9" x14ac:dyDescent="0.4">
      <c r="I2231" s="1073">
        <f t="shared" si="443"/>
        <v>0</v>
      </c>
      <c r="J2231" s="156" t="s">
        <v>19</v>
      </c>
      <c r="K2231" s="1350" t="s">
        <v>839</v>
      </c>
      <c r="L2231" s="158"/>
      <c r="M2231" s="159">
        <v>0</v>
      </c>
      <c r="N2231" s="157">
        <v>0</v>
      </c>
      <c r="O2231" s="82">
        <f t="shared" si="442"/>
        <v>0</v>
      </c>
      <c r="P2231" s="158"/>
      <c r="Q2231" s="1071">
        <f t="shared" si="444"/>
        <v>0</v>
      </c>
    </row>
    <row r="2232" spans="9:17" ht="13.9" x14ac:dyDescent="0.4">
      <c r="I2232" s="1071"/>
      <c r="J2232" s="86" t="s">
        <v>22</v>
      </c>
      <c r="K2232" s="86"/>
      <c r="L2232" s="86"/>
      <c r="M2232" s="81"/>
      <c r="N2232" s="87"/>
      <c r="O2232" s="88">
        <f>SUM(O2225:O2231)</f>
        <v>0</v>
      </c>
      <c r="P2232" s="86"/>
      <c r="Q2232" s="1071"/>
    </row>
    <row r="2233" spans="9:17" ht="13.9" x14ac:dyDescent="0.4">
      <c r="I2233" s="1071"/>
      <c r="J2233" s="83"/>
      <c r="K2233" s="83"/>
      <c r="L2233" s="83"/>
      <c r="M2233" s="89"/>
      <c r="N2233" s="84"/>
      <c r="O2233" s="89"/>
      <c r="P2233" s="83"/>
      <c r="Q2233" s="1071"/>
    </row>
    <row r="2234" spans="9:17" ht="13.9" x14ac:dyDescent="0.4">
      <c r="I2234" s="1071"/>
      <c r="J2234" s="1168" t="str">
        <f>A2_Budget_Look_Up!H39</f>
        <v>Soybeans, Conventional, Flood Irrigation</v>
      </c>
      <c r="K2234" s="1168"/>
      <c r="L2234" s="1168">
        <f>A2_Budget_Look_Up!F39</f>
        <v>37</v>
      </c>
      <c r="M2234" s="1168"/>
      <c r="N2234" s="1168"/>
      <c r="O2234" s="1168"/>
      <c r="P2234" s="1168"/>
      <c r="Q2234" s="1071"/>
    </row>
    <row r="2235" spans="9:17" ht="13.9" x14ac:dyDescent="0.4">
      <c r="I2235" s="1071"/>
      <c r="J2235" s="83"/>
      <c r="K2235" s="83"/>
      <c r="L2235" s="83"/>
      <c r="M2235" s="83"/>
      <c r="N2235" s="84"/>
      <c r="O2235" s="83"/>
      <c r="P2235" s="83"/>
      <c r="Q2235" s="1071"/>
    </row>
    <row r="2236" spans="9:17" ht="13.9" x14ac:dyDescent="0.4">
      <c r="I2236" s="1071"/>
      <c r="J2236" s="78" t="s">
        <v>18</v>
      </c>
      <c r="K2236" s="78"/>
      <c r="L2236" s="78"/>
      <c r="M2236" s="79"/>
      <c r="N2236" s="85"/>
      <c r="O2236" s="79"/>
      <c r="P2236" s="78"/>
      <c r="Q2236" s="1071"/>
    </row>
    <row r="2237" spans="9:17" ht="13.9" x14ac:dyDescent="0.4">
      <c r="I2237" s="1071"/>
      <c r="J2237" s="80" t="s">
        <v>212</v>
      </c>
      <c r="K2237" s="80" t="s">
        <v>838</v>
      </c>
      <c r="L2237" s="80" t="s">
        <v>2</v>
      </c>
      <c r="M2237" s="80" t="s">
        <v>21</v>
      </c>
      <c r="N2237" s="80" t="s">
        <v>174</v>
      </c>
      <c r="O2237" s="80" t="s">
        <v>14</v>
      </c>
      <c r="P2237" s="80" t="s">
        <v>890</v>
      </c>
      <c r="Q2237" s="1071"/>
    </row>
    <row r="2238" spans="9:17" ht="13.9" x14ac:dyDescent="0.4">
      <c r="I2238" s="1073">
        <f>IF($A$1=37,1,0)</f>
        <v>0</v>
      </c>
      <c r="J2238" s="159" t="str">
        <f>A4_Chem_Prices!N$2</f>
        <v>Roundup Powermax 3</v>
      </c>
      <c r="K2238" s="1350" t="s">
        <v>839</v>
      </c>
      <c r="L2238" s="158" t="str">
        <f>A4_Chem_Prices!O$2</f>
        <v>oz</v>
      </c>
      <c r="M2238" s="159">
        <f>A4_Chem_Prices!P$2</f>
        <v>0.140625</v>
      </c>
      <c r="N2238" s="159">
        <v>32</v>
      </c>
      <c r="O2238" s="82">
        <f t="shared" ref="O2238:O2251" si="445">M2238*N2238</f>
        <v>4.5</v>
      </c>
      <c r="P2238" s="1449">
        <f>N2238</f>
        <v>32</v>
      </c>
      <c r="Q2238" s="1171">
        <f>IF(SUM(I2238:I2293)=820,L2234,0)</f>
        <v>0</v>
      </c>
    </row>
    <row r="2239" spans="9:17" ht="13.9" x14ac:dyDescent="0.4">
      <c r="I2239" s="1073">
        <f t="shared" ref="I2239:I2251" si="446">IF($A$1=37,I2238+1,0)</f>
        <v>0</v>
      </c>
      <c r="J2239" s="159" t="str">
        <f>A4_Chem_Prices!N$3</f>
        <v>2,4-D</v>
      </c>
      <c r="K2239" s="1350" t="s">
        <v>839</v>
      </c>
      <c r="L2239" s="158" t="str">
        <f>A4_Chem_Prices!O$3</f>
        <v>oz</v>
      </c>
      <c r="M2239" s="159">
        <f>A4_Chem_Prices!P$3</f>
        <v>0.2734375</v>
      </c>
      <c r="N2239" s="159">
        <v>32</v>
      </c>
      <c r="O2239" s="82">
        <f t="shared" si="445"/>
        <v>8.75</v>
      </c>
      <c r="P2239" s="1449">
        <f>N2239</f>
        <v>32</v>
      </c>
      <c r="Q2239" s="1071">
        <f>Q2238</f>
        <v>0</v>
      </c>
    </row>
    <row r="2240" spans="9:17" ht="13.9" x14ac:dyDescent="0.4">
      <c r="I2240" s="1073">
        <f t="shared" si="446"/>
        <v>0</v>
      </c>
      <c r="J2240" s="159" t="str">
        <f>A4_Chem_Prices!Q$9</f>
        <v>Boundary</v>
      </c>
      <c r="K2240" s="1350" t="s">
        <v>839</v>
      </c>
      <c r="L2240" s="160" t="str">
        <f>A4_Chem_Prices!R$9</f>
        <v>oz</v>
      </c>
      <c r="M2240" s="159">
        <f>A4_Chem_Prices!S$9</f>
        <v>0.68414062499999995</v>
      </c>
      <c r="N2240" s="157">
        <v>1</v>
      </c>
      <c r="O2240" s="82">
        <f t="shared" si="445"/>
        <v>0.68414062499999995</v>
      </c>
      <c r="P2240" s="160">
        <f>N2240</f>
        <v>1</v>
      </c>
      <c r="Q2240" s="1071">
        <f t="shared" ref="Q2240:Q2251" si="447">Q2239</f>
        <v>0</v>
      </c>
    </row>
    <row r="2241" spans="9:17" ht="13.9" x14ac:dyDescent="0.4">
      <c r="I2241" s="1073">
        <f t="shared" si="446"/>
        <v>0</v>
      </c>
      <c r="J2241" s="159" t="str">
        <f>A4_Chem_Prices!N$8</f>
        <v>Select Max</v>
      </c>
      <c r="K2241" s="1350" t="s">
        <v>839</v>
      </c>
      <c r="L2241" s="158" t="s">
        <v>413</v>
      </c>
      <c r="M2241" s="159">
        <f>A4_Chem_Prices!P$8</f>
        <v>0.27396484375000002</v>
      </c>
      <c r="N2241" s="157">
        <v>1</v>
      </c>
      <c r="O2241" s="82">
        <f t="shared" si="445"/>
        <v>0.27396484375000002</v>
      </c>
      <c r="P2241" s="1449">
        <f>N2241*16</f>
        <v>16</v>
      </c>
      <c r="Q2241" s="1071">
        <f t="shared" si="447"/>
        <v>0</v>
      </c>
    </row>
    <row r="2242" spans="9:17" ht="13.9" x14ac:dyDescent="0.4">
      <c r="I2242" s="1073">
        <f t="shared" si="446"/>
        <v>0</v>
      </c>
      <c r="J2242" s="159" t="str">
        <f>A4_Chem_Prices!N$11</f>
        <v>Zidua</v>
      </c>
      <c r="K2242" s="1350" t="s">
        <v>839</v>
      </c>
      <c r="L2242" s="160" t="str">
        <f>A4_Chem_Prices!O$11</f>
        <v>oz</v>
      </c>
      <c r="M2242" s="159">
        <f>A4_Chem_Prices!P$11</f>
        <v>5.7421875</v>
      </c>
      <c r="N2242" s="157">
        <v>3.5</v>
      </c>
      <c r="O2242" s="82">
        <f t="shared" si="445"/>
        <v>20.09765625</v>
      </c>
      <c r="P2242" s="1449">
        <f>N2242*16</f>
        <v>56</v>
      </c>
      <c r="Q2242" s="1071">
        <f t="shared" si="447"/>
        <v>0</v>
      </c>
    </row>
    <row r="2243" spans="9:17" ht="13.9" x14ac:dyDescent="0.4">
      <c r="I2243" s="1073">
        <f t="shared" si="446"/>
        <v>0</v>
      </c>
      <c r="J2243" s="159" t="str">
        <f>A4_Chem_Prices!Q$12</f>
        <v>Flexstar</v>
      </c>
      <c r="K2243" s="1350" t="s">
        <v>839</v>
      </c>
      <c r="L2243" s="160" t="str">
        <f>A4_Chem_Prices!R$12</f>
        <v>oz</v>
      </c>
      <c r="M2243" s="159">
        <f>A4_Chem_Prices!S$12</f>
        <v>0.453125</v>
      </c>
      <c r="N2243" s="157">
        <v>1.5</v>
      </c>
      <c r="O2243" s="82">
        <f t="shared" si="445"/>
        <v>0.6796875</v>
      </c>
      <c r="P2243" s="1449">
        <f>N2243</f>
        <v>1.5</v>
      </c>
      <c r="Q2243" s="1071">
        <f t="shared" si="447"/>
        <v>0</v>
      </c>
    </row>
    <row r="2244" spans="9:17" ht="13.9" x14ac:dyDescent="0.4">
      <c r="I2244" s="1073">
        <f t="shared" si="446"/>
        <v>0</v>
      </c>
      <c r="J2244" s="159" t="str">
        <f>A4_Chem_Prices!Q$16</f>
        <v>Outlook</v>
      </c>
      <c r="K2244" s="1350" t="s">
        <v>839</v>
      </c>
      <c r="L2244" s="160" t="str">
        <f>A4_Chem_Prices!R$16</f>
        <v>oz</v>
      </c>
      <c r="M2244" s="159">
        <f>A4_Chem_Prices!S$16</f>
        <v>0.984375</v>
      </c>
      <c r="N2244" s="157">
        <v>12.8</v>
      </c>
      <c r="O2244" s="82">
        <f t="shared" si="445"/>
        <v>12.600000000000001</v>
      </c>
      <c r="P2244" s="160"/>
      <c r="Q2244" s="1071">
        <f t="shared" si="447"/>
        <v>0</v>
      </c>
    </row>
    <row r="2245" spans="9:17" ht="13.9" x14ac:dyDescent="0.4">
      <c r="I2245" s="1073">
        <f t="shared" si="446"/>
        <v>0</v>
      </c>
      <c r="J2245" s="159" t="str">
        <f>A4_Chem_Prices!N$10</f>
        <v>Gramoxone</v>
      </c>
      <c r="K2245" s="1350" t="s">
        <v>839</v>
      </c>
      <c r="L2245" s="160" t="str">
        <f>A4_Chem_Prices!O$10</f>
        <v>oz</v>
      </c>
      <c r="M2245" s="159">
        <f>A4_Chem_Prices!P$10</f>
        <v>0.23046875</v>
      </c>
      <c r="N2245" s="157">
        <v>32</v>
      </c>
      <c r="O2245" s="82">
        <f t="shared" si="445"/>
        <v>7.375</v>
      </c>
      <c r="P2245" s="160"/>
      <c r="Q2245" s="1071">
        <f t="shared" si="447"/>
        <v>0</v>
      </c>
    </row>
    <row r="2246" spans="9:17" ht="13.9" x14ac:dyDescent="0.4">
      <c r="I2246" s="1073">
        <f t="shared" si="446"/>
        <v>0</v>
      </c>
      <c r="J2246" s="159" t="str">
        <f>A4_Chem_Prices!Q$13</f>
        <v>First Rate</v>
      </c>
      <c r="K2246" s="1350" t="s">
        <v>839</v>
      </c>
      <c r="L2246" s="160" t="str">
        <f>A4_Chem_Prices!R$13</f>
        <v>oz</v>
      </c>
      <c r="M2246" s="159">
        <f>A4_Chem_Prices!S$13</f>
        <v>40.119999999999997</v>
      </c>
      <c r="N2246" s="157">
        <v>0.3</v>
      </c>
      <c r="O2246" s="82">
        <f t="shared" si="445"/>
        <v>12.036</v>
      </c>
      <c r="P2246" s="160"/>
      <c r="Q2246" s="1071">
        <f t="shared" si="447"/>
        <v>0</v>
      </c>
    </row>
    <row r="2247" spans="9:17" ht="13.9" x14ac:dyDescent="0.4">
      <c r="I2247" s="1073">
        <f t="shared" si="446"/>
        <v>0</v>
      </c>
      <c r="J2247" s="159" t="str">
        <f>A4_Chem_Prices!Q$14</f>
        <v>Python</v>
      </c>
      <c r="K2247" s="1350" t="s">
        <v>839</v>
      </c>
      <c r="L2247" s="160" t="str">
        <f>A4_Chem_Prices!R$14</f>
        <v>oz</v>
      </c>
      <c r="M2247" s="159">
        <f>A4_Chem_Prices!S$14</f>
        <v>5.6749999999999998</v>
      </c>
      <c r="N2247" s="157">
        <v>0.125</v>
      </c>
      <c r="O2247" s="82">
        <f t="shared" si="445"/>
        <v>0.70937499999999998</v>
      </c>
      <c r="P2247" s="160"/>
      <c r="Q2247" s="1071">
        <f t="shared" si="447"/>
        <v>0</v>
      </c>
    </row>
    <row r="2248" spans="9:17" ht="13.9" x14ac:dyDescent="0.4">
      <c r="I2248" s="1073">
        <f t="shared" si="446"/>
        <v>0</v>
      </c>
      <c r="J2248" s="159" t="s">
        <v>19</v>
      </c>
      <c r="K2248" s="1350" t="s">
        <v>839</v>
      </c>
      <c r="L2248" s="160"/>
      <c r="M2248" s="159">
        <v>0</v>
      </c>
      <c r="N2248" s="157">
        <v>0</v>
      </c>
      <c r="O2248" s="82">
        <f t="shared" si="445"/>
        <v>0</v>
      </c>
      <c r="P2248" s="160"/>
      <c r="Q2248" s="1071">
        <f t="shared" si="447"/>
        <v>0</v>
      </c>
    </row>
    <row r="2249" spans="9:17" ht="13.9" x14ac:dyDescent="0.4">
      <c r="I2249" s="1073">
        <f t="shared" si="446"/>
        <v>0</v>
      </c>
      <c r="J2249" s="159" t="s">
        <v>19</v>
      </c>
      <c r="K2249" s="1350" t="s">
        <v>839</v>
      </c>
      <c r="L2249" s="160"/>
      <c r="M2249" s="159">
        <v>0</v>
      </c>
      <c r="N2249" s="157">
        <v>0</v>
      </c>
      <c r="O2249" s="82">
        <f t="shared" si="445"/>
        <v>0</v>
      </c>
      <c r="P2249" s="160"/>
      <c r="Q2249" s="1071">
        <f t="shared" si="447"/>
        <v>0</v>
      </c>
    </row>
    <row r="2250" spans="9:17" ht="13.9" x14ac:dyDescent="0.4">
      <c r="I2250" s="1073">
        <f t="shared" si="446"/>
        <v>0</v>
      </c>
      <c r="J2250" s="159" t="s">
        <v>19</v>
      </c>
      <c r="K2250" s="1350" t="s">
        <v>839</v>
      </c>
      <c r="L2250" s="160"/>
      <c r="M2250" s="159">
        <v>0</v>
      </c>
      <c r="N2250" s="157">
        <v>0</v>
      </c>
      <c r="O2250" s="82">
        <f t="shared" si="445"/>
        <v>0</v>
      </c>
      <c r="P2250" s="160"/>
      <c r="Q2250" s="1071">
        <f t="shared" si="447"/>
        <v>0</v>
      </c>
    </row>
    <row r="2251" spans="9:17" ht="13.9" x14ac:dyDescent="0.4">
      <c r="I2251" s="1073">
        <f t="shared" si="446"/>
        <v>0</v>
      </c>
      <c r="J2251" s="159" t="s">
        <v>19</v>
      </c>
      <c r="K2251" s="1350" t="s">
        <v>839</v>
      </c>
      <c r="L2251" s="160"/>
      <c r="M2251" s="159">
        <v>0</v>
      </c>
      <c r="N2251" s="157">
        <v>0</v>
      </c>
      <c r="O2251" s="82">
        <f t="shared" si="445"/>
        <v>0</v>
      </c>
      <c r="P2251" s="160"/>
      <c r="Q2251" s="1071">
        <f t="shared" si="447"/>
        <v>0</v>
      </c>
    </row>
    <row r="2252" spans="9:17" ht="13.9" x14ac:dyDescent="0.4">
      <c r="I2252" s="1071"/>
      <c r="J2252" s="86" t="s">
        <v>22</v>
      </c>
      <c r="K2252" s="86"/>
      <c r="L2252" s="86"/>
      <c r="M2252" s="81"/>
      <c r="N2252" s="87"/>
      <c r="O2252" s="88">
        <f>SUM(O2238:O2251)</f>
        <v>67.705824218749996</v>
      </c>
      <c r="P2252" s="86"/>
      <c r="Q2252" s="1071"/>
    </row>
    <row r="2253" spans="9:17" ht="13.9" x14ac:dyDescent="0.4">
      <c r="I2253" s="1071"/>
      <c r="J2253" s="83"/>
      <c r="K2253" s="83"/>
      <c r="L2253" s="83"/>
      <c r="M2253" s="83"/>
      <c r="N2253" s="84"/>
      <c r="O2253" s="83"/>
      <c r="P2253" s="83"/>
      <c r="Q2253" s="1071"/>
    </row>
    <row r="2254" spans="9:17" ht="13.9" x14ac:dyDescent="0.4">
      <c r="I2254" s="1071"/>
      <c r="J2254" s="78" t="s">
        <v>20</v>
      </c>
      <c r="K2254" s="78"/>
      <c r="L2254" s="78"/>
      <c r="M2254" s="79"/>
      <c r="N2254" s="85"/>
      <c r="O2254" s="79"/>
      <c r="P2254" s="78"/>
      <c r="Q2254" s="1071"/>
    </row>
    <row r="2255" spans="9:17" ht="13.9" x14ac:dyDescent="0.4">
      <c r="I2255" s="1071"/>
      <c r="J2255" s="80" t="s">
        <v>212</v>
      </c>
      <c r="K2255" s="80" t="s">
        <v>838</v>
      </c>
      <c r="L2255" s="80" t="s">
        <v>2</v>
      </c>
      <c r="M2255" s="80" t="s">
        <v>21</v>
      </c>
      <c r="N2255" s="80" t="s">
        <v>174</v>
      </c>
      <c r="O2255" s="80" t="s">
        <v>14</v>
      </c>
      <c r="P2255" s="80" t="s">
        <v>890</v>
      </c>
      <c r="Q2255" s="1071"/>
    </row>
    <row r="2256" spans="9:17" ht="13.9" x14ac:dyDescent="0.4">
      <c r="I2256" s="1073">
        <f>IF($A$1=37,I2251+1,0)</f>
        <v>0</v>
      </c>
      <c r="J2256" s="159" t="str">
        <f>A4_Chem_Prices!N$19</f>
        <v>Besiege</v>
      </c>
      <c r="K2256" s="1350" t="s">
        <v>839</v>
      </c>
      <c r="L2256" s="160" t="str">
        <f>A4_Chem_Prices!O$19</f>
        <v>oz</v>
      </c>
      <c r="M2256" s="159">
        <f>A4_Chem_Prices!P$19</f>
        <v>1.98</v>
      </c>
      <c r="N2256" s="157">
        <v>9</v>
      </c>
      <c r="O2256" s="82">
        <f t="shared" ref="O2256:O2265" si="448">M2256*N2256</f>
        <v>17.82</v>
      </c>
      <c r="P2256" s="1449">
        <f>N2256</f>
        <v>9</v>
      </c>
      <c r="Q2256" s="1071">
        <f>Q2238</f>
        <v>0</v>
      </c>
    </row>
    <row r="2257" spans="9:17" ht="13.9" x14ac:dyDescent="0.4">
      <c r="I2257" s="1073">
        <f t="shared" ref="I2257:I2265" si="449">IF($A$1=37,I2256+1,0)</f>
        <v>0</v>
      </c>
      <c r="J2257" s="159" t="s">
        <v>19</v>
      </c>
      <c r="K2257" s="1350" t="s">
        <v>839</v>
      </c>
      <c r="L2257" s="160"/>
      <c r="M2257" s="159">
        <v>0</v>
      </c>
      <c r="N2257" s="157">
        <v>0</v>
      </c>
      <c r="O2257" s="82">
        <f t="shared" si="448"/>
        <v>0</v>
      </c>
      <c r="P2257" s="158"/>
      <c r="Q2257" s="1071">
        <f>Q2256</f>
        <v>0</v>
      </c>
    </row>
    <row r="2258" spans="9:17" ht="13.9" x14ac:dyDescent="0.4">
      <c r="I2258" s="1073">
        <f t="shared" si="449"/>
        <v>0</v>
      </c>
      <c r="J2258" s="159" t="s">
        <v>19</v>
      </c>
      <c r="K2258" s="1350" t="s">
        <v>839</v>
      </c>
      <c r="L2258" s="160"/>
      <c r="M2258" s="159">
        <v>0</v>
      </c>
      <c r="N2258" s="157">
        <v>0</v>
      </c>
      <c r="O2258" s="82">
        <f t="shared" si="448"/>
        <v>0</v>
      </c>
      <c r="P2258" s="158"/>
      <c r="Q2258" s="1071">
        <f t="shared" ref="Q2258:Q2265" si="450">Q2257</f>
        <v>0</v>
      </c>
    </row>
    <row r="2259" spans="9:17" ht="13.9" x14ac:dyDescent="0.4">
      <c r="I2259" s="1073">
        <f t="shared" si="449"/>
        <v>0</v>
      </c>
      <c r="J2259" s="159" t="s">
        <v>19</v>
      </c>
      <c r="K2259" s="1350" t="s">
        <v>839</v>
      </c>
      <c r="L2259" s="160"/>
      <c r="M2259" s="159">
        <v>0</v>
      </c>
      <c r="N2259" s="157">
        <v>0</v>
      </c>
      <c r="O2259" s="82">
        <f t="shared" si="448"/>
        <v>0</v>
      </c>
      <c r="P2259" s="158"/>
      <c r="Q2259" s="1071">
        <f t="shared" si="450"/>
        <v>0</v>
      </c>
    </row>
    <row r="2260" spans="9:17" ht="13.9" x14ac:dyDescent="0.4">
      <c r="I2260" s="1073">
        <f t="shared" si="449"/>
        <v>0</v>
      </c>
      <c r="J2260" s="159" t="s">
        <v>19</v>
      </c>
      <c r="K2260" s="1350" t="s">
        <v>839</v>
      </c>
      <c r="L2260" s="160"/>
      <c r="M2260" s="159">
        <v>0</v>
      </c>
      <c r="N2260" s="157">
        <v>0</v>
      </c>
      <c r="O2260" s="82">
        <f t="shared" si="448"/>
        <v>0</v>
      </c>
      <c r="P2260" s="158"/>
      <c r="Q2260" s="1071">
        <f t="shared" si="450"/>
        <v>0</v>
      </c>
    </row>
    <row r="2261" spans="9:17" ht="13.9" x14ac:dyDescent="0.4">
      <c r="I2261" s="1073">
        <f t="shared" si="449"/>
        <v>0</v>
      </c>
      <c r="J2261" s="159" t="s">
        <v>19</v>
      </c>
      <c r="K2261" s="1350" t="s">
        <v>839</v>
      </c>
      <c r="L2261" s="160"/>
      <c r="M2261" s="159">
        <v>0</v>
      </c>
      <c r="N2261" s="157">
        <v>0</v>
      </c>
      <c r="O2261" s="82">
        <f t="shared" si="448"/>
        <v>0</v>
      </c>
      <c r="P2261" s="158"/>
      <c r="Q2261" s="1071">
        <f t="shared" si="450"/>
        <v>0</v>
      </c>
    </row>
    <row r="2262" spans="9:17" ht="13.9" x14ac:dyDescent="0.4">
      <c r="I2262" s="1073">
        <f t="shared" si="449"/>
        <v>0</v>
      </c>
      <c r="J2262" s="159" t="s">
        <v>19</v>
      </c>
      <c r="K2262" s="1350" t="s">
        <v>839</v>
      </c>
      <c r="L2262" s="160"/>
      <c r="M2262" s="159">
        <v>0</v>
      </c>
      <c r="N2262" s="157">
        <v>0</v>
      </c>
      <c r="O2262" s="82">
        <f t="shared" si="448"/>
        <v>0</v>
      </c>
      <c r="P2262" s="158"/>
      <c r="Q2262" s="1071">
        <f t="shared" si="450"/>
        <v>0</v>
      </c>
    </row>
    <row r="2263" spans="9:17" ht="13.9" x14ac:dyDescent="0.4">
      <c r="I2263" s="1073">
        <f t="shared" si="449"/>
        <v>0</v>
      </c>
      <c r="J2263" s="159" t="s">
        <v>19</v>
      </c>
      <c r="K2263" s="1350" t="s">
        <v>839</v>
      </c>
      <c r="L2263" s="160"/>
      <c r="M2263" s="159">
        <v>0</v>
      </c>
      <c r="N2263" s="157">
        <v>0</v>
      </c>
      <c r="O2263" s="82">
        <f t="shared" si="448"/>
        <v>0</v>
      </c>
      <c r="P2263" s="158"/>
      <c r="Q2263" s="1071">
        <f t="shared" si="450"/>
        <v>0</v>
      </c>
    </row>
    <row r="2264" spans="9:17" ht="13.9" x14ac:dyDescent="0.4">
      <c r="I2264" s="1073">
        <f t="shared" si="449"/>
        <v>0</v>
      </c>
      <c r="J2264" s="159" t="s">
        <v>19</v>
      </c>
      <c r="K2264" s="1350" t="s">
        <v>839</v>
      </c>
      <c r="L2264" s="160"/>
      <c r="M2264" s="159">
        <v>0</v>
      </c>
      <c r="N2264" s="157">
        <v>0</v>
      </c>
      <c r="O2264" s="82">
        <f t="shared" si="448"/>
        <v>0</v>
      </c>
      <c r="P2264" s="158"/>
      <c r="Q2264" s="1071">
        <f t="shared" si="450"/>
        <v>0</v>
      </c>
    </row>
    <row r="2265" spans="9:17" ht="13.9" x14ac:dyDescent="0.4">
      <c r="I2265" s="1073">
        <f t="shared" si="449"/>
        <v>0</v>
      </c>
      <c r="J2265" s="159" t="s">
        <v>19</v>
      </c>
      <c r="K2265" s="1350" t="s">
        <v>839</v>
      </c>
      <c r="L2265" s="160"/>
      <c r="M2265" s="159">
        <v>0</v>
      </c>
      <c r="N2265" s="157">
        <v>0</v>
      </c>
      <c r="O2265" s="82">
        <f t="shared" si="448"/>
        <v>0</v>
      </c>
      <c r="P2265" s="158"/>
      <c r="Q2265" s="1071">
        <f t="shared" si="450"/>
        <v>0</v>
      </c>
    </row>
    <row r="2266" spans="9:17" ht="13.9" x14ac:dyDescent="0.4">
      <c r="I2266" s="1071"/>
      <c r="J2266" s="86" t="s">
        <v>22</v>
      </c>
      <c r="K2266" s="86"/>
      <c r="L2266" s="86"/>
      <c r="M2266" s="81"/>
      <c r="N2266" s="87"/>
      <c r="O2266" s="88">
        <f>SUM(O2256:O2265)</f>
        <v>17.82</v>
      </c>
      <c r="P2266" s="86"/>
      <c r="Q2266" s="1071"/>
    </row>
    <row r="2267" spans="9:17" ht="13.9" x14ac:dyDescent="0.4">
      <c r="I2267" s="1071"/>
      <c r="J2267" s="83"/>
      <c r="K2267" s="83"/>
      <c r="L2267" s="83"/>
      <c r="M2267" s="83"/>
      <c r="N2267" s="84"/>
      <c r="O2267" s="83"/>
      <c r="P2267" s="83"/>
      <c r="Q2267" s="1071"/>
    </row>
    <row r="2268" spans="9:17" ht="13.9" x14ac:dyDescent="0.4">
      <c r="I2268" s="1071"/>
      <c r="J2268" s="78" t="str">
        <f>IF(OR(A2_Budget_Look_Up!$B$7=1,A2_Budget_Look_Up!$B$13=1),"Nematicide Detail", "Fungicide Detail")</f>
        <v>Fungicide Detail</v>
      </c>
      <c r="K2268" s="78"/>
      <c r="L2268" s="78"/>
      <c r="M2268" s="79"/>
      <c r="N2268" s="85"/>
      <c r="O2268" s="79"/>
      <c r="P2268" s="78"/>
      <c r="Q2268" s="1071"/>
    </row>
    <row r="2269" spans="9:17" ht="13.9" x14ac:dyDescent="0.4">
      <c r="I2269" s="1071"/>
      <c r="J2269" s="80" t="s">
        <v>212</v>
      </c>
      <c r="K2269" s="80" t="s">
        <v>838</v>
      </c>
      <c r="L2269" s="80" t="s">
        <v>2</v>
      </c>
      <c r="M2269" s="80" t="s">
        <v>21</v>
      </c>
      <c r="N2269" s="80" t="s">
        <v>174</v>
      </c>
      <c r="O2269" s="80" t="s">
        <v>14</v>
      </c>
      <c r="P2269" s="80" t="s">
        <v>890</v>
      </c>
      <c r="Q2269" s="1071"/>
    </row>
    <row r="2270" spans="9:17" ht="13.9" x14ac:dyDescent="0.4">
      <c r="I2270" s="1073">
        <f>IF($A$1=37,I2265+1,0)</f>
        <v>0</v>
      </c>
      <c r="J2270" s="156" t="str">
        <f>A4_Chem_Prices!N$32</f>
        <v>Quadris Top</v>
      </c>
      <c r="K2270" s="1350" t="s">
        <v>839</v>
      </c>
      <c r="L2270" s="158" t="str">
        <f>A4_Chem_Prices!O$32</f>
        <v>oz</v>
      </c>
      <c r="M2270" s="159">
        <f>A4_Chem_Prices!P$32</f>
        <v>1.315390625</v>
      </c>
      <c r="N2270" s="157">
        <v>10</v>
      </c>
      <c r="O2270" s="82">
        <f>M2270*N2270</f>
        <v>13.15390625</v>
      </c>
      <c r="P2270" s="1449">
        <f>N2270</f>
        <v>10</v>
      </c>
      <c r="Q2270" s="1071">
        <f>Q2265</f>
        <v>0</v>
      </c>
    </row>
    <row r="2271" spans="9:17" ht="13.9" x14ac:dyDescent="0.4">
      <c r="I2271" s="1073">
        <f>IF($A$1=37,I2270+1,0)</f>
        <v>0</v>
      </c>
      <c r="J2271" s="156" t="s">
        <v>19</v>
      </c>
      <c r="K2271" s="1350" t="s">
        <v>839</v>
      </c>
      <c r="L2271" s="158"/>
      <c r="M2271" s="159">
        <v>0</v>
      </c>
      <c r="N2271" s="157">
        <v>0</v>
      </c>
      <c r="O2271" s="82">
        <f>M2271*N2271</f>
        <v>0</v>
      </c>
      <c r="P2271" s="158"/>
      <c r="Q2271" s="1071">
        <f>Q2270</f>
        <v>0</v>
      </c>
    </row>
    <row r="2272" spans="9:17" ht="13.9" x14ac:dyDescent="0.4">
      <c r="I2272" s="1071"/>
      <c r="J2272" s="86" t="s">
        <v>22</v>
      </c>
      <c r="K2272" s="86"/>
      <c r="L2272" s="86"/>
      <c r="M2272" s="81"/>
      <c r="N2272" s="87"/>
      <c r="O2272" s="88">
        <f>SUM(O2270:O2271)</f>
        <v>13.15390625</v>
      </c>
      <c r="P2272" s="86"/>
      <c r="Q2272" s="1071"/>
    </row>
    <row r="2274" spans="9:17" ht="13.9" x14ac:dyDescent="0.4">
      <c r="I2274" s="1071"/>
      <c r="J2274" s="78" t="str">
        <f>IF(A2_Budget_Look_Up!$B$7=1,"Growth Regulator Detail", IF(A2_Budget_Look_Up!$B$13=1,"Fungicide Detail","Other Chemical Detail"))</f>
        <v>Other Chemical Detail</v>
      </c>
      <c r="K2274" s="78"/>
      <c r="L2274" s="78"/>
      <c r="M2274" s="79"/>
      <c r="N2274" s="85"/>
      <c r="O2274" s="79"/>
      <c r="P2274" s="78"/>
      <c r="Q2274" s="1071"/>
    </row>
    <row r="2275" spans="9:17" ht="13.9" x14ac:dyDescent="0.4">
      <c r="I2275" s="1071"/>
      <c r="J2275" s="80" t="s">
        <v>212</v>
      </c>
      <c r="K2275" s="80" t="s">
        <v>838</v>
      </c>
      <c r="L2275" s="80" t="s">
        <v>2</v>
      </c>
      <c r="M2275" s="80" t="s">
        <v>21</v>
      </c>
      <c r="N2275" s="80" t="s">
        <v>174</v>
      </c>
      <c r="O2275" s="80" t="s">
        <v>14</v>
      </c>
      <c r="P2275" s="80" t="s">
        <v>890</v>
      </c>
      <c r="Q2275" s="1071"/>
    </row>
    <row r="2276" spans="9:17" ht="13.9" x14ac:dyDescent="0.4">
      <c r="I2276" s="1073">
        <f>IF($A$1=37,I2271+1,0)</f>
        <v>0</v>
      </c>
      <c r="J2276" s="156" t="s">
        <v>19</v>
      </c>
      <c r="K2276" s="1350" t="s">
        <v>839</v>
      </c>
      <c r="L2276" s="158"/>
      <c r="M2276" s="159">
        <v>0</v>
      </c>
      <c r="N2276" s="157">
        <v>0</v>
      </c>
      <c r="O2276" s="82">
        <f t="shared" ref="O2276:O2282" si="451">M2276*N2276</f>
        <v>0</v>
      </c>
      <c r="P2276" s="158"/>
      <c r="Q2276" s="1071">
        <f>Q2271</f>
        <v>0</v>
      </c>
    </row>
    <row r="2277" spans="9:17" ht="13.9" x14ac:dyDescent="0.4">
      <c r="I2277" s="1073">
        <f t="shared" ref="I2277:I2282" si="452">IF($A$1=37,I2276+1,0)</f>
        <v>0</v>
      </c>
      <c r="J2277" s="156" t="s">
        <v>19</v>
      </c>
      <c r="K2277" s="1350" t="s">
        <v>839</v>
      </c>
      <c r="L2277" s="158"/>
      <c r="M2277" s="159">
        <v>0</v>
      </c>
      <c r="N2277" s="157">
        <v>0</v>
      </c>
      <c r="O2277" s="82">
        <f t="shared" si="451"/>
        <v>0</v>
      </c>
      <c r="P2277" s="158"/>
      <c r="Q2277" s="1071">
        <f t="shared" ref="Q2277:Q2282" si="453">Q2276</f>
        <v>0</v>
      </c>
    </row>
    <row r="2278" spans="9:17" ht="13.9" x14ac:dyDescent="0.4">
      <c r="I2278" s="1073">
        <f t="shared" si="452"/>
        <v>0</v>
      </c>
      <c r="J2278" s="156" t="s">
        <v>19</v>
      </c>
      <c r="K2278" s="1350" t="s">
        <v>839</v>
      </c>
      <c r="L2278" s="158"/>
      <c r="M2278" s="159">
        <v>0</v>
      </c>
      <c r="N2278" s="157">
        <v>0</v>
      </c>
      <c r="O2278" s="82">
        <f t="shared" si="451"/>
        <v>0</v>
      </c>
      <c r="P2278" s="158"/>
      <c r="Q2278" s="1071">
        <f t="shared" si="453"/>
        <v>0</v>
      </c>
    </row>
    <row r="2279" spans="9:17" ht="13.9" x14ac:dyDescent="0.4">
      <c r="I2279" s="1073">
        <f t="shared" si="452"/>
        <v>0</v>
      </c>
      <c r="J2279" s="156" t="s">
        <v>19</v>
      </c>
      <c r="K2279" s="1350" t="s">
        <v>839</v>
      </c>
      <c r="L2279" s="158"/>
      <c r="M2279" s="159">
        <v>0</v>
      </c>
      <c r="N2279" s="157">
        <v>0</v>
      </c>
      <c r="O2279" s="82">
        <f t="shared" si="451"/>
        <v>0</v>
      </c>
      <c r="P2279" s="158"/>
      <c r="Q2279" s="1071">
        <f t="shared" si="453"/>
        <v>0</v>
      </c>
    </row>
    <row r="2280" spans="9:17" ht="13.9" x14ac:dyDescent="0.4">
      <c r="I2280" s="1073">
        <f t="shared" si="452"/>
        <v>0</v>
      </c>
      <c r="J2280" s="156" t="s">
        <v>19</v>
      </c>
      <c r="K2280" s="1350" t="s">
        <v>839</v>
      </c>
      <c r="L2280" s="158"/>
      <c r="M2280" s="159">
        <v>0</v>
      </c>
      <c r="N2280" s="157">
        <v>0</v>
      </c>
      <c r="O2280" s="82">
        <f t="shared" si="451"/>
        <v>0</v>
      </c>
      <c r="P2280" s="158"/>
      <c r="Q2280" s="1071">
        <f t="shared" si="453"/>
        <v>0</v>
      </c>
    </row>
    <row r="2281" spans="9:17" ht="13.9" x14ac:dyDescent="0.4">
      <c r="I2281" s="1073">
        <f t="shared" si="452"/>
        <v>0</v>
      </c>
      <c r="J2281" s="156" t="s">
        <v>19</v>
      </c>
      <c r="K2281" s="1350" t="s">
        <v>839</v>
      </c>
      <c r="L2281" s="158"/>
      <c r="M2281" s="159">
        <v>0</v>
      </c>
      <c r="N2281" s="157">
        <v>0</v>
      </c>
      <c r="O2281" s="82">
        <f t="shared" si="451"/>
        <v>0</v>
      </c>
      <c r="P2281" s="158"/>
      <c r="Q2281" s="1071">
        <f t="shared" si="453"/>
        <v>0</v>
      </c>
    </row>
    <row r="2282" spans="9:17" ht="13.9" x14ac:dyDescent="0.4">
      <c r="I2282" s="1073">
        <f t="shared" si="452"/>
        <v>0</v>
      </c>
      <c r="J2282" s="156" t="s">
        <v>19</v>
      </c>
      <c r="K2282" s="1350" t="s">
        <v>839</v>
      </c>
      <c r="L2282" s="158"/>
      <c r="M2282" s="159">
        <v>0</v>
      </c>
      <c r="N2282" s="157">
        <v>0</v>
      </c>
      <c r="O2282" s="82">
        <f t="shared" si="451"/>
        <v>0</v>
      </c>
      <c r="P2282" s="158"/>
      <c r="Q2282" s="1071">
        <f t="shared" si="453"/>
        <v>0</v>
      </c>
    </row>
    <row r="2283" spans="9:17" ht="13.9" x14ac:dyDescent="0.4">
      <c r="I2283" s="1071"/>
      <c r="J2283" s="86" t="s">
        <v>22</v>
      </c>
      <c r="K2283" s="86"/>
      <c r="L2283" s="86"/>
      <c r="M2283" s="81"/>
      <c r="N2283" s="87"/>
      <c r="O2283" s="88">
        <f>SUM(O2276:O2282)</f>
        <v>0</v>
      </c>
      <c r="P2283" s="86"/>
      <c r="Q2283" s="1071"/>
    </row>
    <row r="2284" spans="9:17" ht="13.9" x14ac:dyDescent="0.4">
      <c r="I2284" s="1071"/>
      <c r="J2284" s="83"/>
      <c r="K2284" s="83"/>
      <c r="L2284" s="83"/>
      <c r="M2284" s="83"/>
      <c r="N2284" s="84"/>
      <c r="O2284" s="83"/>
      <c r="P2284" s="83"/>
      <c r="Q2284" s="1071"/>
    </row>
    <row r="2285" spans="9:17" ht="13.9" x14ac:dyDescent="0.4">
      <c r="I2285" s="1071"/>
      <c r="J2285" s="78" t="str">
        <f>IF(A2_Budget_Look_Up!$B$7=1,"Defoliant Detail", "Other Chemical Detail")</f>
        <v>Other Chemical Detail</v>
      </c>
      <c r="K2285" s="78"/>
      <c r="L2285" s="78"/>
      <c r="M2285" s="79"/>
      <c r="N2285" s="85"/>
      <c r="O2285" s="79"/>
      <c r="P2285" s="78"/>
      <c r="Q2285" s="1071"/>
    </row>
    <row r="2286" spans="9:17" ht="13.9" x14ac:dyDescent="0.4">
      <c r="I2286" s="1071"/>
      <c r="J2286" s="80" t="s">
        <v>212</v>
      </c>
      <c r="K2286" s="80" t="s">
        <v>838</v>
      </c>
      <c r="L2286" s="80" t="s">
        <v>2</v>
      </c>
      <c r="M2286" s="80" t="s">
        <v>21</v>
      </c>
      <c r="N2286" s="80" t="s">
        <v>174</v>
      </c>
      <c r="O2286" s="80" t="s">
        <v>14</v>
      </c>
      <c r="P2286" s="80" t="s">
        <v>890</v>
      </c>
      <c r="Q2286" s="1071"/>
    </row>
    <row r="2287" spans="9:17" ht="13.9" x14ac:dyDescent="0.4">
      <c r="I2287" s="1073">
        <f>IF($A$1=37,I2282+1,0)</f>
        <v>0</v>
      </c>
      <c r="J2287" s="156" t="s">
        <v>19</v>
      </c>
      <c r="K2287" s="1350" t="s">
        <v>839</v>
      </c>
      <c r="L2287" s="158"/>
      <c r="M2287" s="159">
        <v>0</v>
      </c>
      <c r="N2287" s="157">
        <v>0</v>
      </c>
      <c r="O2287" s="82">
        <f t="shared" ref="O2287:O2293" si="454">M2287*N2287</f>
        <v>0</v>
      </c>
      <c r="P2287" s="158"/>
      <c r="Q2287" s="1071">
        <f>Q2282</f>
        <v>0</v>
      </c>
    </row>
    <row r="2288" spans="9:17" ht="13.9" x14ac:dyDescent="0.4">
      <c r="I2288" s="1073">
        <f t="shared" ref="I2288:I2293" si="455">IF($A$1=37,I2287+1,0)</f>
        <v>0</v>
      </c>
      <c r="J2288" s="156" t="s">
        <v>19</v>
      </c>
      <c r="K2288" s="1350" t="s">
        <v>839</v>
      </c>
      <c r="L2288" s="158"/>
      <c r="M2288" s="159">
        <v>0</v>
      </c>
      <c r="N2288" s="157">
        <v>0</v>
      </c>
      <c r="O2288" s="82">
        <f t="shared" si="454"/>
        <v>0</v>
      </c>
      <c r="P2288" s="158"/>
      <c r="Q2288" s="1071">
        <f t="shared" ref="Q2288:Q2293" si="456">Q2287</f>
        <v>0</v>
      </c>
    </row>
    <row r="2289" spans="9:17" ht="13.9" x14ac:dyDescent="0.4">
      <c r="I2289" s="1073">
        <f t="shared" si="455"/>
        <v>0</v>
      </c>
      <c r="J2289" s="156" t="s">
        <v>19</v>
      </c>
      <c r="K2289" s="1350" t="s">
        <v>839</v>
      </c>
      <c r="L2289" s="158"/>
      <c r="M2289" s="159">
        <v>0</v>
      </c>
      <c r="N2289" s="157">
        <v>0</v>
      </c>
      <c r="O2289" s="82">
        <f t="shared" si="454"/>
        <v>0</v>
      </c>
      <c r="P2289" s="158"/>
      <c r="Q2289" s="1071">
        <f t="shared" si="456"/>
        <v>0</v>
      </c>
    </row>
    <row r="2290" spans="9:17" ht="13.9" x14ac:dyDescent="0.4">
      <c r="I2290" s="1073">
        <f t="shared" si="455"/>
        <v>0</v>
      </c>
      <c r="J2290" s="156" t="s">
        <v>19</v>
      </c>
      <c r="K2290" s="1350" t="s">
        <v>839</v>
      </c>
      <c r="L2290" s="158"/>
      <c r="M2290" s="159">
        <v>0</v>
      </c>
      <c r="N2290" s="157">
        <v>0</v>
      </c>
      <c r="O2290" s="82">
        <f t="shared" si="454"/>
        <v>0</v>
      </c>
      <c r="P2290" s="158"/>
      <c r="Q2290" s="1071">
        <f t="shared" si="456"/>
        <v>0</v>
      </c>
    </row>
    <row r="2291" spans="9:17" ht="13.9" x14ac:dyDescent="0.4">
      <c r="I2291" s="1073">
        <f t="shared" si="455"/>
        <v>0</v>
      </c>
      <c r="J2291" s="156" t="s">
        <v>19</v>
      </c>
      <c r="K2291" s="1350" t="s">
        <v>839</v>
      </c>
      <c r="L2291" s="158"/>
      <c r="M2291" s="159">
        <v>0</v>
      </c>
      <c r="N2291" s="157">
        <v>0</v>
      </c>
      <c r="O2291" s="82">
        <f t="shared" si="454"/>
        <v>0</v>
      </c>
      <c r="P2291" s="158"/>
      <c r="Q2291" s="1071">
        <f t="shared" si="456"/>
        <v>0</v>
      </c>
    </row>
    <row r="2292" spans="9:17" ht="13.9" x14ac:dyDescent="0.4">
      <c r="I2292" s="1073">
        <f t="shared" si="455"/>
        <v>0</v>
      </c>
      <c r="J2292" s="156" t="s">
        <v>19</v>
      </c>
      <c r="K2292" s="1350" t="s">
        <v>839</v>
      </c>
      <c r="L2292" s="158"/>
      <c r="M2292" s="159">
        <v>0</v>
      </c>
      <c r="N2292" s="157">
        <v>0</v>
      </c>
      <c r="O2292" s="82">
        <f t="shared" si="454"/>
        <v>0</v>
      </c>
      <c r="P2292" s="158"/>
      <c r="Q2292" s="1071">
        <f t="shared" si="456"/>
        <v>0</v>
      </c>
    </row>
    <row r="2293" spans="9:17" ht="13.9" x14ac:dyDescent="0.4">
      <c r="I2293" s="1073">
        <f t="shared" si="455"/>
        <v>0</v>
      </c>
      <c r="J2293" s="156" t="s">
        <v>19</v>
      </c>
      <c r="K2293" s="1350" t="s">
        <v>839</v>
      </c>
      <c r="L2293" s="158"/>
      <c r="M2293" s="159">
        <v>0</v>
      </c>
      <c r="N2293" s="157">
        <v>0</v>
      </c>
      <c r="O2293" s="82">
        <f t="shared" si="454"/>
        <v>0</v>
      </c>
      <c r="P2293" s="158"/>
      <c r="Q2293" s="1071">
        <f t="shared" si="456"/>
        <v>0</v>
      </c>
    </row>
    <row r="2294" spans="9:17" ht="13.9" x14ac:dyDescent="0.4">
      <c r="I2294" s="1071"/>
      <c r="J2294" s="86" t="s">
        <v>22</v>
      </c>
      <c r="K2294" s="86"/>
      <c r="L2294" s="86"/>
      <c r="M2294" s="81"/>
      <c r="N2294" s="87"/>
      <c r="O2294" s="88">
        <f>SUM(O2287:O2293)</f>
        <v>0</v>
      </c>
      <c r="P2294" s="86"/>
      <c r="Q2294" s="1071"/>
    </row>
    <row r="2295" spans="9:17" ht="13.9" x14ac:dyDescent="0.4">
      <c r="I2295" s="1071"/>
      <c r="J2295" s="83"/>
      <c r="K2295" s="83"/>
      <c r="L2295" s="83"/>
      <c r="M2295" s="89"/>
      <c r="N2295" s="84"/>
      <c r="O2295" s="89"/>
      <c r="P2295" s="83"/>
      <c r="Q2295" s="1071"/>
    </row>
    <row r="2296" spans="9:17" ht="13.9" x14ac:dyDescent="0.4">
      <c r="I2296" s="1071"/>
      <c r="J2296" s="1168" t="str">
        <f>A2_Budget_Look_Up!H40</f>
        <v>Conventional Cotton, Pivot</v>
      </c>
      <c r="K2296" s="1168"/>
      <c r="L2296" s="1168">
        <f>A2_Budget_Look_Up!F40</f>
        <v>38</v>
      </c>
      <c r="M2296" s="1168"/>
      <c r="N2296" s="1168"/>
      <c r="O2296" s="1168"/>
      <c r="P2296" s="1168"/>
      <c r="Q2296" s="1071"/>
    </row>
    <row r="2297" spans="9:17" ht="13.9" x14ac:dyDescent="0.4">
      <c r="I2297" s="1071"/>
      <c r="J2297" s="83"/>
      <c r="K2297" s="83"/>
      <c r="L2297" s="83"/>
      <c r="M2297" s="83"/>
      <c r="N2297" s="84"/>
      <c r="O2297" s="83"/>
      <c r="P2297" s="83"/>
      <c r="Q2297" s="1071"/>
    </row>
    <row r="2298" spans="9:17" ht="13.9" x14ac:dyDescent="0.4">
      <c r="I2298" s="1071"/>
      <c r="J2298" s="78" t="s">
        <v>18</v>
      </c>
      <c r="K2298" s="78"/>
      <c r="L2298" s="78"/>
      <c r="M2298" s="79"/>
      <c r="N2298" s="85"/>
      <c r="O2298" s="79"/>
      <c r="P2298" s="78"/>
      <c r="Q2298" s="1071"/>
    </row>
    <row r="2299" spans="9:17" ht="13.9" x14ac:dyDescent="0.4">
      <c r="I2299" s="1071"/>
      <c r="J2299" s="80" t="s">
        <v>212</v>
      </c>
      <c r="K2299" s="80" t="s">
        <v>838</v>
      </c>
      <c r="L2299" s="80" t="s">
        <v>2</v>
      </c>
      <c r="M2299" s="80" t="s">
        <v>21</v>
      </c>
      <c r="N2299" s="80" t="s">
        <v>174</v>
      </c>
      <c r="O2299" s="80" t="s">
        <v>14</v>
      </c>
      <c r="P2299" s="80" t="s">
        <v>890</v>
      </c>
      <c r="Q2299" s="1071"/>
    </row>
    <row r="2300" spans="9:17" ht="13.9" x14ac:dyDescent="0.4">
      <c r="I2300" s="1073">
        <f>IF($A$1=38,1,0)</f>
        <v>0</v>
      </c>
      <c r="J2300" s="159" t="str">
        <f>A4_Chem_Prices!E$2</f>
        <v>Roundup Powermax 3</v>
      </c>
      <c r="K2300" s="1350" t="s">
        <v>839</v>
      </c>
      <c r="L2300" s="158" t="str">
        <f>A4_Chem_Prices!F$2</f>
        <v>pt</v>
      </c>
      <c r="M2300" s="159">
        <f>A4_Chem_Prices!G$2</f>
        <v>2.25</v>
      </c>
      <c r="N2300" s="159">
        <v>2</v>
      </c>
      <c r="O2300" s="82">
        <f t="shared" ref="O2300:O2313" si="457">M2300*N2300</f>
        <v>4.5</v>
      </c>
      <c r="P2300" s="160">
        <f>N2300*16</f>
        <v>32</v>
      </c>
      <c r="Q2300" s="1171">
        <f>IF(SUM(I2300:I2355)=820,L2296,0)</f>
        <v>0</v>
      </c>
    </row>
    <row r="2301" spans="9:17" ht="13.9" x14ac:dyDescent="0.4">
      <c r="I2301" s="1073">
        <f t="shared" ref="I2301:I2313" si="458">IF($A$1=38,I2300+1,0)</f>
        <v>0</v>
      </c>
      <c r="J2301" s="159" t="str">
        <f>A4_Chem_Prices!E$3</f>
        <v>Dicamba</v>
      </c>
      <c r="K2301" s="1350" t="s">
        <v>839</v>
      </c>
      <c r="L2301" s="158" t="str">
        <f>A4_Chem_Prices!F$3</f>
        <v>oz</v>
      </c>
      <c r="M2301" s="159">
        <f>A4_Chem_Prices!G$3</f>
        <v>0</v>
      </c>
      <c r="N2301" s="159">
        <v>0</v>
      </c>
      <c r="O2301" s="82">
        <f t="shared" si="457"/>
        <v>0</v>
      </c>
      <c r="P2301" s="1449">
        <f>N2301</f>
        <v>0</v>
      </c>
      <c r="Q2301" s="1071">
        <f>Q2300</f>
        <v>0</v>
      </c>
    </row>
    <row r="2302" spans="9:17" ht="13.9" x14ac:dyDescent="0.4">
      <c r="I2302" s="1073">
        <f t="shared" si="458"/>
        <v>0</v>
      </c>
      <c r="J2302" s="159" t="str">
        <f>A4_Chem_Prices!E$2</f>
        <v>Roundup Powermax 3</v>
      </c>
      <c r="K2302" s="1350" t="s">
        <v>839</v>
      </c>
      <c r="L2302" s="158" t="str">
        <f>A4_Chem_Prices!F$2</f>
        <v>pt</v>
      </c>
      <c r="M2302" s="159">
        <f>A4_Chem_Prices!G$2</f>
        <v>2.25</v>
      </c>
      <c r="N2302" s="157">
        <v>2</v>
      </c>
      <c r="O2302" s="82">
        <f t="shared" si="457"/>
        <v>4.5</v>
      </c>
      <c r="P2302" s="160">
        <f>N2302*16</f>
        <v>32</v>
      </c>
      <c r="Q2302" s="1071">
        <f t="shared" ref="Q2302:Q2313" si="459">Q2301</f>
        <v>0</v>
      </c>
    </row>
    <row r="2303" spans="9:17" ht="13.9" x14ac:dyDescent="0.4">
      <c r="I2303" s="1073">
        <f t="shared" si="458"/>
        <v>0</v>
      </c>
      <c r="J2303" s="159" t="str">
        <f>A4_Chem_Prices!E$4</f>
        <v>Fomesafen</v>
      </c>
      <c r="K2303" s="1350" t="s">
        <v>839</v>
      </c>
      <c r="L2303" s="158" t="str">
        <f>A4_Chem_Prices!F$4</f>
        <v>pt</v>
      </c>
      <c r="M2303" s="159">
        <f>A4_Chem_Prices!G$4</f>
        <v>6.25</v>
      </c>
      <c r="N2303" s="157">
        <v>1</v>
      </c>
      <c r="O2303" s="82">
        <f t="shared" si="457"/>
        <v>6.25</v>
      </c>
      <c r="P2303" s="160">
        <f>N2303*16</f>
        <v>16</v>
      </c>
      <c r="Q2303" s="1071">
        <f t="shared" si="459"/>
        <v>0</v>
      </c>
    </row>
    <row r="2304" spans="9:17" ht="13.9" x14ac:dyDescent="0.4">
      <c r="I2304" s="1073">
        <f t="shared" si="458"/>
        <v>0</v>
      </c>
      <c r="J2304" s="159" t="str">
        <f>A4_Chem_Prices!E$5</f>
        <v>Cotoran</v>
      </c>
      <c r="K2304" s="1350" t="s">
        <v>839</v>
      </c>
      <c r="L2304" s="160" t="str">
        <f>A4_Chem_Prices!F$5</f>
        <v>pt</v>
      </c>
      <c r="M2304" s="159">
        <f>A4_Chem_Prices!G$5</f>
        <v>2.5</v>
      </c>
      <c r="N2304" s="157">
        <v>1.6</v>
      </c>
      <c r="O2304" s="82">
        <f t="shared" si="457"/>
        <v>4</v>
      </c>
      <c r="P2304" s="160">
        <f>N2304*16</f>
        <v>25.6</v>
      </c>
      <c r="Q2304" s="1071">
        <f t="shared" si="459"/>
        <v>0</v>
      </c>
    </row>
    <row r="2305" spans="9:17" ht="13.9" x14ac:dyDescent="0.4">
      <c r="I2305" s="1073">
        <f t="shared" si="458"/>
        <v>0</v>
      </c>
      <c r="J2305" s="159" t="str">
        <f>A4_Chem_Prices!E$6</f>
        <v>Gramoxone</v>
      </c>
      <c r="K2305" s="1350" t="s">
        <v>839</v>
      </c>
      <c r="L2305" s="158" t="str">
        <f>A4_Chem_Prices!F$6</f>
        <v>oz</v>
      </c>
      <c r="M2305" s="159">
        <f>A4_Chem_Prices!G$6</f>
        <v>0.23046875</v>
      </c>
      <c r="N2305" s="157">
        <v>32</v>
      </c>
      <c r="O2305" s="82">
        <f t="shared" si="457"/>
        <v>7.375</v>
      </c>
      <c r="P2305" s="1449">
        <f>N2305</f>
        <v>32</v>
      </c>
      <c r="Q2305" s="1071">
        <f t="shared" si="459"/>
        <v>0</v>
      </c>
    </row>
    <row r="2306" spans="9:17" ht="13.9" x14ac:dyDescent="0.4">
      <c r="I2306" s="1073">
        <f t="shared" si="458"/>
        <v>0</v>
      </c>
      <c r="J2306" s="159" t="str">
        <f>A4_Chem_Prices!E$11</f>
        <v>Staple</v>
      </c>
      <c r="K2306" s="1350" t="s">
        <v>839</v>
      </c>
      <c r="L2306" s="160" t="str">
        <f>A4_Chem_Prices!F$11</f>
        <v>oz</v>
      </c>
      <c r="M2306" s="159">
        <f>A4_Chem_Prices!G$11</f>
        <v>0.78125</v>
      </c>
      <c r="N2306" s="157">
        <v>12</v>
      </c>
      <c r="O2306" s="82">
        <f t="shared" si="457"/>
        <v>9.375</v>
      </c>
      <c r="P2306" s="1449">
        <f>N2306</f>
        <v>12</v>
      </c>
      <c r="Q2306" s="1071">
        <f t="shared" si="459"/>
        <v>0</v>
      </c>
    </row>
    <row r="2307" spans="9:17" ht="13.9" x14ac:dyDescent="0.4">
      <c r="I2307" s="1073">
        <f t="shared" si="458"/>
        <v>0</v>
      </c>
      <c r="J2307" s="159" t="str">
        <f>A4_Chem_Prices!E$7</f>
        <v>Metolachlor</v>
      </c>
      <c r="K2307" s="1350" t="s">
        <v>839</v>
      </c>
      <c r="L2307" s="160" t="str">
        <f>A4_Chem_Prices!F$7</f>
        <v>pt</v>
      </c>
      <c r="M2307" s="159">
        <f>A4_Chem_Prices!G$7</f>
        <v>5.0387500000000003</v>
      </c>
      <c r="N2307" s="157">
        <v>1</v>
      </c>
      <c r="O2307" s="82">
        <f t="shared" si="457"/>
        <v>5.0387500000000003</v>
      </c>
      <c r="P2307" s="160">
        <f>N2307*16</f>
        <v>16</v>
      </c>
      <c r="Q2307" s="1071">
        <f t="shared" si="459"/>
        <v>0</v>
      </c>
    </row>
    <row r="2308" spans="9:17" ht="13.9" x14ac:dyDescent="0.4">
      <c r="I2308" s="1073">
        <f t="shared" si="458"/>
        <v>0</v>
      </c>
      <c r="J2308" s="159" t="str">
        <f>A4_Chem_Prices!E$7</f>
        <v>Metolachlor</v>
      </c>
      <c r="K2308" s="1350" t="s">
        <v>839</v>
      </c>
      <c r="L2308" s="160" t="str">
        <f>A4_Chem_Prices!F$7</f>
        <v>pt</v>
      </c>
      <c r="M2308" s="159">
        <f>A4_Chem_Prices!G$7</f>
        <v>5.0387500000000003</v>
      </c>
      <c r="N2308" s="157">
        <v>1</v>
      </c>
      <c r="O2308" s="82">
        <f t="shared" si="457"/>
        <v>5.0387500000000003</v>
      </c>
      <c r="P2308" s="160">
        <f>N2308*16</f>
        <v>16</v>
      </c>
      <c r="Q2308" s="1071">
        <f t="shared" si="459"/>
        <v>0</v>
      </c>
    </row>
    <row r="2309" spans="9:17" ht="13.9" x14ac:dyDescent="0.4">
      <c r="I2309" s="1073">
        <f t="shared" si="458"/>
        <v>0</v>
      </c>
      <c r="J2309" s="159" t="str">
        <f>A4_Chem_Prices!E$12</f>
        <v>Envoke</v>
      </c>
      <c r="K2309" s="1350" t="s">
        <v>839</v>
      </c>
      <c r="L2309" s="160" t="str">
        <f>A4_Chem_Prices!F$12</f>
        <v>oz</v>
      </c>
      <c r="M2309" s="159">
        <f>A4_Chem_Prices!G$12</f>
        <v>92.95</v>
      </c>
      <c r="N2309" s="157">
        <v>0.1</v>
      </c>
      <c r="O2309" s="82">
        <f t="shared" si="457"/>
        <v>9.2949999999999999</v>
      </c>
      <c r="P2309" s="1449">
        <f>N2309</f>
        <v>0.1</v>
      </c>
      <c r="Q2309" s="1071">
        <f t="shared" si="459"/>
        <v>0</v>
      </c>
    </row>
    <row r="2310" spans="9:17" ht="13.9" x14ac:dyDescent="0.4">
      <c r="I2310" s="1073">
        <f t="shared" si="458"/>
        <v>0</v>
      </c>
      <c r="J2310" s="159" t="str">
        <f>A4_Chem_Prices!E$7</f>
        <v>Metolachlor</v>
      </c>
      <c r="K2310" s="1350" t="s">
        <v>839</v>
      </c>
      <c r="L2310" s="160" t="str">
        <f>A4_Chem_Prices!F$7</f>
        <v>pt</v>
      </c>
      <c r="M2310" s="159">
        <f>A4_Chem_Prices!G$7</f>
        <v>5.0387500000000003</v>
      </c>
      <c r="N2310" s="157">
        <v>1</v>
      </c>
      <c r="O2310" s="82">
        <f t="shared" si="457"/>
        <v>5.0387500000000003</v>
      </c>
      <c r="P2310" s="160">
        <f>N2310*16</f>
        <v>16</v>
      </c>
      <c r="Q2310" s="1071">
        <f t="shared" si="459"/>
        <v>0</v>
      </c>
    </row>
    <row r="2311" spans="9:17" ht="13.9" x14ac:dyDescent="0.4">
      <c r="I2311" s="1073">
        <f t="shared" si="458"/>
        <v>0</v>
      </c>
      <c r="J2311" s="159" t="str">
        <f>A4_Chem_Prices!E$13</f>
        <v>Caparol</v>
      </c>
      <c r="K2311" s="1350" t="s">
        <v>839</v>
      </c>
      <c r="L2311" s="160" t="str">
        <f>A4_Chem_Prices!F$13</f>
        <v>pt</v>
      </c>
      <c r="M2311" s="159">
        <f>A4_Chem_Prices!G$13</f>
        <v>3.125</v>
      </c>
      <c r="N2311" s="157">
        <v>1.5</v>
      </c>
      <c r="O2311" s="82">
        <f t="shared" si="457"/>
        <v>4.6875</v>
      </c>
      <c r="P2311" s="160">
        <f>N2311*16</f>
        <v>24</v>
      </c>
      <c r="Q2311" s="1071">
        <f t="shared" si="459"/>
        <v>0</v>
      </c>
    </row>
    <row r="2312" spans="9:17" ht="13.9" x14ac:dyDescent="0.4">
      <c r="I2312" s="1073">
        <f t="shared" si="458"/>
        <v>0</v>
      </c>
      <c r="J2312" s="159" t="str">
        <f>A4_Chem_Prices!E$8</f>
        <v>Direx</v>
      </c>
      <c r="K2312" s="1350" t="s">
        <v>839</v>
      </c>
      <c r="L2312" s="160" t="str">
        <f>A4_Chem_Prices!F$8</f>
        <v>pt</v>
      </c>
      <c r="M2312" s="159">
        <f>A4_Chem_Prices!G$8</f>
        <v>4.4637500000000001</v>
      </c>
      <c r="N2312" s="157">
        <v>2</v>
      </c>
      <c r="O2312" s="82">
        <f t="shared" si="457"/>
        <v>8.9275000000000002</v>
      </c>
      <c r="P2312" s="1449">
        <f>N2312</f>
        <v>2</v>
      </c>
      <c r="Q2312" s="1071">
        <f t="shared" si="459"/>
        <v>0</v>
      </c>
    </row>
    <row r="2313" spans="9:17" ht="13.9" x14ac:dyDescent="0.4">
      <c r="I2313" s="1073">
        <f t="shared" si="458"/>
        <v>0</v>
      </c>
      <c r="J2313" s="159" t="str">
        <f>A4_Chem_Prices!E$9</f>
        <v>MSMA 6</v>
      </c>
      <c r="K2313" s="1350" t="s">
        <v>839</v>
      </c>
      <c r="L2313" s="160" t="str">
        <f>A4_Chem_Prices!F$9</f>
        <v>qt</v>
      </c>
      <c r="M2313" s="160">
        <f>A4_Chem_Prices!G$9</f>
        <v>14.375</v>
      </c>
      <c r="N2313" s="157">
        <v>1.5</v>
      </c>
      <c r="O2313" s="82">
        <f t="shared" si="457"/>
        <v>21.5625</v>
      </c>
      <c r="P2313" s="160">
        <f>N2313*32</f>
        <v>48</v>
      </c>
      <c r="Q2313" s="1071">
        <f t="shared" si="459"/>
        <v>0</v>
      </c>
    </row>
    <row r="2314" spans="9:17" ht="13.9" x14ac:dyDescent="0.4">
      <c r="I2314" s="1071"/>
      <c r="J2314" s="86" t="s">
        <v>22</v>
      </c>
      <c r="K2314" s="86"/>
      <c r="L2314" s="86"/>
      <c r="M2314" s="81"/>
      <c r="N2314" s="87"/>
      <c r="O2314" s="88">
        <f>SUM(O2300:O2313)</f>
        <v>95.58874999999999</v>
      </c>
      <c r="P2314" s="86"/>
      <c r="Q2314" s="1071"/>
    </row>
    <row r="2315" spans="9:17" ht="13.9" x14ac:dyDescent="0.4">
      <c r="I2315" s="1071"/>
      <c r="J2315" s="83"/>
      <c r="K2315" s="83"/>
      <c r="L2315" s="83"/>
      <c r="M2315" s="83"/>
      <c r="N2315" s="84"/>
      <c r="O2315" s="83"/>
      <c r="P2315" s="83"/>
      <c r="Q2315" s="1071"/>
    </row>
    <row r="2316" spans="9:17" ht="13.9" x14ac:dyDescent="0.4">
      <c r="I2316" s="1071"/>
      <c r="J2316" s="78" t="s">
        <v>20</v>
      </c>
      <c r="K2316" s="78"/>
      <c r="L2316" s="78"/>
      <c r="M2316" s="79"/>
      <c r="N2316" s="85"/>
      <c r="O2316" s="79"/>
      <c r="P2316" s="78"/>
      <c r="Q2316" s="1071"/>
    </row>
    <row r="2317" spans="9:17" ht="13.9" x14ac:dyDescent="0.4">
      <c r="I2317" s="1071"/>
      <c r="J2317" s="80" t="s">
        <v>212</v>
      </c>
      <c r="K2317" s="80" t="s">
        <v>838</v>
      </c>
      <c r="L2317" s="80" t="s">
        <v>2</v>
      </c>
      <c r="M2317" s="80" t="s">
        <v>21</v>
      </c>
      <c r="N2317" s="80" t="s">
        <v>174</v>
      </c>
      <c r="O2317" s="80" t="s">
        <v>14</v>
      </c>
      <c r="P2317" s="80" t="s">
        <v>890</v>
      </c>
      <c r="Q2317" s="1071"/>
    </row>
    <row r="2318" spans="9:17" ht="13.9" x14ac:dyDescent="0.4">
      <c r="I2318" s="1073">
        <f>IF($A$1=38,I2313+1,0)</f>
        <v>0</v>
      </c>
      <c r="J2318" s="159" t="str">
        <f>A4_Chem_Prices!E$18</f>
        <v>Centric</v>
      </c>
      <c r="K2318" s="1350" t="s">
        <v>839</v>
      </c>
      <c r="L2318" s="160" t="str">
        <f>A4_Chem_Prices!F$18</f>
        <v>oz</v>
      </c>
      <c r="M2318" s="159">
        <f>A4_Chem_Prices!G$18</f>
        <v>5.95</v>
      </c>
      <c r="N2318" s="157">
        <v>2</v>
      </c>
      <c r="O2318" s="82">
        <f t="shared" ref="O2318:O2327" si="460">M2318*N2318</f>
        <v>11.9</v>
      </c>
      <c r="P2318" s="1449">
        <f t="shared" ref="P2318:P2326" si="461">N2318</f>
        <v>2</v>
      </c>
      <c r="Q2318" s="1071">
        <f>Q2300</f>
        <v>0</v>
      </c>
    </row>
    <row r="2319" spans="9:17" ht="13.9" x14ac:dyDescent="0.4">
      <c r="I2319" s="1073">
        <f t="shared" ref="I2319:I2327" si="462">IF($A$1=38,I2318+1,0)</f>
        <v>0</v>
      </c>
      <c r="J2319" s="159" t="str">
        <f>A4_Chem_Prices!E$19</f>
        <v>Diamond</v>
      </c>
      <c r="K2319" s="1350" t="s">
        <v>839</v>
      </c>
      <c r="L2319" s="160" t="str">
        <f>A4_Chem_Prices!F$19</f>
        <v>oz</v>
      </c>
      <c r="M2319" s="159">
        <f>A4_Chem_Prices!G$19</f>
        <v>1.1971354166666666</v>
      </c>
      <c r="N2319" s="157">
        <v>6</v>
      </c>
      <c r="O2319" s="82">
        <f t="shared" si="460"/>
        <v>7.1828124999999989</v>
      </c>
      <c r="P2319" s="1449">
        <f t="shared" si="461"/>
        <v>6</v>
      </c>
      <c r="Q2319" s="1071">
        <f>Q2318</f>
        <v>0</v>
      </c>
    </row>
    <row r="2320" spans="9:17" ht="13.9" x14ac:dyDescent="0.4">
      <c r="I2320" s="1073">
        <f t="shared" si="462"/>
        <v>0</v>
      </c>
      <c r="J2320" s="159" t="str">
        <f>A4_Chem_Prices!E$18</f>
        <v>Centric</v>
      </c>
      <c r="K2320" s="1350" t="s">
        <v>839</v>
      </c>
      <c r="L2320" s="160" t="str">
        <f>A4_Chem_Prices!F$18</f>
        <v>oz</v>
      </c>
      <c r="M2320" s="159">
        <f>A4_Chem_Prices!G$18</f>
        <v>5.95</v>
      </c>
      <c r="N2320" s="157">
        <v>2</v>
      </c>
      <c r="O2320" s="82">
        <f t="shared" si="460"/>
        <v>11.9</v>
      </c>
      <c r="P2320" s="1449">
        <f t="shared" si="461"/>
        <v>2</v>
      </c>
      <c r="Q2320" s="1071">
        <f t="shared" ref="Q2320:Q2327" si="463">Q2319</f>
        <v>0</v>
      </c>
    </row>
    <row r="2321" spans="9:17" ht="13.9" x14ac:dyDescent="0.4">
      <c r="I2321" s="1073">
        <f t="shared" si="462"/>
        <v>0</v>
      </c>
      <c r="J2321" s="159" t="str">
        <f>A4_Chem_Prices!E$19</f>
        <v>Diamond</v>
      </c>
      <c r="K2321" s="1350" t="s">
        <v>839</v>
      </c>
      <c r="L2321" s="160" t="str">
        <f>A4_Chem_Prices!F$19</f>
        <v>oz</v>
      </c>
      <c r="M2321" s="159">
        <f>A4_Chem_Prices!G$19</f>
        <v>1.1971354166666666</v>
      </c>
      <c r="N2321" s="157">
        <v>6</v>
      </c>
      <c r="O2321" s="82">
        <f t="shared" si="460"/>
        <v>7.1828124999999989</v>
      </c>
      <c r="P2321" s="1449">
        <f t="shared" si="461"/>
        <v>6</v>
      </c>
      <c r="Q2321" s="1071">
        <f t="shared" si="463"/>
        <v>0</v>
      </c>
    </row>
    <row r="2322" spans="9:17" ht="13.9" x14ac:dyDescent="0.4">
      <c r="I2322" s="1073">
        <f t="shared" si="462"/>
        <v>0</v>
      </c>
      <c r="J2322" s="159" t="str">
        <f>A4_Chem_Prices!E$20</f>
        <v>Transform</v>
      </c>
      <c r="K2322" s="1350" t="s">
        <v>839</v>
      </c>
      <c r="L2322" s="160" t="str">
        <f>A4_Chem_Prices!F$20</f>
        <v>oz</v>
      </c>
      <c r="M2322" s="159">
        <f>A4_Chem_Prices!G$20</f>
        <v>7.859375</v>
      </c>
      <c r="N2322" s="157">
        <v>2</v>
      </c>
      <c r="O2322" s="82">
        <f t="shared" si="460"/>
        <v>15.71875</v>
      </c>
      <c r="P2322" s="1449">
        <f t="shared" si="461"/>
        <v>2</v>
      </c>
      <c r="Q2322" s="1071">
        <f t="shared" si="463"/>
        <v>0</v>
      </c>
    </row>
    <row r="2323" spans="9:17" ht="13.9" x14ac:dyDescent="0.4">
      <c r="I2323" s="1073">
        <f t="shared" si="462"/>
        <v>0</v>
      </c>
      <c r="J2323" s="159" t="str">
        <f>A4_Chem_Prices!E$21</f>
        <v>Prevathon</v>
      </c>
      <c r="K2323" s="1350" t="s">
        <v>839</v>
      </c>
      <c r="L2323" s="160" t="str">
        <f>A4_Chem_Prices!F$21</f>
        <v>oz</v>
      </c>
      <c r="M2323" s="159">
        <f>A4_Chem_Prices!G$21</f>
        <v>1.05</v>
      </c>
      <c r="N2323" s="157">
        <v>20</v>
      </c>
      <c r="O2323" s="82">
        <f t="shared" si="460"/>
        <v>21</v>
      </c>
      <c r="P2323" s="1449">
        <f t="shared" si="461"/>
        <v>20</v>
      </c>
      <c r="Q2323" s="1071">
        <f t="shared" si="463"/>
        <v>0</v>
      </c>
    </row>
    <row r="2324" spans="9:17" ht="13.9" x14ac:dyDescent="0.4">
      <c r="I2324" s="1073">
        <f t="shared" si="462"/>
        <v>0</v>
      </c>
      <c r="J2324" s="159" t="str">
        <f>A4_Chem_Prices!E$20</f>
        <v>Transform</v>
      </c>
      <c r="K2324" s="1350" t="s">
        <v>839</v>
      </c>
      <c r="L2324" s="160" t="str">
        <f>A4_Chem_Prices!F$20</f>
        <v>oz</v>
      </c>
      <c r="M2324" s="159">
        <f>A4_Chem_Prices!G$20</f>
        <v>7.859375</v>
      </c>
      <c r="N2324" s="157">
        <v>2</v>
      </c>
      <c r="O2324" s="82">
        <f t="shared" si="460"/>
        <v>15.71875</v>
      </c>
      <c r="P2324" s="1449">
        <f t="shared" si="461"/>
        <v>2</v>
      </c>
      <c r="Q2324" s="1071">
        <f t="shared" si="463"/>
        <v>0</v>
      </c>
    </row>
    <row r="2325" spans="9:17" ht="13.9" x14ac:dyDescent="0.4">
      <c r="I2325" s="1073">
        <f t="shared" si="462"/>
        <v>0</v>
      </c>
      <c r="J2325" s="159" t="str">
        <f>A4_Chem_Prices!E$22</f>
        <v>Bidrin</v>
      </c>
      <c r="K2325" s="1350" t="s">
        <v>839</v>
      </c>
      <c r="L2325" s="160" t="str">
        <f>A4_Chem_Prices!F$22</f>
        <v>oz</v>
      </c>
      <c r="M2325" s="159">
        <f>A4_Chem_Prices!G$22</f>
        <v>1.51</v>
      </c>
      <c r="N2325" s="157">
        <v>6</v>
      </c>
      <c r="O2325" s="82">
        <f t="shared" si="460"/>
        <v>9.06</v>
      </c>
      <c r="P2325" s="1449">
        <f t="shared" si="461"/>
        <v>6</v>
      </c>
      <c r="Q2325" s="1071">
        <f t="shared" si="463"/>
        <v>0</v>
      </c>
    </row>
    <row r="2326" spans="9:17" ht="13.9" x14ac:dyDescent="0.4">
      <c r="I2326" s="1073">
        <f t="shared" si="462"/>
        <v>0</v>
      </c>
      <c r="J2326" s="159" t="str">
        <f>A4_Chem_Prices!E$23</f>
        <v>Bifenthrin</v>
      </c>
      <c r="K2326" s="1350" t="s">
        <v>839</v>
      </c>
      <c r="L2326" s="160" t="str">
        <f>A4_Chem_Prices!F$23</f>
        <v>oz</v>
      </c>
      <c r="M2326" s="159">
        <f>A4_Chem_Prices!G$23</f>
        <v>0.56000000000000005</v>
      </c>
      <c r="N2326" s="157">
        <v>3.6</v>
      </c>
      <c r="O2326" s="82">
        <f t="shared" si="460"/>
        <v>2.0160000000000005</v>
      </c>
      <c r="P2326" s="1449">
        <f t="shared" si="461"/>
        <v>3.6</v>
      </c>
      <c r="Q2326" s="1071">
        <f t="shared" si="463"/>
        <v>0</v>
      </c>
    </row>
    <row r="2327" spans="9:17" ht="13.9" x14ac:dyDescent="0.4">
      <c r="I2327" s="1073">
        <f t="shared" si="462"/>
        <v>0</v>
      </c>
      <c r="J2327" s="159" t="s">
        <v>19</v>
      </c>
      <c r="K2327" s="1350" t="s">
        <v>839</v>
      </c>
      <c r="L2327" s="160"/>
      <c r="M2327" s="159">
        <v>0</v>
      </c>
      <c r="N2327" s="157">
        <v>0</v>
      </c>
      <c r="O2327" s="82">
        <f t="shared" si="460"/>
        <v>0</v>
      </c>
      <c r="P2327" s="158"/>
      <c r="Q2327" s="1071">
        <f t="shared" si="463"/>
        <v>0</v>
      </c>
    </row>
    <row r="2328" spans="9:17" ht="13.9" x14ac:dyDescent="0.4">
      <c r="I2328" s="1071"/>
      <c r="J2328" s="86" t="s">
        <v>22</v>
      </c>
      <c r="K2328" s="86"/>
      <c r="L2328" s="86"/>
      <c r="M2328" s="81"/>
      <c r="N2328" s="87"/>
      <c r="O2328" s="88">
        <f>SUM(O2318:O2327)</f>
        <v>101.67912500000001</v>
      </c>
      <c r="P2328" s="86"/>
      <c r="Q2328" s="1071"/>
    </row>
    <row r="2329" spans="9:17" ht="13.9" x14ac:dyDescent="0.4">
      <c r="I2329" s="1071"/>
      <c r="J2329" s="83"/>
      <c r="K2329" s="83"/>
      <c r="L2329" s="83"/>
      <c r="M2329" s="83"/>
      <c r="N2329" s="84"/>
      <c r="O2329" s="83"/>
      <c r="P2329" s="83"/>
      <c r="Q2329" s="1071"/>
    </row>
    <row r="2330" spans="9:17" ht="13.9" x14ac:dyDescent="0.4">
      <c r="I2330" s="1071"/>
      <c r="J2330" s="78" t="str">
        <f>IF(OR(A2_Budget_Look_Up!$B$7=1,A2_Budget_Look_Up!$B$13=1),"Nematicide Detail", "Fungicide Detail")</f>
        <v>Fungicide Detail</v>
      </c>
      <c r="K2330" s="78"/>
      <c r="L2330" s="78"/>
      <c r="M2330" s="79"/>
      <c r="N2330" s="85"/>
      <c r="O2330" s="79"/>
      <c r="P2330" s="78"/>
      <c r="Q2330" s="1071"/>
    </row>
    <row r="2331" spans="9:17" ht="13.9" x14ac:dyDescent="0.4">
      <c r="I2331" s="1071"/>
      <c r="J2331" s="80" t="s">
        <v>212</v>
      </c>
      <c r="K2331" s="80" t="s">
        <v>838</v>
      </c>
      <c r="L2331" s="80" t="s">
        <v>2</v>
      </c>
      <c r="M2331" s="80" t="s">
        <v>21</v>
      </c>
      <c r="N2331" s="80" t="s">
        <v>174</v>
      </c>
      <c r="O2331" s="80" t="s">
        <v>14</v>
      </c>
      <c r="P2331" s="80" t="s">
        <v>890</v>
      </c>
      <c r="Q2331" s="1071"/>
    </row>
    <row r="2332" spans="9:17" ht="13.9" x14ac:dyDescent="0.4">
      <c r="I2332" s="1073">
        <f>IF($A$1=38,I2327+1,0)</f>
        <v>0</v>
      </c>
      <c r="J2332" s="156" t="s">
        <v>19</v>
      </c>
      <c r="K2332" s="1350" t="s">
        <v>839</v>
      </c>
      <c r="L2332" s="158"/>
      <c r="M2332" s="159">
        <v>0</v>
      </c>
      <c r="N2332" s="157">
        <v>0</v>
      </c>
      <c r="O2332" s="82">
        <f>M2332*N2332</f>
        <v>0</v>
      </c>
      <c r="P2332" s="158"/>
      <c r="Q2332" s="1071">
        <f>Q2327</f>
        <v>0</v>
      </c>
    </row>
    <row r="2333" spans="9:17" ht="13.9" x14ac:dyDescent="0.4">
      <c r="I2333" s="1073">
        <f>IF($A$1=38,I2332+1,0)</f>
        <v>0</v>
      </c>
      <c r="J2333" s="156" t="s">
        <v>19</v>
      </c>
      <c r="K2333" s="1350" t="s">
        <v>839</v>
      </c>
      <c r="L2333" s="158"/>
      <c r="M2333" s="159">
        <v>0</v>
      </c>
      <c r="N2333" s="157">
        <v>0</v>
      </c>
      <c r="O2333" s="82">
        <f>M2333*N2333</f>
        <v>0</v>
      </c>
      <c r="P2333" s="158"/>
      <c r="Q2333" s="1071">
        <f>Q2332</f>
        <v>0</v>
      </c>
    </row>
    <row r="2334" spans="9:17" ht="13.9" x14ac:dyDescent="0.4">
      <c r="I2334" s="1071"/>
      <c r="J2334" s="86" t="s">
        <v>22</v>
      </c>
      <c r="K2334" s="86"/>
      <c r="L2334" s="86"/>
      <c r="M2334" s="81"/>
      <c r="N2334" s="87"/>
      <c r="O2334" s="88">
        <f>SUM(O2332:O2333)</f>
        <v>0</v>
      </c>
      <c r="P2334" s="86"/>
      <c r="Q2334" s="1071"/>
    </row>
    <row r="2335" spans="9:17" ht="13.9" x14ac:dyDescent="0.4">
      <c r="I2335" s="1071"/>
      <c r="J2335" s="83"/>
      <c r="K2335" s="83"/>
      <c r="L2335" s="83"/>
      <c r="M2335" s="83"/>
      <c r="N2335" s="84"/>
      <c r="O2335" s="83"/>
      <c r="P2335" s="83"/>
      <c r="Q2335" s="1071"/>
    </row>
    <row r="2336" spans="9:17" ht="13.9" x14ac:dyDescent="0.4">
      <c r="I2336" s="1071"/>
      <c r="J2336" s="78" t="str">
        <f>IF(A2_Budget_Look_Up!$B$7=1,"Growth Regulator Detail", IF(A2_Budget_Look_Up!$B$13=1,"Fungicide Detail","Other Chemical Detail"))</f>
        <v>Other Chemical Detail</v>
      </c>
      <c r="K2336" s="78"/>
      <c r="L2336" s="78"/>
      <c r="M2336" s="79"/>
      <c r="N2336" s="85"/>
      <c r="O2336" s="79"/>
      <c r="P2336" s="78"/>
      <c r="Q2336" s="1071"/>
    </row>
    <row r="2337" spans="9:17" ht="13.9" x14ac:dyDescent="0.4">
      <c r="I2337" s="1071"/>
      <c r="J2337" s="80" t="s">
        <v>212</v>
      </c>
      <c r="K2337" s="80" t="s">
        <v>838</v>
      </c>
      <c r="L2337" s="80" t="s">
        <v>2</v>
      </c>
      <c r="M2337" s="80" t="s">
        <v>21</v>
      </c>
      <c r="N2337" s="80" t="s">
        <v>174</v>
      </c>
      <c r="O2337" s="80" t="s">
        <v>14</v>
      </c>
      <c r="P2337" s="80" t="s">
        <v>890</v>
      </c>
      <c r="Q2337" s="1071"/>
    </row>
    <row r="2338" spans="9:17" ht="13.9" x14ac:dyDescent="0.4">
      <c r="I2338" s="1073">
        <f>IF($A$1=38,I2333+1,0)</f>
        <v>0</v>
      </c>
      <c r="J2338" s="156" t="str">
        <f>A4_Chem_Prices!E$26</f>
        <v>Mepiquat</v>
      </c>
      <c r="K2338" s="1350" t="s">
        <v>839</v>
      </c>
      <c r="L2338" s="158" t="str">
        <f>A4_Chem_Prices!F$26</f>
        <v>oz</v>
      </c>
      <c r="M2338" s="159">
        <f>A4_Chem_Prices!G$26</f>
        <v>4.9796874999999997E-2</v>
      </c>
      <c r="N2338" s="157">
        <v>10</v>
      </c>
      <c r="O2338" s="82">
        <f t="shared" ref="O2338:O2344" si="464">M2338*N2338</f>
        <v>0.49796874999999996</v>
      </c>
      <c r="P2338" s="1449">
        <f>N2338</f>
        <v>10</v>
      </c>
      <c r="Q2338" s="1071">
        <f>Q2333</f>
        <v>0</v>
      </c>
    </row>
    <row r="2339" spans="9:17" ht="13.9" x14ac:dyDescent="0.4">
      <c r="I2339" s="1073">
        <f t="shared" ref="I2339:I2344" si="465">IF($A$1=38,I2338+1,0)</f>
        <v>0</v>
      </c>
      <c r="J2339" s="156" t="str">
        <f>A4_Chem_Prices!E$26</f>
        <v>Mepiquat</v>
      </c>
      <c r="K2339" s="1350" t="s">
        <v>839</v>
      </c>
      <c r="L2339" s="158" t="str">
        <f>A4_Chem_Prices!F$26</f>
        <v>oz</v>
      </c>
      <c r="M2339" s="159">
        <f>A4_Chem_Prices!G$26</f>
        <v>4.9796874999999997E-2</v>
      </c>
      <c r="N2339" s="157">
        <v>10</v>
      </c>
      <c r="O2339" s="82">
        <f t="shared" si="464"/>
        <v>0.49796874999999996</v>
      </c>
      <c r="P2339" s="1449">
        <f>N2339</f>
        <v>10</v>
      </c>
      <c r="Q2339" s="1071">
        <f t="shared" ref="Q2339:Q2344" si="466">Q2338</f>
        <v>0</v>
      </c>
    </row>
    <row r="2340" spans="9:17" ht="13.9" x14ac:dyDescent="0.4">
      <c r="I2340" s="1073">
        <f t="shared" si="465"/>
        <v>0</v>
      </c>
      <c r="J2340" s="156" t="str">
        <f>A4_Chem_Prices!E$26</f>
        <v>Mepiquat</v>
      </c>
      <c r="K2340" s="1350" t="s">
        <v>839</v>
      </c>
      <c r="L2340" s="158" t="str">
        <f>A4_Chem_Prices!F$26</f>
        <v>oz</v>
      </c>
      <c r="M2340" s="159">
        <f>A4_Chem_Prices!G$26</f>
        <v>4.9796874999999997E-2</v>
      </c>
      <c r="N2340" s="157">
        <v>12</v>
      </c>
      <c r="O2340" s="82">
        <f t="shared" si="464"/>
        <v>0.5975625</v>
      </c>
      <c r="P2340" s="1449">
        <f>N2340</f>
        <v>12</v>
      </c>
      <c r="Q2340" s="1071">
        <f t="shared" si="466"/>
        <v>0</v>
      </c>
    </row>
    <row r="2341" spans="9:17" ht="13.9" x14ac:dyDescent="0.4">
      <c r="I2341" s="1073">
        <f t="shared" si="465"/>
        <v>0</v>
      </c>
      <c r="J2341" s="156" t="str">
        <f>A4_Chem_Prices!E$26</f>
        <v>Mepiquat</v>
      </c>
      <c r="K2341" s="1350" t="s">
        <v>839</v>
      </c>
      <c r="L2341" s="158" t="str">
        <f>A4_Chem_Prices!F$26</f>
        <v>oz</v>
      </c>
      <c r="M2341" s="159">
        <f>A4_Chem_Prices!G$26</f>
        <v>4.9796874999999997E-2</v>
      </c>
      <c r="N2341" s="157">
        <v>12</v>
      </c>
      <c r="O2341" s="82">
        <f t="shared" si="464"/>
        <v>0.5975625</v>
      </c>
      <c r="P2341" s="1449">
        <f>N2341</f>
        <v>12</v>
      </c>
      <c r="Q2341" s="1071">
        <f t="shared" si="466"/>
        <v>0</v>
      </c>
    </row>
    <row r="2342" spans="9:17" ht="13.9" x14ac:dyDescent="0.4">
      <c r="I2342" s="1073">
        <f t="shared" si="465"/>
        <v>0</v>
      </c>
      <c r="J2342" s="156" t="s">
        <v>19</v>
      </c>
      <c r="K2342" s="1350" t="s">
        <v>839</v>
      </c>
      <c r="L2342" s="158"/>
      <c r="M2342" s="159">
        <v>0</v>
      </c>
      <c r="N2342" s="157">
        <v>0</v>
      </c>
      <c r="O2342" s="82">
        <f t="shared" si="464"/>
        <v>0</v>
      </c>
      <c r="P2342" s="158"/>
      <c r="Q2342" s="1071">
        <f t="shared" si="466"/>
        <v>0</v>
      </c>
    </row>
    <row r="2343" spans="9:17" ht="13.9" x14ac:dyDescent="0.4">
      <c r="I2343" s="1073">
        <f t="shared" si="465"/>
        <v>0</v>
      </c>
      <c r="J2343" s="156" t="s">
        <v>19</v>
      </c>
      <c r="K2343" s="1350" t="s">
        <v>839</v>
      </c>
      <c r="L2343" s="158"/>
      <c r="M2343" s="159">
        <v>0</v>
      </c>
      <c r="N2343" s="157">
        <v>0</v>
      </c>
      <c r="O2343" s="82">
        <f t="shared" si="464"/>
        <v>0</v>
      </c>
      <c r="P2343" s="158"/>
      <c r="Q2343" s="1071">
        <f t="shared" si="466"/>
        <v>0</v>
      </c>
    </row>
    <row r="2344" spans="9:17" ht="13.9" x14ac:dyDescent="0.4">
      <c r="I2344" s="1073">
        <f t="shared" si="465"/>
        <v>0</v>
      </c>
      <c r="J2344" s="156" t="s">
        <v>19</v>
      </c>
      <c r="K2344" s="1350" t="s">
        <v>839</v>
      </c>
      <c r="L2344" s="158"/>
      <c r="M2344" s="159">
        <v>0</v>
      </c>
      <c r="N2344" s="157">
        <v>0</v>
      </c>
      <c r="O2344" s="82">
        <f t="shared" si="464"/>
        <v>0</v>
      </c>
      <c r="P2344" s="158"/>
      <c r="Q2344" s="1071">
        <f t="shared" si="466"/>
        <v>0</v>
      </c>
    </row>
    <row r="2345" spans="9:17" ht="13.9" x14ac:dyDescent="0.4">
      <c r="I2345" s="1071"/>
      <c r="J2345" s="86" t="s">
        <v>22</v>
      </c>
      <c r="K2345" s="86"/>
      <c r="L2345" s="86"/>
      <c r="M2345" s="81"/>
      <c r="N2345" s="87"/>
      <c r="O2345" s="88">
        <f>SUM(O2338:O2344)</f>
        <v>2.1910625000000001</v>
      </c>
      <c r="P2345" s="86"/>
      <c r="Q2345" s="1071"/>
    </row>
    <row r="2346" spans="9:17" ht="13.9" x14ac:dyDescent="0.4">
      <c r="I2346" s="1071"/>
      <c r="J2346" s="83"/>
      <c r="K2346" s="83"/>
      <c r="L2346" s="83"/>
      <c r="M2346" s="83"/>
      <c r="N2346" s="84"/>
      <c r="O2346" s="83"/>
      <c r="P2346" s="83"/>
      <c r="Q2346" s="1071"/>
    </row>
    <row r="2347" spans="9:17" ht="13.9" x14ac:dyDescent="0.4">
      <c r="I2347" s="1071"/>
      <c r="J2347" s="78" t="str">
        <f>IF(A2_Budget_Look_Up!$B$7=1,"Defoliant Detail", "Other Chemical Detail")</f>
        <v>Other Chemical Detail</v>
      </c>
      <c r="K2347" s="78"/>
      <c r="L2347" s="78"/>
      <c r="M2347" s="79"/>
      <c r="N2347" s="85"/>
      <c r="O2347" s="79"/>
      <c r="P2347" s="78"/>
      <c r="Q2347" s="1071"/>
    </row>
    <row r="2348" spans="9:17" ht="13.9" x14ac:dyDescent="0.4">
      <c r="I2348" s="1071"/>
      <c r="J2348" s="80" t="s">
        <v>212</v>
      </c>
      <c r="K2348" s="80" t="s">
        <v>838</v>
      </c>
      <c r="L2348" s="80" t="s">
        <v>2</v>
      </c>
      <c r="M2348" s="80" t="s">
        <v>21</v>
      </c>
      <c r="N2348" s="80" t="s">
        <v>174</v>
      </c>
      <c r="O2348" s="80" t="s">
        <v>14</v>
      </c>
      <c r="P2348" s="80" t="s">
        <v>890</v>
      </c>
      <c r="Q2348" s="1071"/>
    </row>
    <row r="2349" spans="9:17" ht="13.9" x14ac:dyDescent="0.4">
      <c r="I2349" s="1073">
        <f>IF($A$1=38,I2344+1,0)</f>
        <v>0</v>
      </c>
      <c r="J2349" s="156" t="str">
        <f>A4_Chem_Prices!E$28</f>
        <v>Dropp</v>
      </c>
      <c r="K2349" s="1350" t="s">
        <v>839</v>
      </c>
      <c r="L2349" s="158" t="str">
        <f>A4_Chem_Prices!F$28</f>
        <v>oz</v>
      </c>
      <c r="M2349" s="159">
        <f>A4_Chem_Prices!G$28</f>
        <v>0.78125</v>
      </c>
      <c r="N2349" s="157">
        <v>2</v>
      </c>
      <c r="O2349" s="82">
        <f t="shared" ref="O2349:O2355" si="467">M2349*N2349</f>
        <v>1.5625</v>
      </c>
      <c r="P2349" s="1449">
        <f>N2349</f>
        <v>2</v>
      </c>
      <c r="Q2349" s="1071">
        <f>Q2344</f>
        <v>0</v>
      </c>
    </row>
    <row r="2350" spans="9:17" ht="13.9" x14ac:dyDescent="0.4">
      <c r="I2350" s="1073">
        <f t="shared" ref="I2350:I2355" si="468">IF($A$1=38,I2349+1,0)</f>
        <v>0</v>
      </c>
      <c r="J2350" s="156" t="str">
        <f>A4_Chem_Prices!E$29</f>
        <v>Folex</v>
      </c>
      <c r="K2350" s="1350" t="s">
        <v>839</v>
      </c>
      <c r="L2350" s="158" t="str">
        <f>A4_Chem_Prices!F$29</f>
        <v>oz</v>
      </c>
      <c r="M2350" s="159">
        <f>A4_Chem_Prices!G$29</f>
        <v>0.5234375</v>
      </c>
      <c r="N2350" s="157">
        <v>6</v>
      </c>
      <c r="O2350" s="82">
        <f t="shared" si="467"/>
        <v>3.140625</v>
      </c>
      <c r="P2350" s="1449">
        <f>N2350</f>
        <v>6</v>
      </c>
      <c r="Q2350" s="1071">
        <f t="shared" ref="Q2350:Q2355" si="469">Q2349</f>
        <v>0</v>
      </c>
    </row>
    <row r="2351" spans="9:17" ht="13.9" x14ac:dyDescent="0.4">
      <c r="I2351" s="1073">
        <f t="shared" si="468"/>
        <v>0</v>
      </c>
      <c r="J2351" s="156" t="str">
        <f>A4_Chem_Prices!E$30</f>
        <v>Prep</v>
      </c>
      <c r="K2351" s="1350" t="s">
        <v>839</v>
      </c>
      <c r="L2351" s="158" t="str">
        <f>A4_Chem_Prices!F$30</f>
        <v>oz</v>
      </c>
      <c r="M2351" s="159">
        <f>A4_Chem_Prices!G$30</f>
        <v>0.28125</v>
      </c>
      <c r="N2351" s="157">
        <v>6</v>
      </c>
      <c r="O2351" s="82">
        <f t="shared" si="467"/>
        <v>1.6875</v>
      </c>
      <c r="P2351" s="1449">
        <f>N2351</f>
        <v>6</v>
      </c>
      <c r="Q2351" s="1071">
        <f t="shared" si="469"/>
        <v>0</v>
      </c>
    </row>
    <row r="2352" spans="9:17" ht="13.9" x14ac:dyDescent="0.4">
      <c r="I2352" s="1073">
        <f t="shared" si="468"/>
        <v>0</v>
      </c>
      <c r="J2352" s="156" t="str">
        <f>A4_Chem_Prices!E$29</f>
        <v>Folex</v>
      </c>
      <c r="K2352" s="1350" t="s">
        <v>839</v>
      </c>
      <c r="L2352" s="158" t="str">
        <f>A4_Chem_Prices!F$29</f>
        <v>oz</v>
      </c>
      <c r="M2352" s="159">
        <f>A4_Chem_Prices!G$29</f>
        <v>0.5234375</v>
      </c>
      <c r="N2352" s="157">
        <v>8</v>
      </c>
      <c r="O2352" s="82">
        <f t="shared" si="467"/>
        <v>4.1875</v>
      </c>
      <c r="P2352" s="1449">
        <f>N2352</f>
        <v>8</v>
      </c>
      <c r="Q2352" s="1071">
        <f t="shared" si="469"/>
        <v>0</v>
      </c>
    </row>
    <row r="2353" spans="9:17" ht="13.9" x14ac:dyDescent="0.4">
      <c r="I2353" s="1073">
        <f t="shared" si="468"/>
        <v>0</v>
      </c>
      <c r="J2353" s="156" t="str">
        <f>A4_Chem_Prices!E$30</f>
        <v>Prep</v>
      </c>
      <c r="K2353" s="1350" t="s">
        <v>839</v>
      </c>
      <c r="L2353" s="158" t="str">
        <f>A4_Chem_Prices!F$30</f>
        <v>oz</v>
      </c>
      <c r="M2353" s="159">
        <f>A4_Chem_Prices!G$30</f>
        <v>0.28125</v>
      </c>
      <c r="N2353" s="157">
        <v>32</v>
      </c>
      <c r="O2353" s="82">
        <f t="shared" si="467"/>
        <v>9</v>
      </c>
      <c r="P2353" s="1449">
        <f>N2353</f>
        <v>32</v>
      </c>
      <c r="Q2353" s="1071">
        <f t="shared" si="469"/>
        <v>0</v>
      </c>
    </row>
    <row r="2354" spans="9:17" ht="13.9" x14ac:dyDescent="0.4">
      <c r="I2354" s="1073">
        <f t="shared" si="468"/>
        <v>0</v>
      </c>
      <c r="J2354" s="156" t="s">
        <v>19</v>
      </c>
      <c r="K2354" s="1350" t="s">
        <v>839</v>
      </c>
      <c r="L2354" s="158"/>
      <c r="M2354" s="159">
        <v>0</v>
      </c>
      <c r="N2354" s="157">
        <v>0</v>
      </c>
      <c r="O2354" s="82">
        <f t="shared" si="467"/>
        <v>0</v>
      </c>
      <c r="P2354" s="158"/>
      <c r="Q2354" s="1071">
        <f t="shared" si="469"/>
        <v>0</v>
      </c>
    </row>
    <row r="2355" spans="9:17" ht="13.9" x14ac:dyDescent="0.4">
      <c r="I2355" s="1073">
        <f t="shared" si="468"/>
        <v>0</v>
      </c>
      <c r="J2355" s="156" t="s">
        <v>19</v>
      </c>
      <c r="K2355" s="1350" t="s">
        <v>839</v>
      </c>
      <c r="L2355" s="158"/>
      <c r="M2355" s="159">
        <v>0</v>
      </c>
      <c r="N2355" s="157">
        <v>0</v>
      </c>
      <c r="O2355" s="82">
        <f t="shared" si="467"/>
        <v>0</v>
      </c>
      <c r="P2355" s="158"/>
      <c r="Q2355" s="1071">
        <f t="shared" si="469"/>
        <v>0</v>
      </c>
    </row>
    <row r="2356" spans="9:17" ht="13.9" x14ac:dyDescent="0.4">
      <c r="I2356" s="1071"/>
      <c r="J2356" s="86" t="s">
        <v>22</v>
      </c>
      <c r="K2356" s="86"/>
      <c r="L2356" s="86"/>
      <c r="M2356" s="81"/>
      <c r="N2356" s="87"/>
      <c r="O2356" s="88">
        <f>SUM(O2349:O2355)</f>
        <v>19.578125</v>
      </c>
      <c r="P2356" s="86"/>
      <c r="Q2356" s="1071"/>
    </row>
    <row r="2357" spans="9:17" ht="13.9" x14ac:dyDescent="0.4">
      <c r="I2357" s="1071"/>
      <c r="J2357" s="83"/>
      <c r="K2357" s="83"/>
      <c r="L2357" s="83"/>
      <c r="M2357" s="89"/>
      <c r="N2357" s="84"/>
      <c r="O2357" s="89"/>
      <c r="P2357" s="83"/>
      <c r="Q2357" s="1071"/>
    </row>
    <row r="2358" spans="9:17" ht="13.9" x14ac:dyDescent="0.4">
      <c r="I2358" s="1071"/>
      <c r="J2358" s="1168" t="str">
        <f>A2_Budget_Look_Up!H41</f>
        <v>Conventional Cotton, No Irrigation</v>
      </c>
      <c r="K2358" s="1168"/>
      <c r="L2358" s="1168">
        <f>A2_Budget_Look_Up!F41</f>
        <v>39</v>
      </c>
      <c r="M2358" s="1168"/>
      <c r="N2358" s="1168"/>
      <c r="O2358" s="1168"/>
      <c r="P2358" s="1168"/>
      <c r="Q2358" s="1071"/>
    </row>
    <row r="2359" spans="9:17" ht="13.9" x14ac:dyDescent="0.4">
      <c r="I2359" s="1071"/>
      <c r="J2359" s="83"/>
      <c r="K2359" s="83"/>
      <c r="L2359" s="83"/>
      <c r="M2359" s="83"/>
      <c r="N2359" s="84"/>
      <c r="O2359" s="83"/>
      <c r="P2359" s="83"/>
      <c r="Q2359" s="1071"/>
    </row>
    <row r="2360" spans="9:17" ht="13.9" x14ac:dyDescent="0.4">
      <c r="I2360" s="1071"/>
      <c r="J2360" s="78" t="s">
        <v>18</v>
      </c>
      <c r="K2360" s="78"/>
      <c r="L2360" s="78"/>
      <c r="M2360" s="79"/>
      <c r="N2360" s="85"/>
      <c r="O2360" s="79"/>
      <c r="P2360" s="78"/>
      <c r="Q2360" s="1071"/>
    </row>
    <row r="2361" spans="9:17" ht="13.9" x14ac:dyDescent="0.4">
      <c r="I2361" s="1071"/>
      <c r="J2361" s="80" t="s">
        <v>212</v>
      </c>
      <c r="K2361" s="80" t="s">
        <v>838</v>
      </c>
      <c r="L2361" s="80" t="s">
        <v>2</v>
      </c>
      <c r="M2361" s="80" t="s">
        <v>21</v>
      </c>
      <c r="N2361" s="80" t="s">
        <v>174</v>
      </c>
      <c r="O2361" s="80" t="s">
        <v>14</v>
      </c>
      <c r="P2361" s="80" t="s">
        <v>890</v>
      </c>
      <c r="Q2361" s="1071"/>
    </row>
    <row r="2362" spans="9:17" ht="13.9" x14ac:dyDescent="0.4">
      <c r="I2362" s="1073">
        <f>IF($A$1=39,1,0)</f>
        <v>0</v>
      </c>
      <c r="J2362" s="159" t="s">
        <v>19</v>
      </c>
      <c r="K2362" s="1350" t="s">
        <v>839</v>
      </c>
      <c r="L2362" s="158"/>
      <c r="M2362" s="159">
        <v>0</v>
      </c>
      <c r="N2362" s="159">
        <v>0</v>
      </c>
      <c r="O2362" s="82">
        <f t="shared" ref="O2362:O2375" si="470">M2362*N2362</f>
        <v>0</v>
      </c>
      <c r="P2362" s="160"/>
      <c r="Q2362" s="1171">
        <f>IF(SUM(I2362:I2417)=820,L2358,0)</f>
        <v>0</v>
      </c>
    </row>
    <row r="2363" spans="9:17" ht="13.9" x14ac:dyDescent="0.4">
      <c r="I2363" s="1073">
        <f t="shared" ref="I2363:I2375" si="471">IF($A$1=39,I2362+1,0)</f>
        <v>0</v>
      </c>
      <c r="J2363" s="159" t="s">
        <v>19</v>
      </c>
      <c r="K2363" s="1350" t="s">
        <v>839</v>
      </c>
      <c r="L2363" s="158"/>
      <c r="M2363" s="159">
        <v>0</v>
      </c>
      <c r="N2363" s="159">
        <v>0</v>
      </c>
      <c r="O2363" s="82">
        <f t="shared" si="470"/>
        <v>0</v>
      </c>
      <c r="P2363" s="160"/>
      <c r="Q2363" s="1071">
        <f>Q2362</f>
        <v>0</v>
      </c>
    </row>
    <row r="2364" spans="9:17" ht="13.9" x14ac:dyDescent="0.4">
      <c r="I2364" s="1073">
        <f t="shared" si="471"/>
        <v>0</v>
      </c>
      <c r="J2364" s="159" t="s">
        <v>19</v>
      </c>
      <c r="K2364" s="1350" t="s">
        <v>839</v>
      </c>
      <c r="L2364" s="160"/>
      <c r="M2364" s="159">
        <v>0</v>
      </c>
      <c r="N2364" s="157">
        <v>0</v>
      </c>
      <c r="O2364" s="82">
        <f t="shared" si="470"/>
        <v>0</v>
      </c>
      <c r="P2364" s="160"/>
      <c r="Q2364" s="1071">
        <f t="shared" ref="Q2364:Q2375" si="472">Q2363</f>
        <v>0</v>
      </c>
    </row>
    <row r="2365" spans="9:17" ht="13.9" x14ac:dyDescent="0.4">
      <c r="I2365" s="1073">
        <f t="shared" si="471"/>
        <v>0</v>
      </c>
      <c r="J2365" s="159" t="s">
        <v>19</v>
      </c>
      <c r="K2365" s="1350" t="s">
        <v>839</v>
      </c>
      <c r="L2365" s="158"/>
      <c r="M2365" s="159">
        <v>0</v>
      </c>
      <c r="N2365" s="157">
        <v>0</v>
      </c>
      <c r="O2365" s="82">
        <f t="shared" si="470"/>
        <v>0</v>
      </c>
      <c r="P2365" s="160"/>
      <c r="Q2365" s="1071">
        <f t="shared" si="472"/>
        <v>0</v>
      </c>
    </row>
    <row r="2366" spans="9:17" ht="13.9" x14ac:dyDescent="0.4">
      <c r="I2366" s="1073">
        <f t="shared" si="471"/>
        <v>0</v>
      </c>
      <c r="J2366" s="159" t="s">
        <v>19</v>
      </c>
      <c r="K2366" s="1350" t="s">
        <v>839</v>
      </c>
      <c r="L2366" s="160"/>
      <c r="M2366" s="159">
        <v>0</v>
      </c>
      <c r="N2366" s="157">
        <v>0</v>
      </c>
      <c r="O2366" s="82">
        <f t="shared" si="470"/>
        <v>0</v>
      </c>
      <c r="P2366" s="160"/>
      <c r="Q2366" s="1071">
        <f t="shared" si="472"/>
        <v>0</v>
      </c>
    </row>
    <row r="2367" spans="9:17" ht="13.9" x14ac:dyDescent="0.4">
      <c r="I2367" s="1073">
        <f t="shared" si="471"/>
        <v>0</v>
      </c>
      <c r="J2367" s="159" t="s">
        <v>19</v>
      </c>
      <c r="K2367" s="1350" t="s">
        <v>839</v>
      </c>
      <c r="L2367" s="160"/>
      <c r="M2367" s="159">
        <v>0</v>
      </c>
      <c r="N2367" s="157">
        <v>0</v>
      </c>
      <c r="O2367" s="82">
        <f t="shared" si="470"/>
        <v>0</v>
      </c>
      <c r="P2367" s="160"/>
      <c r="Q2367" s="1071">
        <f t="shared" si="472"/>
        <v>0</v>
      </c>
    </row>
    <row r="2368" spans="9:17" ht="13.9" x14ac:dyDescent="0.4">
      <c r="I2368" s="1073">
        <f t="shared" si="471"/>
        <v>0</v>
      </c>
      <c r="J2368" s="159" t="s">
        <v>19</v>
      </c>
      <c r="K2368" s="1350" t="s">
        <v>839</v>
      </c>
      <c r="L2368" s="160"/>
      <c r="M2368" s="159">
        <v>0</v>
      </c>
      <c r="N2368" s="157">
        <v>0</v>
      </c>
      <c r="O2368" s="82">
        <f t="shared" si="470"/>
        <v>0</v>
      </c>
      <c r="P2368" s="160"/>
      <c r="Q2368" s="1071">
        <f t="shared" si="472"/>
        <v>0</v>
      </c>
    </row>
    <row r="2369" spans="9:17" ht="13.9" x14ac:dyDescent="0.4">
      <c r="I2369" s="1073">
        <f t="shared" si="471"/>
        <v>0</v>
      </c>
      <c r="J2369" s="159" t="s">
        <v>19</v>
      </c>
      <c r="K2369" s="1350" t="s">
        <v>839</v>
      </c>
      <c r="L2369" s="160"/>
      <c r="M2369" s="159">
        <v>0</v>
      </c>
      <c r="N2369" s="157">
        <v>0</v>
      </c>
      <c r="O2369" s="82">
        <f t="shared" si="470"/>
        <v>0</v>
      </c>
      <c r="P2369" s="160"/>
      <c r="Q2369" s="1071">
        <f t="shared" si="472"/>
        <v>0</v>
      </c>
    </row>
    <row r="2370" spans="9:17" ht="13.9" x14ac:dyDescent="0.4">
      <c r="I2370" s="1073">
        <f t="shared" si="471"/>
        <v>0</v>
      </c>
      <c r="J2370" s="159" t="s">
        <v>19</v>
      </c>
      <c r="K2370" s="1350" t="s">
        <v>839</v>
      </c>
      <c r="L2370" s="160"/>
      <c r="M2370" s="159">
        <v>0</v>
      </c>
      <c r="N2370" s="157">
        <v>0</v>
      </c>
      <c r="O2370" s="82">
        <f t="shared" si="470"/>
        <v>0</v>
      </c>
      <c r="P2370" s="160"/>
      <c r="Q2370" s="1071">
        <f t="shared" si="472"/>
        <v>0</v>
      </c>
    </row>
    <row r="2371" spans="9:17" ht="13.9" x14ac:dyDescent="0.4">
      <c r="I2371" s="1073">
        <f t="shared" si="471"/>
        <v>0</v>
      </c>
      <c r="J2371" s="159" t="s">
        <v>19</v>
      </c>
      <c r="K2371" s="1350" t="s">
        <v>839</v>
      </c>
      <c r="L2371" s="160"/>
      <c r="M2371" s="159">
        <v>0</v>
      </c>
      <c r="N2371" s="157">
        <v>0</v>
      </c>
      <c r="O2371" s="82">
        <f t="shared" si="470"/>
        <v>0</v>
      </c>
      <c r="P2371" s="160"/>
      <c r="Q2371" s="1071">
        <f t="shared" si="472"/>
        <v>0</v>
      </c>
    </row>
    <row r="2372" spans="9:17" ht="13.9" x14ac:dyDescent="0.4">
      <c r="I2372" s="1073">
        <f t="shared" si="471"/>
        <v>0</v>
      </c>
      <c r="J2372" s="159" t="s">
        <v>19</v>
      </c>
      <c r="K2372" s="1350" t="s">
        <v>839</v>
      </c>
      <c r="L2372" s="160"/>
      <c r="M2372" s="159">
        <v>0</v>
      </c>
      <c r="N2372" s="157">
        <v>0</v>
      </c>
      <c r="O2372" s="82">
        <f t="shared" si="470"/>
        <v>0</v>
      </c>
      <c r="P2372" s="160"/>
      <c r="Q2372" s="1071">
        <f t="shared" si="472"/>
        <v>0</v>
      </c>
    </row>
    <row r="2373" spans="9:17" ht="13.9" x14ac:dyDescent="0.4">
      <c r="I2373" s="1073">
        <f t="shared" si="471"/>
        <v>0</v>
      </c>
      <c r="J2373" s="159" t="s">
        <v>19</v>
      </c>
      <c r="K2373" s="1350" t="s">
        <v>839</v>
      </c>
      <c r="L2373" s="160"/>
      <c r="M2373" s="159">
        <v>0</v>
      </c>
      <c r="N2373" s="157">
        <v>0</v>
      </c>
      <c r="O2373" s="82">
        <f t="shared" si="470"/>
        <v>0</v>
      </c>
      <c r="P2373" s="160"/>
      <c r="Q2373" s="1071">
        <f t="shared" si="472"/>
        <v>0</v>
      </c>
    </row>
    <row r="2374" spans="9:17" ht="13.9" x14ac:dyDescent="0.4">
      <c r="I2374" s="1073">
        <f t="shared" si="471"/>
        <v>0</v>
      </c>
      <c r="J2374" s="159" t="s">
        <v>19</v>
      </c>
      <c r="K2374" s="1350" t="s">
        <v>839</v>
      </c>
      <c r="L2374" s="160"/>
      <c r="M2374" s="159">
        <v>0</v>
      </c>
      <c r="N2374" s="157">
        <v>0</v>
      </c>
      <c r="O2374" s="82">
        <f t="shared" si="470"/>
        <v>0</v>
      </c>
      <c r="P2374" s="160"/>
      <c r="Q2374" s="1071">
        <f t="shared" si="472"/>
        <v>0</v>
      </c>
    </row>
    <row r="2375" spans="9:17" ht="13.9" x14ac:dyDescent="0.4">
      <c r="I2375" s="1073">
        <f t="shared" si="471"/>
        <v>0</v>
      </c>
      <c r="J2375" s="159" t="s">
        <v>19</v>
      </c>
      <c r="K2375" s="1350" t="s">
        <v>839</v>
      </c>
      <c r="L2375" s="160"/>
      <c r="M2375" s="159">
        <v>0</v>
      </c>
      <c r="N2375" s="157">
        <v>0</v>
      </c>
      <c r="O2375" s="82">
        <f t="shared" si="470"/>
        <v>0</v>
      </c>
      <c r="P2375" s="160"/>
      <c r="Q2375" s="1071">
        <f t="shared" si="472"/>
        <v>0</v>
      </c>
    </row>
    <row r="2376" spans="9:17" ht="13.9" x14ac:dyDescent="0.4">
      <c r="I2376" s="1071"/>
      <c r="J2376" s="86" t="s">
        <v>22</v>
      </c>
      <c r="K2376" s="86"/>
      <c r="L2376" s="86"/>
      <c r="M2376" s="81"/>
      <c r="N2376" s="87"/>
      <c r="O2376" s="88">
        <f>SUM(O2362:O2375)</f>
        <v>0</v>
      </c>
      <c r="P2376" s="86"/>
      <c r="Q2376" s="1071"/>
    </row>
    <row r="2377" spans="9:17" ht="13.9" x14ac:dyDescent="0.4">
      <c r="I2377" s="1071"/>
      <c r="J2377" s="83"/>
      <c r="K2377" s="83"/>
      <c r="L2377" s="83"/>
      <c r="M2377" s="83"/>
      <c r="N2377" s="84"/>
      <c r="O2377" s="83"/>
      <c r="P2377" s="83"/>
      <c r="Q2377" s="1071"/>
    </row>
    <row r="2378" spans="9:17" ht="13.9" x14ac:dyDescent="0.4">
      <c r="I2378" s="1071"/>
      <c r="J2378" s="78" t="s">
        <v>20</v>
      </c>
      <c r="K2378" s="78"/>
      <c r="L2378" s="78"/>
      <c r="M2378" s="79"/>
      <c r="N2378" s="85"/>
      <c r="O2378" s="79"/>
      <c r="P2378" s="78"/>
      <c r="Q2378" s="1071"/>
    </row>
    <row r="2379" spans="9:17" ht="13.9" x14ac:dyDescent="0.4">
      <c r="I2379" s="1071"/>
      <c r="J2379" s="80" t="s">
        <v>212</v>
      </c>
      <c r="K2379" s="80" t="s">
        <v>838</v>
      </c>
      <c r="L2379" s="80" t="s">
        <v>2</v>
      </c>
      <c r="M2379" s="80" t="s">
        <v>21</v>
      </c>
      <c r="N2379" s="80" t="s">
        <v>174</v>
      </c>
      <c r="O2379" s="80" t="s">
        <v>14</v>
      </c>
      <c r="P2379" s="80" t="s">
        <v>890</v>
      </c>
      <c r="Q2379" s="1071"/>
    </row>
    <row r="2380" spans="9:17" ht="13.9" x14ac:dyDescent="0.4">
      <c r="I2380" s="1073">
        <f>IF($A$1=39,I2375+1,0)</f>
        <v>0</v>
      </c>
      <c r="J2380" s="159" t="s">
        <v>19</v>
      </c>
      <c r="K2380" s="1350" t="s">
        <v>839</v>
      </c>
      <c r="L2380" s="160"/>
      <c r="M2380" s="159">
        <v>0</v>
      </c>
      <c r="N2380" s="157">
        <v>0</v>
      </c>
      <c r="O2380" s="82">
        <f t="shared" ref="O2380:O2389" si="473">M2380*N2380</f>
        <v>0</v>
      </c>
      <c r="P2380" s="160"/>
      <c r="Q2380" s="1071">
        <f>Q2362</f>
        <v>0</v>
      </c>
    </row>
    <row r="2381" spans="9:17" ht="13.9" x14ac:dyDescent="0.4">
      <c r="I2381" s="1073">
        <f t="shared" ref="I2381:I2389" si="474">IF($A$1=39,I2380+1,0)</f>
        <v>0</v>
      </c>
      <c r="J2381" s="159" t="s">
        <v>19</v>
      </c>
      <c r="K2381" s="1350" t="s">
        <v>839</v>
      </c>
      <c r="L2381" s="160"/>
      <c r="M2381" s="159">
        <v>0</v>
      </c>
      <c r="N2381" s="157">
        <v>0</v>
      </c>
      <c r="O2381" s="82">
        <f t="shared" si="473"/>
        <v>0</v>
      </c>
      <c r="P2381" s="160"/>
      <c r="Q2381" s="1071">
        <f>Q2380</f>
        <v>0</v>
      </c>
    </row>
    <row r="2382" spans="9:17" ht="13.9" x14ac:dyDescent="0.4">
      <c r="I2382" s="1073">
        <f t="shared" si="474"/>
        <v>0</v>
      </c>
      <c r="J2382" s="159" t="s">
        <v>19</v>
      </c>
      <c r="K2382" s="1350" t="s">
        <v>839</v>
      </c>
      <c r="L2382" s="160"/>
      <c r="M2382" s="159">
        <v>0</v>
      </c>
      <c r="N2382" s="157">
        <v>0</v>
      </c>
      <c r="O2382" s="82">
        <f t="shared" si="473"/>
        <v>0</v>
      </c>
      <c r="P2382" s="160"/>
      <c r="Q2382" s="1071">
        <f t="shared" ref="Q2382:Q2389" si="475">Q2381</f>
        <v>0</v>
      </c>
    </row>
    <row r="2383" spans="9:17" ht="13.9" x14ac:dyDescent="0.4">
      <c r="I2383" s="1073">
        <f t="shared" si="474"/>
        <v>0</v>
      </c>
      <c r="J2383" s="159" t="s">
        <v>19</v>
      </c>
      <c r="K2383" s="1350" t="s">
        <v>839</v>
      </c>
      <c r="L2383" s="160"/>
      <c r="M2383" s="159">
        <v>0</v>
      </c>
      <c r="N2383" s="157">
        <v>0</v>
      </c>
      <c r="O2383" s="82">
        <f t="shared" si="473"/>
        <v>0</v>
      </c>
      <c r="P2383" s="160"/>
      <c r="Q2383" s="1071">
        <f t="shared" si="475"/>
        <v>0</v>
      </c>
    </row>
    <row r="2384" spans="9:17" ht="13.9" x14ac:dyDescent="0.4">
      <c r="I2384" s="1073">
        <f t="shared" si="474"/>
        <v>0</v>
      </c>
      <c r="J2384" s="159" t="s">
        <v>19</v>
      </c>
      <c r="K2384" s="1350" t="s">
        <v>839</v>
      </c>
      <c r="L2384" s="160"/>
      <c r="M2384" s="159">
        <v>0</v>
      </c>
      <c r="N2384" s="157">
        <v>0</v>
      </c>
      <c r="O2384" s="82">
        <f t="shared" si="473"/>
        <v>0</v>
      </c>
      <c r="P2384" s="158"/>
      <c r="Q2384" s="1071">
        <f t="shared" si="475"/>
        <v>0</v>
      </c>
    </row>
    <row r="2385" spans="9:17" ht="13.9" x14ac:dyDescent="0.4">
      <c r="I2385" s="1073">
        <f t="shared" si="474"/>
        <v>0</v>
      </c>
      <c r="J2385" s="159" t="s">
        <v>19</v>
      </c>
      <c r="K2385" s="1350" t="s">
        <v>839</v>
      </c>
      <c r="L2385" s="160"/>
      <c r="M2385" s="159">
        <v>0</v>
      </c>
      <c r="N2385" s="157">
        <v>0</v>
      </c>
      <c r="O2385" s="82">
        <f t="shared" si="473"/>
        <v>0</v>
      </c>
      <c r="P2385" s="158"/>
      <c r="Q2385" s="1071">
        <f t="shared" si="475"/>
        <v>0</v>
      </c>
    </row>
    <row r="2386" spans="9:17" ht="13.9" x14ac:dyDescent="0.4">
      <c r="I2386" s="1073">
        <f t="shared" si="474"/>
        <v>0</v>
      </c>
      <c r="J2386" s="159" t="s">
        <v>19</v>
      </c>
      <c r="K2386" s="1350" t="s">
        <v>839</v>
      </c>
      <c r="L2386" s="160"/>
      <c r="M2386" s="159">
        <v>0</v>
      </c>
      <c r="N2386" s="157">
        <v>0</v>
      </c>
      <c r="O2386" s="82">
        <f t="shared" si="473"/>
        <v>0</v>
      </c>
      <c r="P2386" s="158"/>
      <c r="Q2386" s="1071">
        <f t="shared" si="475"/>
        <v>0</v>
      </c>
    </row>
    <row r="2387" spans="9:17" ht="13.9" x14ac:dyDescent="0.4">
      <c r="I2387" s="1073">
        <f t="shared" si="474"/>
        <v>0</v>
      </c>
      <c r="J2387" s="159" t="s">
        <v>19</v>
      </c>
      <c r="K2387" s="1350" t="s">
        <v>839</v>
      </c>
      <c r="L2387" s="160"/>
      <c r="M2387" s="159">
        <v>0</v>
      </c>
      <c r="N2387" s="157">
        <v>0</v>
      </c>
      <c r="O2387" s="82">
        <f t="shared" si="473"/>
        <v>0</v>
      </c>
      <c r="P2387" s="158"/>
      <c r="Q2387" s="1071">
        <f t="shared" si="475"/>
        <v>0</v>
      </c>
    </row>
    <row r="2388" spans="9:17" ht="13.9" x14ac:dyDescent="0.4">
      <c r="I2388" s="1073">
        <f t="shared" si="474"/>
        <v>0</v>
      </c>
      <c r="J2388" s="159" t="s">
        <v>19</v>
      </c>
      <c r="K2388" s="1350" t="s">
        <v>839</v>
      </c>
      <c r="L2388" s="160"/>
      <c r="M2388" s="159">
        <v>0</v>
      </c>
      <c r="N2388" s="157">
        <v>0</v>
      </c>
      <c r="O2388" s="82">
        <f t="shared" si="473"/>
        <v>0</v>
      </c>
      <c r="P2388" s="158"/>
      <c r="Q2388" s="1071">
        <f t="shared" si="475"/>
        <v>0</v>
      </c>
    </row>
    <row r="2389" spans="9:17" ht="13.9" x14ac:dyDescent="0.4">
      <c r="I2389" s="1073">
        <f t="shared" si="474"/>
        <v>0</v>
      </c>
      <c r="J2389" s="159" t="s">
        <v>19</v>
      </c>
      <c r="K2389" s="1350" t="s">
        <v>839</v>
      </c>
      <c r="L2389" s="160"/>
      <c r="M2389" s="159">
        <v>0</v>
      </c>
      <c r="N2389" s="157">
        <v>0</v>
      </c>
      <c r="O2389" s="82">
        <f t="shared" si="473"/>
        <v>0</v>
      </c>
      <c r="P2389" s="158"/>
      <c r="Q2389" s="1071">
        <f t="shared" si="475"/>
        <v>0</v>
      </c>
    </row>
    <row r="2390" spans="9:17" ht="13.9" x14ac:dyDescent="0.4">
      <c r="I2390" s="1071"/>
      <c r="J2390" s="86" t="s">
        <v>22</v>
      </c>
      <c r="K2390" s="86"/>
      <c r="L2390" s="86"/>
      <c r="M2390" s="81"/>
      <c r="N2390" s="87"/>
      <c r="O2390" s="88">
        <f>SUM(O2380:O2389)</f>
        <v>0</v>
      </c>
      <c r="P2390" s="86"/>
      <c r="Q2390" s="1071"/>
    </row>
    <row r="2391" spans="9:17" ht="13.9" x14ac:dyDescent="0.4">
      <c r="I2391" s="1071"/>
      <c r="J2391" s="83"/>
      <c r="K2391" s="83"/>
      <c r="L2391" s="83"/>
      <c r="M2391" s="83"/>
      <c r="N2391" s="84"/>
      <c r="O2391" s="83"/>
      <c r="P2391" s="83"/>
      <c r="Q2391" s="1071"/>
    </row>
    <row r="2392" spans="9:17" ht="13.9" x14ac:dyDescent="0.4">
      <c r="I2392" s="1071"/>
      <c r="J2392" s="78" t="str">
        <f>IF(OR(A2_Budget_Look_Up!$B$7=1,A2_Budget_Look_Up!$B$13=1),"Nematicide Detail", "Fungicide Detail")</f>
        <v>Fungicide Detail</v>
      </c>
      <c r="K2392" s="78"/>
      <c r="L2392" s="78"/>
      <c r="M2392" s="79"/>
      <c r="N2392" s="85"/>
      <c r="O2392" s="79"/>
      <c r="P2392" s="78"/>
      <c r="Q2392" s="1071"/>
    </row>
    <row r="2393" spans="9:17" ht="13.9" x14ac:dyDescent="0.4">
      <c r="I2393" s="1071"/>
      <c r="J2393" s="80" t="s">
        <v>212</v>
      </c>
      <c r="K2393" s="80" t="s">
        <v>838</v>
      </c>
      <c r="L2393" s="80" t="s">
        <v>2</v>
      </c>
      <c r="M2393" s="80" t="s">
        <v>21</v>
      </c>
      <c r="N2393" s="80" t="s">
        <v>174</v>
      </c>
      <c r="O2393" s="80" t="s">
        <v>14</v>
      </c>
      <c r="P2393" s="80" t="s">
        <v>890</v>
      </c>
      <c r="Q2393" s="1071"/>
    </row>
    <row r="2394" spans="9:17" ht="13.9" x14ac:dyDescent="0.4">
      <c r="I2394" s="1073">
        <f>IF($A$1=39,I2389+1,0)</f>
        <v>0</v>
      </c>
      <c r="J2394" s="156" t="s">
        <v>19</v>
      </c>
      <c r="K2394" s="1350" t="s">
        <v>839</v>
      </c>
      <c r="L2394" s="158"/>
      <c r="M2394" s="159">
        <v>0</v>
      </c>
      <c r="N2394" s="157">
        <v>0</v>
      </c>
      <c r="O2394" s="82">
        <f>M2394*N2394</f>
        <v>0</v>
      </c>
      <c r="P2394" s="158"/>
      <c r="Q2394" s="1071">
        <f>Q2389</f>
        <v>0</v>
      </c>
    </row>
    <row r="2395" spans="9:17" ht="13.9" x14ac:dyDescent="0.4">
      <c r="I2395" s="1073">
        <f>IF($A$1=39,I2394+1,0)</f>
        <v>0</v>
      </c>
      <c r="J2395" s="156" t="s">
        <v>19</v>
      </c>
      <c r="K2395" s="1350" t="s">
        <v>839</v>
      </c>
      <c r="L2395" s="158"/>
      <c r="M2395" s="159">
        <v>0</v>
      </c>
      <c r="N2395" s="157">
        <v>0</v>
      </c>
      <c r="O2395" s="82">
        <f>M2395*N2395</f>
        <v>0</v>
      </c>
      <c r="P2395" s="158"/>
      <c r="Q2395" s="1071">
        <f>Q2394</f>
        <v>0</v>
      </c>
    </row>
    <row r="2396" spans="9:17" ht="13.9" x14ac:dyDescent="0.4">
      <c r="I2396" s="1071"/>
      <c r="J2396" s="86" t="s">
        <v>22</v>
      </c>
      <c r="K2396" s="86"/>
      <c r="L2396" s="86"/>
      <c r="M2396" s="81"/>
      <c r="N2396" s="87"/>
      <c r="O2396" s="88">
        <f>SUM(O2394:O2395)</f>
        <v>0</v>
      </c>
      <c r="P2396" s="86"/>
      <c r="Q2396" s="1071"/>
    </row>
    <row r="2397" spans="9:17" ht="13.9" x14ac:dyDescent="0.4">
      <c r="I2397" s="1071"/>
      <c r="J2397" s="83"/>
      <c r="K2397" s="83"/>
      <c r="L2397" s="83"/>
      <c r="M2397" s="83"/>
      <c r="N2397" s="84"/>
      <c r="O2397" s="83"/>
      <c r="P2397" s="83"/>
      <c r="Q2397" s="1071"/>
    </row>
    <row r="2398" spans="9:17" ht="13.9" x14ac:dyDescent="0.4">
      <c r="I2398" s="1071"/>
      <c r="J2398" s="78" t="str">
        <f>IF(A2_Budget_Look_Up!$B$7=1,"Growth Regulator Detail", IF(A2_Budget_Look_Up!$B$13=1,"Fungicide Detail","Other Chemical Detail"))</f>
        <v>Other Chemical Detail</v>
      </c>
      <c r="K2398" s="78"/>
      <c r="L2398" s="78"/>
      <c r="M2398" s="79"/>
      <c r="N2398" s="85"/>
      <c r="O2398" s="79"/>
      <c r="P2398" s="78"/>
      <c r="Q2398" s="1071"/>
    </row>
    <row r="2399" spans="9:17" ht="13.9" x14ac:dyDescent="0.4">
      <c r="I2399" s="1071"/>
      <c r="J2399" s="80" t="s">
        <v>212</v>
      </c>
      <c r="K2399" s="80" t="s">
        <v>838</v>
      </c>
      <c r="L2399" s="80" t="s">
        <v>2</v>
      </c>
      <c r="M2399" s="80" t="s">
        <v>21</v>
      </c>
      <c r="N2399" s="80" t="s">
        <v>174</v>
      </c>
      <c r="O2399" s="80" t="s">
        <v>14</v>
      </c>
      <c r="P2399" s="80" t="s">
        <v>890</v>
      </c>
      <c r="Q2399" s="1071"/>
    </row>
    <row r="2400" spans="9:17" ht="13.9" x14ac:dyDescent="0.4">
      <c r="I2400" s="1073">
        <f>IF($A$1=39,I2395+1,0)</f>
        <v>0</v>
      </c>
      <c r="J2400" s="156" t="s">
        <v>19</v>
      </c>
      <c r="K2400" s="1350" t="s">
        <v>839</v>
      </c>
      <c r="L2400" s="158"/>
      <c r="M2400" s="159">
        <v>0</v>
      </c>
      <c r="N2400" s="157">
        <v>0</v>
      </c>
      <c r="O2400" s="82">
        <f t="shared" ref="O2400:O2406" si="476">M2400*N2400</f>
        <v>0</v>
      </c>
      <c r="P2400" s="160"/>
      <c r="Q2400" s="1071">
        <f>Q2395</f>
        <v>0</v>
      </c>
    </row>
    <row r="2401" spans="9:17" ht="13.9" x14ac:dyDescent="0.4">
      <c r="I2401" s="1073">
        <f t="shared" ref="I2401:I2406" si="477">IF($A$1=39,I2400+1,0)</f>
        <v>0</v>
      </c>
      <c r="J2401" s="156" t="s">
        <v>19</v>
      </c>
      <c r="K2401" s="1350" t="s">
        <v>839</v>
      </c>
      <c r="L2401" s="158"/>
      <c r="M2401" s="159">
        <v>0</v>
      </c>
      <c r="N2401" s="157">
        <v>0</v>
      </c>
      <c r="O2401" s="82">
        <f t="shared" si="476"/>
        <v>0</v>
      </c>
      <c r="P2401" s="160"/>
      <c r="Q2401" s="1071">
        <f t="shared" ref="Q2401:Q2406" si="478">Q2400</f>
        <v>0</v>
      </c>
    </row>
    <row r="2402" spans="9:17" ht="13.9" x14ac:dyDescent="0.4">
      <c r="I2402" s="1073">
        <f t="shared" si="477"/>
        <v>0</v>
      </c>
      <c r="J2402" s="156" t="s">
        <v>19</v>
      </c>
      <c r="K2402" s="1350" t="s">
        <v>839</v>
      </c>
      <c r="L2402" s="158"/>
      <c r="M2402" s="159">
        <v>0</v>
      </c>
      <c r="N2402" s="157">
        <v>0</v>
      </c>
      <c r="O2402" s="82">
        <f t="shared" si="476"/>
        <v>0</v>
      </c>
      <c r="P2402" s="160"/>
      <c r="Q2402" s="1071">
        <f t="shared" si="478"/>
        <v>0</v>
      </c>
    </row>
    <row r="2403" spans="9:17" ht="13.9" x14ac:dyDescent="0.4">
      <c r="I2403" s="1073">
        <f t="shared" si="477"/>
        <v>0</v>
      </c>
      <c r="J2403" s="156" t="s">
        <v>19</v>
      </c>
      <c r="K2403" s="1350" t="s">
        <v>839</v>
      </c>
      <c r="L2403" s="158"/>
      <c r="M2403" s="159">
        <v>0</v>
      </c>
      <c r="N2403" s="157">
        <v>0</v>
      </c>
      <c r="O2403" s="82">
        <f t="shared" si="476"/>
        <v>0</v>
      </c>
      <c r="P2403" s="158"/>
      <c r="Q2403" s="1071">
        <f t="shared" si="478"/>
        <v>0</v>
      </c>
    </row>
    <row r="2404" spans="9:17" ht="13.9" x14ac:dyDescent="0.4">
      <c r="I2404" s="1073">
        <f t="shared" si="477"/>
        <v>0</v>
      </c>
      <c r="J2404" s="156" t="s">
        <v>19</v>
      </c>
      <c r="K2404" s="1350" t="s">
        <v>839</v>
      </c>
      <c r="L2404" s="158"/>
      <c r="M2404" s="159">
        <v>0</v>
      </c>
      <c r="N2404" s="157">
        <v>0</v>
      </c>
      <c r="O2404" s="82">
        <f t="shared" si="476"/>
        <v>0</v>
      </c>
      <c r="P2404" s="158"/>
      <c r="Q2404" s="1071">
        <f t="shared" si="478"/>
        <v>0</v>
      </c>
    </row>
    <row r="2405" spans="9:17" ht="13.9" x14ac:dyDescent="0.4">
      <c r="I2405" s="1073">
        <f t="shared" si="477"/>
        <v>0</v>
      </c>
      <c r="J2405" s="156" t="s">
        <v>19</v>
      </c>
      <c r="K2405" s="1350" t="s">
        <v>839</v>
      </c>
      <c r="L2405" s="158"/>
      <c r="M2405" s="159">
        <v>0</v>
      </c>
      <c r="N2405" s="157">
        <v>0</v>
      </c>
      <c r="O2405" s="82">
        <f t="shared" si="476"/>
        <v>0</v>
      </c>
      <c r="P2405" s="158"/>
      <c r="Q2405" s="1071">
        <f t="shared" si="478"/>
        <v>0</v>
      </c>
    </row>
    <row r="2406" spans="9:17" ht="13.9" x14ac:dyDescent="0.4">
      <c r="I2406" s="1073">
        <f t="shared" si="477"/>
        <v>0</v>
      </c>
      <c r="J2406" s="156" t="s">
        <v>19</v>
      </c>
      <c r="K2406" s="1350" t="s">
        <v>839</v>
      </c>
      <c r="L2406" s="158"/>
      <c r="M2406" s="159">
        <v>0</v>
      </c>
      <c r="N2406" s="157">
        <v>0</v>
      </c>
      <c r="O2406" s="82">
        <f t="shared" si="476"/>
        <v>0</v>
      </c>
      <c r="P2406" s="158"/>
      <c r="Q2406" s="1071">
        <f t="shared" si="478"/>
        <v>0</v>
      </c>
    </row>
    <row r="2407" spans="9:17" ht="13.9" x14ac:dyDescent="0.4">
      <c r="I2407" s="1071"/>
      <c r="J2407" s="86" t="s">
        <v>22</v>
      </c>
      <c r="K2407" s="86"/>
      <c r="L2407" s="86"/>
      <c r="M2407" s="81"/>
      <c r="N2407" s="87"/>
      <c r="O2407" s="88">
        <f>SUM(O2400:O2406)</f>
        <v>0</v>
      </c>
      <c r="P2407" s="86"/>
      <c r="Q2407" s="1071"/>
    </row>
    <row r="2408" spans="9:17" ht="13.9" x14ac:dyDescent="0.4">
      <c r="I2408" s="1071"/>
      <c r="J2408" s="83"/>
      <c r="K2408" s="83"/>
      <c r="L2408" s="83"/>
      <c r="M2408" s="83"/>
      <c r="N2408" s="84"/>
      <c r="O2408" s="83"/>
      <c r="P2408" s="83"/>
      <c r="Q2408" s="1071"/>
    </row>
    <row r="2409" spans="9:17" ht="13.9" x14ac:dyDescent="0.4">
      <c r="I2409" s="1071"/>
      <c r="J2409" s="78" t="str">
        <f>IF(A2_Budget_Look_Up!$B$7=1,"Defoliant Detail", "Other Chemical Detail")</f>
        <v>Other Chemical Detail</v>
      </c>
      <c r="K2409" s="78"/>
      <c r="L2409" s="78"/>
      <c r="M2409" s="79"/>
      <c r="N2409" s="85"/>
      <c r="O2409" s="79"/>
      <c r="P2409" s="78"/>
      <c r="Q2409" s="1071"/>
    </row>
    <row r="2410" spans="9:17" ht="13.9" x14ac:dyDescent="0.4">
      <c r="I2410" s="1071"/>
      <c r="J2410" s="80" t="s">
        <v>212</v>
      </c>
      <c r="K2410" s="80" t="s">
        <v>838</v>
      </c>
      <c r="L2410" s="80" t="s">
        <v>2</v>
      </c>
      <c r="M2410" s="80" t="s">
        <v>21</v>
      </c>
      <c r="N2410" s="80" t="s">
        <v>174</v>
      </c>
      <c r="O2410" s="80" t="s">
        <v>14</v>
      </c>
      <c r="P2410" s="80" t="s">
        <v>890</v>
      </c>
      <c r="Q2410" s="1071"/>
    </row>
    <row r="2411" spans="9:17" ht="13.9" x14ac:dyDescent="0.4">
      <c r="I2411" s="1073">
        <f>IF($A$1=39,I2406+1,0)</f>
        <v>0</v>
      </c>
      <c r="J2411" s="156" t="s">
        <v>19</v>
      </c>
      <c r="K2411" s="1350" t="s">
        <v>839</v>
      </c>
      <c r="L2411" s="158"/>
      <c r="M2411" s="159">
        <v>0</v>
      </c>
      <c r="N2411" s="157">
        <v>0</v>
      </c>
      <c r="O2411" s="82">
        <f t="shared" ref="O2411:O2417" si="479">M2411*N2411</f>
        <v>0</v>
      </c>
      <c r="P2411" s="160"/>
      <c r="Q2411" s="1071">
        <f>Q2406</f>
        <v>0</v>
      </c>
    </row>
    <row r="2412" spans="9:17" ht="13.9" x14ac:dyDescent="0.4">
      <c r="I2412" s="1073">
        <f t="shared" ref="I2412:I2417" si="480">IF($A$1=39,I2411+1,0)</f>
        <v>0</v>
      </c>
      <c r="J2412" s="156" t="s">
        <v>19</v>
      </c>
      <c r="K2412" s="1350" t="s">
        <v>839</v>
      </c>
      <c r="L2412" s="158"/>
      <c r="M2412" s="159">
        <v>0</v>
      </c>
      <c r="N2412" s="157">
        <v>0</v>
      </c>
      <c r="O2412" s="82">
        <f t="shared" si="479"/>
        <v>0</v>
      </c>
      <c r="P2412" s="160"/>
      <c r="Q2412" s="1071">
        <f t="shared" ref="Q2412:Q2417" si="481">Q2411</f>
        <v>0</v>
      </c>
    </row>
    <row r="2413" spans="9:17" ht="13.9" x14ac:dyDescent="0.4">
      <c r="I2413" s="1073">
        <f t="shared" si="480"/>
        <v>0</v>
      </c>
      <c r="J2413" s="156" t="s">
        <v>19</v>
      </c>
      <c r="K2413" s="1350" t="s">
        <v>839</v>
      </c>
      <c r="L2413" s="158"/>
      <c r="M2413" s="159">
        <v>0</v>
      </c>
      <c r="N2413" s="157">
        <v>0</v>
      </c>
      <c r="O2413" s="82">
        <f t="shared" si="479"/>
        <v>0</v>
      </c>
      <c r="P2413" s="160"/>
      <c r="Q2413" s="1071">
        <f t="shared" si="481"/>
        <v>0</v>
      </c>
    </row>
    <row r="2414" spans="9:17" ht="13.9" x14ac:dyDescent="0.4">
      <c r="I2414" s="1073">
        <f t="shared" si="480"/>
        <v>0</v>
      </c>
      <c r="J2414" s="156" t="s">
        <v>19</v>
      </c>
      <c r="K2414" s="1350" t="s">
        <v>839</v>
      </c>
      <c r="L2414" s="158"/>
      <c r="M2414" s="159">
        <v>0</v>
      </c>
      <c r="N2414" s="157">
        <v>0</v>
      </c>
      <c r="O2414" s="82">
        <f t="shared" si="479"/>
        <v>0</v>
      </c>
      <c r="P2414" s="160"/>
      <c r="Q2414" s="1071">
        <f t="shared" si="481"/>
        <v>0</v>
      </c>
    </row>
    <row r="2415" spans="9:17" ht="13.9" x14ac:dyDescent="0.4">
      <c r="I2415" s="1073">
        <f t="shared" si="480"/>
        <v>0</v>
      </c>
      <c r="J2415" s="156" t="s">
        <v>19</v>
      </c>
      <c r="K2415" s="1350" t="s">
        <v>839</v>
      </c>
      <c r="L2415" s="158"/>
      <c r="M2415" s="159">
        <v>0</v>
      </c>
      <c r="N2415" s="157">
        <v>0</v>
      </c>
      <c r="O2415" s="82">
        <f t="shared" si="479"/>
        <v>0</v>
      </c>
      <c r="P2415" s="160"/>
      <c r="Q2415" s="1071">
        <f t="shared" si="481"/>
        <v>0</v>
      </c>
    </row>
    <row r="2416" spans="9:17" ht="13.9" x14ac:dyDescent="0.4">
      <c r="I2416" s="1073">
        <f t="shared" si="480"/>
        <v>0</v>
      </c>
      <c r="J2416" s="156" t="s">
        <v>19</v>
      </c>
      <c r="K2416" s="1350" t="s">
        <v>839</v>
      </c>
      <c r="L2416" s="158"/>
      <c r="M2416" s="159">
        <v>0</v>
      </c>
      <c r="N2416" s="157">
        <v>0</v>
      </c>
      <c r="O2416" s="82">
        <f t="shared" si="479"/>
        <v>0</v>
      </c>
      <c r="P2416" s="158"/>
      <c r="Q2416" s="1071">
        <f t="shared" si="481"/>
        <v>0</v>
      </c>
    </row>
    <row r="2417" spans="9:17" ht="13.9" x14ac:dyDescent="0.4">
      <c r="I2417" s="1073">
        <f t="shared" si="480"/>
        <v>0</v>
      </c>
      <c r="J2417" s="156" t="s">
        <v>19</v>
      </c>
      <c r="K2417" s="1350" t="s">
        <v>839</v>
      </c>
      <c r="L2417" s="158"/>
      <c r="M2417" s="159">
        <v>0</v>
      </c>
      <c r="N2417" s="157">
        <v>0</v>
      </c>
      <c r="O2417" s="82">
        <f t="shared" si="479"/>
        <v>0</v>
      </c>
      <c r="P2417" s="158"/>
      <c r="Q2417" s="1071">
        <f t="shared" si="481"/>
        <v>0</v>
      </c>
    </row>
    <row r="2418" spans="9:17" ht="13.9" x14ac:dyDescent="0.4">
      <c r="I2418" s="1071"/>
      <c r="J2418" s="86" t="s">
        <v>22</v>
      </c>
      <c r="K2418" s="86"/>
      <c r="L2418" s="86"/>
      <c r="M2418" s="81"/>
      <c r="N2418" s="87"/>
      <c r="O2418" s="88">
        <f>SUM(O2411:O2417)</f>
        <v>0</v>
      </c>
      <c r="P2418" s="86"/>
      <c r="Q2418" s="1071"/>
    </row>
    <row r="2419" spans="9:17" ht="13.9" x14ac:dyDescent="0.4">
      <c r="I2419" s="1071"/>
      <c r="J2419" s="83"/>
      <c r="K2419" s="83"/>
      <c r="L2419" s="83"/>
      <c r="M2419" s="89"/>
      <c r="N2419" s="84"/>
      <c r="O2419" s="89"/>
      <c r="P2419" s="83"/>
      <c r="Q2419" s="1071"/>
    </row>
    <row r="2420" spans="9:17" ht="13.9" x14ac:dyDescent="0.4">
      <c r="I2420" s="1071"/>
      <c r="J2420" s="1168" t="str">
        <f>A2_Budget_Look_Up!H42</f>
        <v>Row Rice, Conventional Seed</v>
      </c>
      <c r="K2420" s="1168"/>
      <c r="L2420" s="1168">
        <f>A2_Budget_Look_Up!F42</f>
        <v>40</v>
      </c>
      <c r="M2420" s="1168"/>
      <c r="N2420" s="1168"/>
      <c r="O2420" s="1168"/>
      <c r="P2420" s="1168"/>
      <c r="Q2420" s="1071"/>
    </row>
    <row r="2421" spans="9:17" ht="13.9" x14ac:dyDescent="0.4">
      <c r="I2421" s="1071"/>
      <c r="J2421" s="83"/>
      <c r="K2421" s="83"/>
      <c r="L2421" s="83"/>
      <c r="M2421" s="83"/>
      <c r="N2421" s="84"/>
      <c r="O2421" s="83"/>
      <c r="P2421" s="83"/>
      <c r="Q2421" s="1071"/>
    </row>
    <row r="2422" spans="9:17" ht="13.9" x14ac:dyDescent="0.4">
      <c r="I2422" s="1071"/>
      <c r="J2422" s="78" t="s">
        <v>18</v>
      </c>
      <c r="K2422" s="78"/>
      <c r="L2422" s="78"/>
      <c r="M2422" s="79"/>
      <c r="N2422" s="85"/>
      <c r="O2422" s="79"/>
      <c r="P2422" s="78"/>
      <c r="Q2422" s="1071"/>
    </row>
    <row r="2423" spans="9:17" ht="13.9" x14ac:dyDescent="0.4">
      <c r="I2423" s="1071"/>
      <c r="J2423" s="80" t="s">
        <v>212</v>
      </c>
      <c r="K2423" s="80" t="s">
        <v>838</v>
      </c>
      <c r="L2423" s="80" t="s">
        <v>2</v>
      </c>
      <c r="M2423" s="80" t="s">
        <v>21</v>
      </c>
      <c r="N2423" s="80" t="s">
        <v>174</v>
      </c>
      <c r="O2423" s="80" t="s">
        <v>14</v>
      </c>
      <c r="P2423" s="80" t="s">
        <v>890</v>
      </c>
      <c r="Q2423" s="1071"/>
    </row>
    <row r="2424" spans="9:17" ht="13.9" x14ac:dyDescent="0.4">
      <c r="I2424" s="1073">
        <f>IF($A$1=40,1,0)</f>
        <v>0</v>
      </c>
      <c r="J2424" s="159" t="str">
        <f>A4_Chem_Prices!H$2</f>
        <v>Command</v>
      </c>
      <c r="K2424" s="1350" t="s">
        <v>839</v>
      </c>
      <c r="L2424" s="158" t="str">
        <f>A4_Chem_Prices!I$2</f>
        <v>oz</v>
      </c>
      <c r="M2424" s="159">
        <f>A4_Chem_Prices!J$2</f>
        <v>0.67414062499999994</v>
      </c>
      <c r="N2424" s="157">
        <v>12.8</v>
      </c>
      <c r="O2424" s="82">
        <f t="shared" ref="O2424:O2437" si="482">M2424*N2424</f>
        <v>8.6289999999999996</v>
      </c>
      <c r="P2424" s="1449">
        <f>N2424</f>
        <v>12.8</v>
      </c>
      <c r="Q2424" s="1171">
        <f>IF(SUM(I2424:I2479)=820,L2420,0)</f>
        <v>0</v>
      </c>
    </row>
    <row r="2425" spans="9:17" ht="13.9" x14ac:dyDescent="0.4">
      <c r="I2425" s="1073">
        <f t="shared" ref="I2425:I2437" si="483">IF($A$1=40,I2424+1,0)</f>
        <v>0</v>
      </c>
      <c r="J2425" s="159" t="str">
        <f>A4_Chem_Prices!H$13</f>
        <v>Propanil</v>
      </c>
      <c r="K2425" s="1350" t="s">
        <v>839</v>
      </c>
      <c r="L2425" s="160" t="str">
        <f>A4_Chem_Prices!I$13</f>
        <v>oz</v>
      </c>
      <c r="M2425" s="159">
        <f>A4_Chem_Prices!J$13</f>
        <v>0.1953125</v>
      </c>
      <c r="N2425" s="157">
        <v>1</v>
      </c>
      <c r="O2425" s="82">
        <f t="shared" si="482"/>
        <v>0.1953125</v>
      </c>
      <c r="P2425" s="160">
        <f>N2425*128</f>
        <v>128</v>
      </c>
      <c r="Q2425" s="1071">
        <f>Q2424</f>
        <v>0</v>
      </c>
    </row>
    <row r="2426" spans="9:17" ht="13.9" x14ac:dyDescent="0.4">
      <c r="I2426" s="1073">
        <f t="shared" si="483"/>
        <v>0</v>
      </c>
      <c r="J2426" s="159" t="str">
        <f>A4_Chem_Prices!H$7</f>
        <v>Facet L</v>
      </c>
      <c r="K2426" s="1350" t="s">
        <v>839</v>
      </c>
      <c r="L2426" s="158" t="str">
        <f>A4_Chem_Prices!I$7</f>
        <v>oz</v>
      </c>
      <c r="M2426" s="159">
        <f>A4_Chem_Prices!J$7</f>
        <v>0.6640625</v>
      </c>
      <c r="N2426" s="157">
        <v>0.33</v>
      </c>
      <c r="O2426" s="82">
        <f t="shared" si="482"/>
        <v>0.21914062500000001</v>
      </c>
      <c r="P2426" s="160">
        <f>N2426*16</f>
        <v>5.28</v>
      </c>
      <c r="Q2426" s="1071">
        <f t="shared" ref="Q2426:Q2437" si="484">Q2425</f>
        <v>0</v>
      </c>
    </row>
    <row r="2427" spans="9:17" ht="13.9" x14ac:dyDescent="0.4">
      <c r="I2427" s="1073">
        <f t="shared" si="483"/>
        <v>0</v>
      </c>
      <c r="J2427" s="159" t="str">
        <f>A4_Chem_Prices!H$8</f>
        <v>Beyond</v>
      </c>
      <c r="K2427" s="1350" t="s">
        <v>839</v>
      </c>
      <c r="L2427" s="160" t="str">
        <f>A4_Chem_Prices!I$8</f>
        <v>oz</v>
      </c>
      <c r="M2427" s="159">
        <f>A4_Chem_Prices!J$8</f>
        <v>3.39</v>
      </c>
      <c r="N2427" s="157">
        <v>32</v>
      </c>
      <c r="O2427" s="82">
        <f t="shared" si="482"/>
        <v>108.48</v>
      </c>
      <c r="P2427" s="1449">
        <f>N2427</f>
        <v>32</v>
      </c>
      <c r="Q2427" s="1071">
        <f t="shared" si="484"/>
        <v>0</v>
      </c>
    </row>
    <row r="2428" spans="9:17" ht="13.9" x14ac:dyDescent="0.4">
      <c r="I2428" s="1073">
        <f t="shared" si="483"/>
        <v>0</v>
      </c>
      <c r="J2428" s="159" t="str">
        <f>A4_Chem_Prices!H$14</f>
        <v>Bolero</v>
      </c>
      <c r="K2428" s="1350" t="s">
        <v>839</v>
      </c>
      <c r="L2428" s="160" t="str">
        <f>A4_Chem_Prices!I$14</f>
        <v>oz</v>
      </c>
      <c r="M2428" s="159">
        <f>A4_Chem_Prices!J$14</f>
        <v>0.3828125</v>
      </c>
      <c r="N2428" s="157">
        <v>3</v>
      </c>
      <c r="O2428" s="82">
        <f t="shared" si="482"/>
        <v>1.1484375</v>
      </c>
      <c r="P2428" s="160">
        <f>N2428*16</f>
        <v>48</v>
      </c>
      <c r="Q2428" s="1071">
        <f t="shared" si="484"/>
        <v>0</v>
      </c>
    </row>
    <row r="2429" spans="9:17" ht="13.9" x14ac:dyDescent="0.4">
      <c r="I2429" s="1073">
        <f t="shared" si="483"/>
        <v>0</v>
      </c>
      <c r="J2429" s="159" t="str">
        <f>A4_Chem_Prices!H$15</f>
        <v>Ricestar HT</v>
      </c>
      <c r="K2429" s="1350" t="s">
        <v>839</v>
      </c>
      <c r="L2429" s="160" t="str">
        <f>A4_Chem_Prices!I$15</f>
        <v>oz</v>
      </c>
      <c r="M2429" s="159">
        <f>A4_Chem_Prices!J$15</f>
        <v>1.47484375</v>
      </c>
      <c r="N2429" s="157">
        <v>24</v>
      </c>
      <c r="O2429" s="82">
        <f t="shared" si="482"/>
        <v>35.396250000000002</v>
      </c>
      <c r="P2429" s="1449">
        <f>N2429</f>
        <v>24</v>
      </c>
      <c r="Q2429" s="1071">
        <f t="shared" si="484"/>
        <v>0</v>
      </c>
    </row>
    <row r="2430" spans="9:17" ht="13.9" x14ac:dyDescent="0.4">
      <c r="I2430" s="1073">
        <f t="shared" si="483"/>
        <v>0</v>
      </c>
      <c r="J2430" s="159" t="str">
        <f>A4_Chem_Prices!H$8</f>
        <v>Beyond</v>
      </c>
      <c r="K2430" s="1350" t="s">
        <v>839</v>
      </c>
      <c r="L2430" s="158" t="str">
        <f>A4_Chem_Prices!I$8</f>
        <v>oz</v>
      </c>
      <c r="M2430" s="159">
        <f>A4_Chem_Prices!J$8</f>
        <v>3.39</v>
      </c>
      <c r="N2430" s="157">
        <v>32</v>
      </c>
      <c r="O2430" s="82">
        <f t="shared" si="482"/>
        <v>108.48</v>
      </c>
      <c r="P2430" s="1449">
        <f>N2430</f>
        <v>32</v>
      </c>
      <c r="Q2430" s="1071">
        <f t="shared" si="484"/>
        <v>0</v>
      </c>
    </row>
    <row r="2431" spans="9:17" ht="13.9" x14ac:dyDescent="0.4">
      <c r="I2431" s="1073">
        <f t="shared" si="483"/>
        <v>0</v>
      </c>
      <c r="J2431" s="159" t="s">
        <v>19</v>
      </c>
      <c r="K2431" s="1350" t="s">
        <v>839</v>
      </c>
      <c r="L2431" s="160"/>
      <c r="M2431" s="159">
        <v>0</v>
      </c>
      <c r="N2431" s="157">
        <v>0</v>
      </c>
      <c r="O2431" s="82">
        <f t="shared" si="482"/>
        <v>0</v>
      </c>
      <c r="P2431" s="160"/>
      <c r="Q2431" s="1071">
        <f t="shared" si="484"/>
        <v>0</v>
      </c>
    </row>
    <row r="2432" spans="9:17" ht="13.9" x14ac:dyDescent="0.4">
      <c r="I2432" s="1073">
        <f t="shared" si="483"/>
        <v>0</v>
      </c>
      <c r="J2432" s="159" t="s">
        <v>19</v>
      </c>
      <c r="K2432" s="1350" t="s">
        <v>839</v>
      </c>
      <c r="L2432" s="160"/>
      <c r="M2432" s="159">
        <v>0</v>
      </c>
      <c r="N2432" s="157">
        <v>0</v>
      </c>
      <c r="O2432" s="82">
        <f t="shared" si="482"/>
        <v>0</v>
      </c>
      <c r="P2432" s="160"/>
      <c r="Q2432" s="1071">
        <f t="shared" si="484"/>
        <v>0</v>
      </c>
    </row>
    <row r="2433" spans="9:17" ht="13.9" x14ac:dyDescent="0.4">
      <c r="I2433" s="1073">
        <f t="shared" si="483"/>
        <v>0</v>
      </c>
      <c r="J2433" s="159" t="s">
        <v>19</v>
      </c>
      <c r="K2433" s="1350" t="s">
        <v>839</v>
      </c>
      <c r="L2433" s="160"/>
      <c r="M2433" s="159">
        <v>0</v>
      </c>
      <c r="N2433" s="157">
        <v>0</v>
      </c>
      <c r="O2433" s="82">
        <f t="shared" si="482"/>
        <v>0</v>
      </c>
      <c r="P2433" s="160"/>
      <c r="Q2433" s="1071">
        <f t="shared" si="484"/>
        <v>0</v>
      </c>
    </row>
    <row r="2434" spans="9:17" ht="13.9" x14ac:dyDescent="0.4">
      <c r="I2434" s="1073">
        <f t="shared" si="483"/>
        <v>0</v>
      </c>
      <c r="J2434" s="159" t="s">
        <v>19</v>
      </c>
      <c r="K2434" s="1350" t="s">
        <v>839</v>
      </c>
      <c r="L2434" s="160"/>
      <c r="M2434" s="159">
        <v>0</v>
      </c>
      <c r="N2434" s="157">
        <v>0</v>
      </c>
      <c r="O2434" s="82">
        <f t="shared" si="482"/>
        <v>0</v>
      </c>
      <c r="P2434" s="160"/>
      <c r="Q2434" s="1071">
        <f t="shared" si="484"/>
        <v>0</v>
      </c>
    </row>
    <row r="2435" spans="9:17" ht="13.9" x14ac:dyDescent="0.4">
      <c r="I2435" s="1073">
        <f t="shared" si="483"/>
        <v>0</v>
      </c>
      <c r="J2435" s="159" t="s">
        <v>19</v>
      </c>
      <c r="K2435" s="1350" t="s">
        <v>839</v>
      </c>
      <c r="L2435" s="160"/>
      <c r="M2435" s="159">
        <v>0</v>
      </c>
      <c r="N2435" s="157">
        <v>0</v>
      </c>
      <c r="O2435" s="82">
        <f t="shared" si="482"/>
        <v>0</v>
      </c>
      <c r="P2435" s="160"/>
      <c r="Q2435" s="1071">
        <f t="shared" si="484"/>
        <v>0</v>
      </c>
    </row>
    <row r="2436" spans="9:17" ht="13.9" x14ac:dyDescent="0.4">
      <c r="I2436" s="1073">
        <f t="shared" si="483"/>
        <v>0</v>
      </c>
      <c r="J2436" s="159" t="s">
        <v>19</v>
      </c>
      <c r="K2436" s="1350" t="s">
        <v>839</v>
      </c>
      <c r="L2436" s="160"/>
      <c r="M2436" s="159">
        <v>0</v>
      </c>
      <c r="N2436" s="157">
        <v>0</v>
      </c>
      <c r="O2436" s="82">
        <f t="shared" si="482"/>
        <v>0</v>
      </c>
      <c r="P2436" s="160"/>
      <c r="Q2436" s="1071">
        <f t="shared" si="484"/>
        <v>0</v>
      </c>
    </row>
    <row r="2437" spans="9:17" ht="13.9" x14ac:dyDescent="0.4">
      <c r="I2437" s="1073">
        <f t="shared" si="483"/>
        <v>0</v>
      </c>
      <c r="J2437" s="159" t="s">
        <v>19</v>
      </c>
      <c r="K2437" s="1350" t="s">
        <v>839</v>
      </c>
      <c r="L2437" s="160"/>
      <c r="M2437" s="159">
        <v>0</v>
      </c>
      <c r="N2437" s="157">
        <v>0</v>
      </c>
      <c r="O2437" s="82">
        <f t="shared" si="482"/>
        <v>0</v>
      </c>
      <c r="P2437" s="160"/>
      <c r="Q2437" s="1071">
        <f t="shared" si="484"/>
        <v>0</v>
      </c>
    </row>
    <row r="2438" spans="9:17" ht="13.9" x14ac:dyDescent="0.4">
      <c r="I2438" s="1071"/>
      <c r="J2438" s="86" t="s">
        <v>22</v>
      </c>
      <c r="K2438" s="86"/>
      <c r="L2438" s="86"/>
      <c r="M2438" s="81"/>
      <c r="N2438" s="87"/>
      <c r="O2438" s="88">
        <f>SUM(O2424:O2437)</f>
        <v>262.54814062500003</v>
      </c>
      <c r="P2438" s="86"/>
      <c r="Q2438" s="1071"/>
    </row>
    <row r="2439" spans="9:17" ht="13.9" x14ac:dyDescent="0.4">
      <c r="I2439" s="1071"/>
      <c r="J2439" s="83"/>
      <c r="K2439" s="83"/>
      <c r="L2439" s="83"/>
      <c r="M2439" s="83"/>
      <c r="N2439" s="84"/>
      <c r="O2439" s="83"/>
      <c r="P2439" s="83"/>
      <c r="Q2439" s="1071"/>
    </row>
    <row r="2440" spans="9:17" ht="13.9" x14ac:dyDescent="0.4">
      <c r="I2440" s="1071"/>
      <c r="J2440" s="78" t="s">
        <v>20</v>
      </c>
      <c r="K2440" s="78"/>
      <c r="L2440" s="78"/>
      <c r="M2440" s="79"/>
      <c r="N2440" s="85"/>
      <c r="O2440" s="79"/>
      <c r="P2440" s="78"/>
      <c r="Q2440" s="1071"/>
    </row>
    <row r="2441" spans="9:17" ht="13.9" x14ac:dyDescent="0.4">
      <c r="I2441" s="1071"/>
      <c r="J2441" s="80" t="s">
        <v>212</v>
      </c>
      <c r="K2441" s="80" t="s">
        <v>838</v>
      </c>
      <c r="L2441" s="80" t="s">
        <v>2</v>
      </c>
      <c r="M2441" s="80" t="s">
        <v>21</v>
      </c>
      <c r="N2441" s="80" t="s">
        <v>174</v>
      </c>
      <c r="O2441" s="80" t="s">
        <v>14</v>
      </c>
      <c r="P2441" s="80" t="s">
        <v>890</v>
      </c>
      <c r="Q2441" s="1071"/>
    </row>
    <row r="2442" spans="9:17" ht="13.9" x14ac:dyDescent="0.4">
      <c r="I2442" s="1073">
        <f>IF($A$1=40,I2437+1,0)</f>
        <v>0</v>
      </c>
      <c r="J2442" s="1092" t="str">
        <f>A4_Chem_Prices!H$18</f>
        <v>Lambda-cyhalothrine</v>
      </c>
      <c r="K2442" s="1350" t="s">
        <v>839</v>
      </c>
      <c r="L2442" s="1095" t="str">
        <f>A4_Chem_Prices!I$18</f>
        <v>oz</v>
      </c>
      <c r="M2442" s="1092">
        <f>A4_Chem_Prices!J$18</f>
        <v>2.57</v>
      </c>
      <c r="N2442" s="1094">
        <v>1.6</v>
      </c>
      <c r="O2442" s="82">
        <f t="shared" ref="O2442:O2451" si="485">M2442*N2442</f>
        <v>4.1120000000000001</v>
      </c>
      <c r="P2442" s="1449">
        <f>N2442</f>
        <v>1.6</v>
      </c>
      <c r="Q2442" s="1071">
        <f>Q2424</f>
        <v>0</v>
      </c>
    </row>
    <row r="2443" spans="9:17" ht="13.9" x14ac:dyDescent="0.4">
      <c r="I2443" s="1073">
        <f t="shared" ref="I2443:I2451" si="486">IF($A$1=40,I2442+1,0)</f>
        <v>0</v>
      </c>
      <c r="J2443" s="159" t="s">
        <v>19</v>
      </c>
      <c r="K2443" s="1350" t="s">
        <v>839</v>
      </c>
      <c r="L2443" s="160"/>
      <c r="M2443" s="159">
        <v>0</v>
      </c>
      <c r="N2443" s="157">
        <v>0</v>
      </c>
      <c r="O2443" s="82">
        <f t="shared" si="485"/>
        <v>0</v>
      </c>
      <c r="P2443" s="160"/>
      <c r="Q2443" s="1071">
        <f>Q2442</f>
        <v>0</v>
      </c>
    </row>
    <row r="2444" spans="9:17" ht="13.9" x14ac:dyDescent="0.4">
      <c r="I2444" s="1073">
        <f t="shared" si="486"/>
        <v>0</v>
      </c>
      <c r="J2444" s="159" t="s">
        <v>19</v>
      </c>
      <c r="K2444" s="1350" t="s">
        <v>839</v>
      </c>
      <c r="L2444" s="160"/>
      <c r="M2444" s="159">
        <v>0</v>
      </c>
      <c r="N2444" s="157">
        <v>0</v>
      </c>
      <c r="O2444" s="82">
        <f t="shared" si="485"/>
        <v>0</v>
      </c>
      <c r="P2444" s="160"/>
      <c r="Q2444" s="1071">
        <f t="shared" ref="Q2444:Q2451" si="487">Q2443</f>
        <v>0</v>
      </c>
    </row>
    <row r="2445" spans="9:17" ht="13.9" x14ac:dyDescent="0.4">
      <c r="I2445" s="1073">
        <f t="shared" si="486"/>
        <v>0</v>
      </c>
      <c r="J2445" s="159" t="s">
        <v>19</v>
      </c>
      <c r="K2445" s="1350" t="s">
        <v>839</v>
      </c>
      <c r="L2445" s="160"/>
      <c r="M2445" s="159">
        <v>0</v>
      </c>
      <c r="N2445" s="157">
        <v>0</v>
      </c>
      <c r="O2445" s="82">
        <f t="shared" si="485"/>
        <v>0</v>
      </c>
      <c r="P2445" s="160"/>
      <c r="Q2445" s="1071">
        <f t="shared" si="487"/>
        <v>0</v>
      </c>
    </row>
    <row r="2446" spans="9:17" ht="13.9" x14ac:dyDescent="0.4">
      <c r="I2446" s="1073">
        <f t="shared" si="486"/>
        <v>0</v>
      </c>
      <c r="J2446" s="159" t="s">
        <v>19</v>
      </c>
      <c r="K2446" s="1350" t="s">
        <v>839</v>
      </c>
      <c r="L2446" s="160"/>
      <c r="M2446" s="159">
        <v>0</v>
      </c>
      <c r="N2446" s="157">
        <v>0</v>
      </c>
      <c r="O2446" s="82">
        <f t="shared" si="485"/>
        <v>0</v>
      </c>
      <c r="P2446" s="158"/>
      <c r="Q2446" s="1071">
        <f t="shared" si="487"/>
        <v>0</v>
      </c>
    </row>
    <row r="2447" spans="9:17" ht="13.9" x14ac:dyDescent="0.4">
      <c r="I2447" s="1073">
        <f t="shared" si="486"/>
        <v>0</v>
      </c>
      <c r="J2447" s="159" t="s">
        <v>19</v>
      </c>
      <c r="K2447" s="1350" t="s">
        <v>839</v>
      </c>
      <c r="L2447" s="160"/>
      <c r="M2447" s="159">
        <v>0</v>
      </c>
      <c r="N2447" s="157">
        <v>0</v>
      </c>
      <c r="O2447" s="82">
        <f t="shared" si="485"/>
        <v>0</v>
      </c>
      <c r="P2447" s="158"/>
      <c r="Q2447" s="1071">
        <f t="shared" si="487"/>
        <v>0</v>
      </c>
    </row>
    <row r="2448" spans="9:17" ht="13.9" x14ac:dyDescent="0.4">
      <c r="I2448" s="1073">
        <f t="shared" si="486"/>
        <v>0</v>
      </c>
      <c r="J2448" s="159" t="s">
        <v>19</v>
      </c>
      <c r="K2448" s="1350" t="s">
        <v>839</v>
      </c>
      <c r="L2448" s="160"/>
      <c r="M2448" s="159">
        <v>0</v>
      </c>
      <c r="N2448" s="157">
        <v>0</v>
      </c>
      <c r="O2448" s="82">
        <f t="shared" si="485"/>
        <v>0</v>
      </c>
      <c r="P2448" s="158"/>
      <c r="Q2448" s="1071">
        <f t="shared" si="487"/>
        <v>0</v>
      </c>
    </row>
    <row r="2449" spans="9:17" ht="13.9" x14ac:dyDescent="0.4">
      <c r="I2449" s="1073">
        <f t="shared" si="486"/>
        <v>0</v>
      </c>
      <c r="J2449" s="159" t="s">
        <v>19</v>
      </c>
      <c r="K2449" s="1350" t="s">
        <v>839</v>
      </c>
      <c r="L2449" s="160"/>
      <c r="M2449" s="159">
        <v>0</v>
      </c>
      <c r="N2449" s="157">
        <v>0</v>
      </c>
      <c r="O2449" s="82">
        <f t="shared" si="485"/>
        <v>0</v>
      </c>
      <c r="P2449" s="158"/>
      <c r="Q2449" s="1071">
        <f t="shared" si="487"/>
        <v>0</v>
      </c>
    </row>
    <row r="2450" spans="9:17" ht="13.9" x14ac:dyDescent="0.4">
      <c r="I2450" s="1073">
        <f t="shared" si="486"/>
        <v>0</v>
      </c>
      <c r="J2450" s="159" t="s">
        <v>19</v>
      </c>
      <c r="K2450" s="1350" t="s">
        <v>839</v>
      </c>
      <c r="L2450" s="160"/>
      <c r="M2450" s="159">
        <v>0</v>
      </c>
      <c r="N2450" s="157">
        <v>0</v>
      </c>
      <c r="O2450" s="82">
        <f t="shared" si="485"/>
        <v>0</v>
      </c>
      <c r="P2450" s="158"/>
      <c r="Q2450" s="1071">
        <f t="shared" si="487"/>
        <v>0</v>
      </c>
    </row>
    <row r="2451" spans="9:17" ht="13.9" x14ac:dyDescent="0.4">
      <c r="I2451" s="1073">
        <f t="shared" si="486"/>
        <v>0</v>
      </c>
      <c r="J2451" s="159" t="s">
        <v>19</v>
      </c>
      <c r="K2451" s="1350" t="s">
        <v>839</v>
      </c>
      <c r="L2451" s="160"/>
      <c r="M2451" s="159">
        <v>0</v>
      </c>
      <c r="N2451" s="157">
        <v>0</v>
      </c>
      <c r="O2451" s="82">
        <f t="shared" si="485"/>
        <v>0</v>
      </c>
      <c r="P2451" s="158"/>
      <c r="Q2451" s="1071">
        <f t="shared" si="487"/>
        <v>0</v>
      </c>
    </row>
    <row r="2452" spans="9:17" ht="13.9" x14ac:dyDescent="0.4">
      <c r="I2452" s="1071"/>
      <c r="J2452" s="86" t="s">
        <v>22</v>
      </c>
      <c r="K2452" s="86"/>
      <c r="L2452" s="86"/>
      <c r="M2452" s="81"/>
      <c r="N2452" s="87"/>
      <c r="O2452" s="88">
        <f>SUM(O2442:O2451)</f>
        <v>4.1120000000000001</v>
      </c>
      <c r="P2452" s="86"/>
      <c r="Q2452" s="1071"/>
    </row>
    <row r="2453" spans="9:17" ht="13.9" x14ac:dyDescent="0.4">
      <c r="I2453" s="1071"/>
      <c r="J2453" s="83"/>
      <c r="K2453" s="83"/>
      <c r="L2453" s="83"/>
      <c r="M2453" s="83"/>
      <c r="N2453" s="84"/>
      <c r="O2453" s="83"/>
      <c r="P2453" s="83"/>
      <c r="Q2453" s="1071"/>
    </row>
    <row r="2454" spans="9:17" ht="13.9" x14ac:dyDescent="0.4">
      <c r="I2454" s="1071"/>
      <c r="J2454" s="78" t="str">
        <f>IF(OR(A2_Budget_Look_Up!$B$7=1,A2_Budget_Look_Up!$B$13=1),"Nematicide Detail", "Fungicide Detail")</f>
        <v>Fungicide Detail</v>
      </c>
      <c r="K2454" s="78"/>
      <c r="L2454" s="78"/>
      <c r="M2454" s="79"/>
      <c r="N2454" s="85"/>
      <c r="O2454" s="79"/>
      <c r="P2454" s="78"/>
      <c r="Q2454" s="1071"/>
    </row>
    <row r="2455" spans="9:17" ht="13.9" x14ac:dyDescent="0.4">
      <c r="I2455" s="1071"/>
      <c r="J2455" s="80" t="s">
        <v>212</v>
      </c>
      <c r="K2455" s="80" t="s">
        <v>838</v>
      </c>
      <c r="L2455" s="80" t="s">
        <v>2</v>
      </c>
      <c r="M2455" s="80" t="s">
        <v>21</v>
      </c>
      <c r="N2455" s="80" t="s">
        <v>174</v>
      </c>
      <c r="O2455" s="80" t="s">
        <v>14</v>
      </c>
      <c r="P2455" s="80" t="s">
        <v>890</v>
      </c>
      <c r="Q2455" s="1071"/>
    </row>
    <row r="2456" spans="9:17" ht="13.9" x14ac:dyDescent="0.4">
      <c r="I2456" s="1073">
        <f>IF($A$1=40,I2451+1,0)</f>
        <v>0</v>
      </c>
      <c r="J2456" s="1131" t="str">
        <f>A4_Chem_Prices!H$32</f>
        <v>Quadris</v>
      </c>
      <c r="K2456" s="1350" t="s">
        <v>839</v>
      </c>
      <c r="L2456" s="1093" t="str">
        <f>A4_Chem_Prices!I$32</f>
        <v>oz</v>
      </c>
      <c r="M2456" s="1092">
        <f>A4_Chem_Prices!J$32</f>
        <v>0.71750000000000003</v>
      </c>
      <c r="N2456" s="1094">
        <v>12.8</v>
      </c>
      <c r="O2456" s="82">
        <f>M2456*N2456</f>
        <v>9.1840000000000011</v>
      </c>
      <c r="P2456" s="1449">
        <f>N2456</f>
        <v>12.8</v>
      </c>
      <c r="Q2456" s="1071">
        <f>Q2451</f>
        <v>0</v>
      </c>
    </row>
    <row r="2457" spans="9:17" ht="13.9" x14ac:dyDescent="0.4">
      <c r="I2457" s="1073">
        <f>IF($A$1=40,I2456+1,0)</f>
        <v>0</v>
      </c>
      <c r="J2457" s="1131" t="str">
        <f>A4_Chem_Prices!H$32</f>
        <v>Quadris</v>
      </c>
      <c r="K2457" s="1350" t="s">
        <v>839</v>
      </c>
      <c r="L2457" s="1093" t="str">
        <f>A4_Chem_Prices!I$32</f>
        <v>oz</v>
      </c>
      <c r="M2457" s="1092">
        <f>A4_Chem_Prices!J$32</f>
        <v>0.71750000000000003</v>
      </c>
      <c r="N2457" s="1094">
        <v>12.8</v>
      </c>
      <c r="O2457" s="82">
        <f>M2457*N2457</f>
        <v>9.1840000000000011</v>
      </c>
      <c r="P2457" s="1449">
        <f>N2457</f>
        <v>12.8</v>
      </c>
      <c r="Q2457" s="1071">
        <f>Q2456</f>
        <v>0</v>
      </c>
    </row>
    <row r="2458" spans="9:17" ht="13.9" x14ac:dyDescent="0.4">
      <c r="I2458" s="1071"/>
      <c r="J2458" s="86" t="s">
        <v>22</v>
      </c>
      <c r="K2458" s="86"/>
      <c r="L2458" s="86"/>
      <c r="M2458" s="81"/>
      <c r="N2458" s="87"/>
      <c r="O2458" s="88">
        <f>SUM(O2456:O2457)</f>
        <v>18.368000000000002</v>
      </c>
      <c r="P2458" s="86"/>
      <c r="Q2458" s="1071"/>
    </row>
    <row r="2459" spans="9:17" ht="13.9" x14ac:dyDescent="0.4">
      <c r="I2459" s="1071"/>
      <c r="J2459" s="83"/>
      <c r="K2459" s="83"/>
      <c r="L2459" s="83"/>
      <c r="M2459" s="83"/>
      <c r="N2459" s="84"/>
      <c r="O2459" s="83"/>
      <c r="P2459" s="83"/>
      <c r="Q2459" s="1071"/>
    </row>
    <row r="2460" spans="9:17" ht="13.9" x14ac:dyDescent="0.4">
      <c r="I2460" s="1071"/>
      <c r="J2460" s="78" t="str">
        <f>IF(A2_Budget_Look_Up!$B$7=1,"Growth Regulator Detail", IF(A2_Budget_Look_Up!$B$13=1,"Fungicide Detail","Other Chemical Detail"))</f>
        <v>Other Chemical Detail</v>
      </c>
      <c r="K2460" s="78"/>
      <c r="L2460" s="78"/>
      <c r="M2460" s="79"/>
      <c r="N2460" s="85"/>
      <c r="O2460" s="79"/>
      <c r="P2460" s="78"/>
      <c r="Q2460" s="1071"/>
    </row>
    <row r="2461" spans="9:17" ht="13.9" x14ac:dyDescent="0.4">
      <c r="I2461" s="1071"/>
      <c r="J2461" s="80" t="s">
        <v>212</v>
      </c>
      <c r="K2461" s="80" t="s">
        <v>838</v>
      </c>
      <c r="L2461" s="80" t="s">
        <v>2</v>
      </c>
      <c r="M2461" s="80" t="s">
        <v>21</v>
      </c>
      <c r="N2461" s="80" t="s">
        <v>174</v>
      </c>
      <c r="O2461" s="80" t="s">
        <v>14</v>
      </c>
      <c r="P2461" s="80" t="s">
        <v>890</v>
      </c>
      <c r="Q2461" s="1071"/>
    </row>
    <row r="2462" spans="9:17" ht="13.9" x14ac:dyDescent="0.4">
      <c r="I2462" s="1073">
        <f>IF($A$1=40,I2457+1,0)</f>
        <v>0</v>
      </c>
      <c r="J2462" s="156" t="s">
        <v>19</v>
      </c>
      <c r="K2462" s="1350" t="s">
        <v>839</v>
      </c>
      <c r="L2462" s="158"/>
      <c r="M2462" s="159">
        <v>0</v>
      </c>
      <c r="N2462" s="157">
        <v>0</v>
      </c>
      <c r="O2462" s="82">
        <f t="shared" ref="O2462:O2468" si="488">M2462*N2462</f>
        <v>0</v>
      </c>
      <c r="P2462" s="160"/>
      <c r="Q2462" s="1071">
        <f>Q2457</f>
        <v>0</v>
      </c>
    </row>
    <row r="2463" spans="9:17" ht="13.9" x14ac:dyDescent="0.4">
      <c r="I2463" s="1073">
        <f t="shared" ref="I2463:I2468" si="489">IF($A$1=40,I2462+1,0)</f>
        <v>0</v>
      </c>
      <c r="J2463" s="156" t="s">
        <v>19</v>
      </c>
      <c r="K2463" s="1350" t="s">
        <v>839</v>
      </c>
      <c r="L2463" s="158"/>
      <c r="M2463" s="159">
        <v>0</v>
      </c>
      <c r="N2463" s="157">
        <v>0</v>
      </c>
      <c r="O2463" s="82">
        <f t="shared" si="488"/>
        <v>0</v>
      </c>
      <c r="P2463" s="160"/>
      <c r="Q2463" s="1071">
        <f t="shared" ref="Q2463:Q2468" si="490">Q2462</f>
        <v>0</v>
      </c>
    </row>
    <row r="2464" spans="9:17" ht="13.9" x14ac:dyDescent="0.4">
      <c r="I2464" s="1073">
        <f t="shared" si="489"/>
        <v>0</v>
      </c>
      <c r="J2464" s="156" t="s">
        <v>19</v>
      </c>
      <c r="K2464" s="1350" t="s">
        <v>839</v>
      </c>
      <c r="L2464" s="158"/>
      <c r="M2464" s="159">
        <v>0</v>
      </c>
      <c r="N2464" s="157">
        <v>0</v>
      </c>
      <c r="O2464" s="82">
        <f t="shared" si="488"/>
        <v>0</v>
      </c>
      <c r="P2464" s="160"/>
      <c r="Q2464" s="1071">
        <f t="shared" si="490"/>
        <v>0</v>
      </c>
    </row>
    <row r="2465" spans="9:17" ht="13.9" x14ac:dyDescent="0.4">
      <c r="I2465" s="1073">
        <f t="shared" si="489"/>
        <v>0</v>
      </c>
      <c r="J2465" s="156" t="s">
        <v>19</v>
      </c>
      <c r="K2465" s="1350" t="s">
        <v>839</v>
      </c>
      <c r="L2465" s="158"/>
      <c r="M2465" s="159">
        <v>0</v>
      </c>
      <c r="N2465" s="157">
        <v>0</v>
      </c>
      <c r="O2465" s="82">
        <f t="shared" si="488"/>
        <v>0</v>
      </c>
      <c r="P2465" s="158"/>
      <c r="Q2465" s="1071">
        <f t="shared" si="490"/>
        <v>0</v>
      </c>
    </row>
    <row r="2466" spans="9:17" ht="13.9" x14ac:dyDescent="0.4">
      <c r="I2466" s="1073">
        <f t="shared" si="489"/>
        <v>0</v>
      </c>
      <c r="J2466" s="156" t="s">
        <v>19</v>
      </c>
      <c r="K2466" s="1350" t="s">
        <v>839</v>
      </c>
      <c r="L2466" s="158"/>
      <c r="M2466" s="159">
        <v>0</v>
      </c>
      <c r="N2466" s="157">
        <v>0</v>
      </c>
      <c r="O2466" s="82">
        <f t="shared" si="488"/>
        <v>0</v>
      </c>
      <c r="P2466" s="158"/>
      <c r="Q2466" s="1071">
        <f t="shared" si="490"/>
        <v>0</v>
      </c>
    </row>
    <row r="2467" spans="9:17" ht="13.9" x14ac:dyDescent="0.4">
      <c r="I2467" s="1073">
        <f t="shared" si="489"/>
        <v>0</v>
      </c>
      <c r="J2467" s="156" t="s">
        <v>19</v>
      </c>
      <c r="K2467" s="1350" t="s">
        <v>839</v>
      </c>
      <c r="L2467" s="158"/>
      <c r="M2467" s="159">
        <v>0</v>
      </c>
      <c r="N2467" s="157">
        <v>0</v>
      </c>
      <c r="O2467" s="82">
        <f t="shared" si="488"/>
        <v>0</v>
      </c>
      <c r="P2467" s="158"/>
      <c r="Q2467" s="1071">
        <f t="shared" si="490"/>
        <v>0</v>
      </c>
    </row>
    <row r="2468" spans="9:17" ht="13.9" x14ac:dyDescent="0.4">
      <c r="I2468" s="1073">
        <f t="shared" si="489"/>
        <v>0</v>
      </c>
      <c r="J2468" s="156" t="s">
        <v>19</v>
      </c>
      <c r="K2468" s="1350" t="s">
        <v>839</v>
      </c>
      <c r="L2468" s="158"/>
      <c r="M2468" s="159">
        <v>0</v>
      </c>
      <c r="N2468" s="157">
        <v>0</v>
      </c>
      <c r="O2468" s="82">
        <f t="shared" si="488"/>
        <v>0</v>
      </c>
      <c r="P2468" s="158"/>
      <c r="Q2468" s="1071">
        <f t="shared" si="490"/>
        <v>0</v>
      </c>
    </row>
    <row r="2469" spans="9:17" ht="13.9" x14ac:dyDescent="0.4">
      <c r="I2469" s="1071"/>
      <c r="J2469" s="86" t="s">
        <v>22</v>
      </c>
      <c r="K2469" s="86"/>
      <c r="L2469" s="86"/>
      <c r="M2469" s="81"/>
      <c r="N2469" s="87"/>
      <c r="O2469" s="88">
        <f>SUM(O2462:O2468)</f>
        <v>0</v>
      </c>
      <c r="P2469" s="86"/>
      <c r="Q2469" s="1071"/>
    </row>
    <row r="2470" spans="9:17" ht="13.9" x14ac:dyDescent="0.4">
      <c r="I2470" s="1071"/>
      <c r="J2470" s="83"/>
      <c r="K2470" s="83"/>
      <c r="L2470" s="83"/>
      <c r="M2470" s="83"/>
      <c r="N2470" s="84"/>
      <c r="O2470" s="83"/>
      <c r="P2470" s="83"/>
      <c r="Q2470" s="1071"/>
    </row>
    <row r="2471" spans="9:17" ht="13.9" x14ac:dyDescent="0.4">
      <c r="I2471" s="1071"/>
      <c r="J2471" s="78" t="str">
        <f>IF(A2_Budget_Look_Up!$B$7=1,"Defoliant Detail", "Other Chemical Detail")</f>
        <v>Other Chemical Detail</v>
      </c>
      <c r="K2471" s="78"/>
      <c r="L2471" s="78"/>
      <c r="M2471" s="79"/>
      <c r="N2471" s="85"/>
      <c r="O2471" s="79"/>
      <c r="P2471" s="78"/>
      <c r="Q2471" s="1071"/>
    </row>
    <row r="2472" spans="9:17" ht="13.9" x14ac:dyDescent="0.4">
      <c r="I2472" s="1071"/>
      <c r="J2472" s="80" t="s">
        <v>212</v>
      </c>
      <c r="K2472" s="80" t="s">
        <v>838</v>
      </c>
      <c r="L2472" s="80" t="s">
        <v>2</v>
      </c>
      <c r="M2472" s="80" t="s">
        <v>21</v>
      </c>
      <c r="N2472" s="80" t="s">
        <v>174</v>
      </c>
      <c r="O2472" s="80" t="s">
        <v>14</v>
      </c>
      <c r="P2472" s="80" t="s">
        <v>890</v>
      </c>
      <c r="Q2472" s="1071"/>
    </row>
    <row r="2473" spans="9:17" ht="13.9" x14ac:dyDescent="0.4">
      <c r="I2473" s="1073">
        <f>IF($A$1=40,I2468+1,0)</f>
        <v>0</v>
      </c>
      <c r="J2473" s="156" t="s">
        <v>19</v>
      </c>
      <c r="K2473" s="1350" t="s">
        <v>839</v>
      </c>
      <c r="L2473" s="158"/>
      <c r="M2473" s="159">
        <v>0</v>
      </c>
      <c r="N2473" s="157">
        <v>0</v>
      </c>
      <c r="O2473" s="82">
        <f t="shared" ref="O2473:O2479" si="491">M2473*N2473</f>
        <v>0</v>
      </c>
      <c r="P2473" s="160"/>
      <c r="Q2473" s="1071">
        <f>Q2468</f>
        <v>0</v>
      </c>
    </row>
    <row r="2474" spans="9:17" ht="13.9" x14ac:dyDescent="0.4">
      <c r="I2474" s="1073">
        <f t="shared" ref="I2474:I2479" si="492">IF($A$1=40,I2473+1,0)</f>
        <v>0</v>
      </c>
      <c r="J2474" s="156" t="s">
        <v>19</v>
      </c>
      <c r="K2474" s="1350" t="s">
        <v>839</v>
      </c>
      <c r="L2474" s="158"/>
      <c r="M2474" s="159">
        <v>0</v>
      </c>
      <c r="N2474" s="157">
        <v>0</v>
      </c>
      <c r="O2474" s="82">
        <f t="shared" si="491"/>
        <v>0</v>
      </c>
      <c r="P2474" s="160"/>
      <c r="Q2474" s="1071">
        <f t="shared" ref="Q2474:Q2479" si="493">Q2473</f>
        <v>0</v>
      </c>
    </row>
    <row r="2475" spans="9:17" ht="13.9" x14ac:dyDescent="0.4">
      <c r="I2475" s="1073">
        <f t="shared" si="492"/>
        <v>0</v>
      </c>
      <c r="J2475" s="156" t="s">
        <v>19</v>
      </c>
      <c r="K2475" s="1350" t="s">
        <v>839</v>
      </c>
      <c r="L2475" s="158"/>
      <c r="M2475" s="159">
        <v>0</v>
      </c>
      <c r="N2475" s="157">
        <v>0</v>
      </c>
      <c r="O2475" s="82">
        <f t="shared" si="491"/>
        <v>0</v>
      </c>
      <c r="P2475" s="160"/>
      <c r="Q2475" s="1071">
        <f t="shared" si="493"/>
        <v>0</v>
      </c>
    </row>
    <row r="2476" spans="9:17" ht="13.9" x14ac:dyDescent="0.4">
      <c r="I2476" s="1073">
        <f t="shared" si="492"/>
        <v>0</v>
      </c>
      <c r="J2476" s="156" t="s">
        <v>19</v>
      </c>
      <c r="K2476" s="1350" t="s">
        <v>839</v>
      </c>
      <c r="L2476" s="158"/>
      <c r="M2476" s="159">
        <v>0</v>
      </c>
      <c r="N2476" s="157">
        <v>0</v>
      </c>
      <c r="O2476" s="82">
        <f t="shared" si="491"/>
        <v>0</v>
      </c>
      <c r="P2476" s="160"/>
      <c r="Q2476" s="1071">
        <f t="shared" si="493"/>
        <v>0</v>
      </c>
    </row>
    <row r="2477" spans="9:17" ht="13.9" x14ac:dyDescent="0.4">
      <c r="I2477" s="1073">
        <f t="shared" si="492"/>
        <v>0</v>
      </c>
      <c r="J2477" s="156" t="s">
        <v>19</v>
      </c>
      <c r="K2477" s="1350" t="s">
        <v>839</v>
      </c>
      <c r="L2477" s="158"/>
      <c r="M2477" s="159">
        <v>0</v>
      </c>
      <c r="N2477" s="157">
        <v>0</v>
      </c>
      <c r="O2477" s="82">
        <f t="shared" si="491"/>
        <v>0</v>
      </c>
      <c r="P2477" s="160"/>
      <c r="Q2477" s="1071">
        <f t="shared" si="493"/>
        <v>0</v>
      </c>
    </row>
    <row r="2478" spans="9:17" ht="13.9" x14ac:dyDescent="0.4">
      <c r="I2478" s="1073">
        <f t="shared" si="492"/>
        <v>0</v>
      </c>
      <c r="J2478" s="156" t="s">
        <v>19</v>
      </c>
      <c r="K2478" s="1350" t="s">
        <v>839</v>
      </c>
      <c r="L2478" s="158"/>
      <c r="M2478" s="159">
        <v>0</v>
      </c>
      <c r="N2478" s="157">
        <v>0</v>
      </c>
      <c r="O2478" s="82">
        <f t="shared" si="491"/>
        <v>0</v>
      </c>
      <c r="P2478" s="158"/>
      <c r="Q2478" s="1071">
        <f t="shared" si="493"/>
        <v>0</v>
      </c>
    </row>
    <row r="2479" spans="9:17" ht="13.9" x14ac:dyDescent="0.4">
      <c r="I2479" s="1073">
        <f t="shared" si="492"/>
        <v>0</v>
      </c>
      <c r="J2479" s="156" t="s">
        <v>19</v>
      </c>
      <c r="K2479" s="1350" t="s">
        <v>839</v>
      </c>
      <c r="L2479" s="158"/>
      <c r="M2479" s="159">
        <v>0</v>
      </c>
      <c r="N2479" s="157">
        <v>0</v>
      </c>
      <c r="O2479" s="82">
        <f t="shared" si="491"/>
        <v>0</v>
      </c>
      <c r="P2479" s="158"/>
      <c r="Q2479" s="1071">
        <f t="shared" si="493"/>
        <v>0</v>
      </c>
    </row>
    <row r="2480" spans="9:17" ht="13.9" x14ac:dyDescent="0.4">
      <c r="I2480" s="1071"/>
      <c r="J2480" s="86" t="s">
        <v>22</v>
      </c>
      <c r="K2480" s="86"/>
      <c r="L2480" s="86"/>
      <c r="M2480" s="81"/>
      <c r="N2480" s="87"/>
      <c r="O2480" s="88">
        <f>SUM(O2473:O2479)</f>
        <v>0</v>
      </c>
      <c r="P2480" s="86"/>
      <c r="Q2480" s="1071"/>
    </row>
    <row r="2482" spans="9:17" ht="13.9" x14ac:dyDescent="0.4">
      <c r="I2482" s="1071"/>
      <c r="J2482" s="1168" t="str">
        <f>A2_Budget_Look_Up!H43</f>
        <v>Row Rice, Clearfield Seed</v>
      </c>
      <c r="K2482" s="1168"/>
      <c r="L2482" s="1168">
        <f>A2_Budget_Look_Up!F43</f>
        <v>41</v>
      </c>
      <c r="M2482" s="1168"/>
      <c r="N2482" s="1168"/>
      <c r="O2482" s="1168"/>
      <c r="P2482" s="1168"/>
      <c r="Q2482" s="1071"/>
    </row>
    <row r="2483" spans="9:17" ht="13.9" x14ac:dyDescent="0.4">
      <c r="I2483" s="1071"/>
      <c r="J2483" s="83"/>
      <c r="K2483" s="83"/>
      <c r="L2483" s="83"/>
      <c r="M2483" s="83"/>
      <c r="N2483" s="84"/>
      <c r="O2483" s="83"/>
      <c r="P2483" s="83"/>
      <c r="Q2483" s="1071"/>
    </row>
    <row r="2484" spans="9:17" ht="13.9" x14ac:dyDescent="0.4">
      <c r="I2484" s="1071"/>
      <c r="J2484" s="78" t="s">
        <v>18</v>
      </c>
      <c r="K2484" s="78"/>
      <c r="L2484" s="78"/>
      <c r="M2484" s="79"/>
      <c r="N2484" s="85"/>
      <c r="O2484" s="79"/>
      <c r="P2484" s="78"/>
      <c r="Q2484" s="1071"/>
    </row>
    <row r="2485" spans="9:17" ht="13.9" x14ac:dyDescent="0.4">
      <c r="I2485" s="1071"/>
      <c r="J2485" s="80" t="s">
        <v>212</v>
      </c>
      <c r="K2485" s="80" t="s">
        <v>838</v>
      </c>
      <c r="L2485" s="80" t="s">
        <v>2</v>
      </c>
      <c r="M2485" s="80" t="s">
        <v>21</v>
      </c>
      <c r="N2485" s="80" t="s">
        <v>174</v>
      </c>
      <c r="O2485" s="80" t="s">
        <v>14</v>
      </c>
      <c r="P2485" s="80" t="s">
        <v>890</v>
      </c>
      <c r="Q2485" s="1071"/>
    </row>
    <row r="2486" spans="9:17" ht="13.9" x14ac:dyDescent="0.4">
      <c r="I2486" s="1073">
        <f>IF($A$1=41,1,0)</f>
        <v>0</v>
      </c>
      <c r="J2486" s="1092" t="str">
        <f>A4_Chem_Prices!H$2</f>
        <v>Command</v>
      </c>
      <c r="K2486" s="1350" t="s">
        <v>839</v>
      </c>
      <c r="L2486" s="1093" t="str">
        <f>A4_Chem_Prices!I$2</f>
        <v>oz</v>
      </c>
      <c r="M2486" s="1092">
        <f>A4_Chem_Prices!J$2</f>
        <v>0.67414062499999994</v>
      </c>
      <c r="N2486" s="1094">
        <v>12.8</v>
      </c>
      <c r="O2486" s="82">
        <f t="shared" ref="O2486:O2499" si="494">M2486*N2486</f>
        <v>8.6289999999999996</v>
      </c>
      <c r="P2486" s="1449">
        <f>N2486</f>
        <v>12.8</v>
      </c>
      <c r="Q2486" s="1171">
        <f>IF(SUM(I2486:I2541)=820,L2482,0)</f>
        <v>0</v>
      </c>
    </row>
    <row r="2487" spans="9:17" ht="13.9" x14ac:dyDescent="0.4">
      <c r="I2487" s="1073">
        <f t="shared" ref="I2487:I2499" si="495">IF($A$1=41,I2486+1,0)</f>
        <v>0</v>
      </c>
      <c r="J2487" s="1092" t="str">
        <f>A4_Chem_Prices!H$16</f>
        <v>Clearpath</v>
      </c>
      <c r="K2487" s="1350" t="s">
        <v>839</v>
      </c>
      <c r="L2487" s="1095" t="str">
        <f>A4_Chem_Prices!I$16</f>
        <v>lb</v>
      </c>
      <c r="M2487" s="1092">
        <f>A4_Chem_Prices!J$16</f>
        <v>64</v>
      </c>
      <c r="N2487" s="1094">
        <v>0.5</v>
      </c>
      <c r="O2487" s="82">
        <f t="shared" si="494"/>
        <v>32</v>
      </c>
      <c r="P2487" s="160">
        <f>N2487*16/(35.274/33.814)</f>
        <v>7.668877927085104</v>
      </c>
      <c r="Q2487" s="1071">
        <f>Q2486</f>
        <v>0</v>
      </c>
    </row>
    <row r="2488" spans="9:17" ht="13.9" x14ac:dyDescent="0.4">
      <c r="I2488" s="1073">
        <f t="shared" si="495"/>
        <v>0</v>
      </c>
      <c r="J2488" s="1092" t="str">
        <f>A4_Chem_Prices!H$4</f>
        <v>Permit Plus</v>
      </c>
      <c r="K2488" s="1350" t="s">
        <v>839</v>
      </c>
      <c r="L2488" s="1095" t="str">
        <f>A4_Chem_Prices!I$4</f>
        <v>oz</v>
      </c>
      <c r="M2488" s="1092">
        <f>A4_Chem_Prices!J$4</f>
        <v>17.254999999999999</v>
      </c>
      <c r="N2488" s="1094">
        <v>6.4</v>
      </c>
      <c r="O2488" s="82">
        <f t="shared" si="494"/>
        <v>110.432</v>
      </c>
      <c r="P2488" s="1449">
        <f>N2488</f>
        <v>6.4</v>
      </c>
      <c r="Q2488" s="1071">
        <f t="shared" ref="Q2488:Q2499" si="496">Q2487</f>
        <v>0</v>
      </c>
    </row>
    <row r="2489" spans="9:17" ht="13.9" x14ac:dyDescent="0.4">
      <c r="I2489" s="1073">
        <f t="shared" si="495"/>
        <v>0</v>
      </c>
      <c r="J2489" s="1092" t="str">
        <f>A4_Chem_Prices!H$3</f>
        <v>Newpath</v>
      </c>
      <c r="K2489" s="1350" t="s">
        <v>839</v>
      </c>
      <c r="L2489" s="1095" t="str">
        <f>A4_Chem_Prices!I$3</f>
        <v>oz</v>
      </c>
      <c r="M2489" s="1092">
        <f>A4_Chem_Prices!J$3</f>
        <v>3.3203125</v>
      </c>
      <c r="N2489" s="1094">
        <v>4</v>
      </c>
      <c r="O2489" s="82">
        <f t="shared" si="494"/>
        <v>13.28125</v>
      </c>
      <c r="P2489" s="1449">
        <f>N2489</f>
        <v>4</v>
      </c>
      <c r="Q2489" s="1071">
        <f t="shared" si="496"/>
        <v>0</v>
      </c>
    </row>
    <row r="2490" spans="9:17" ht="13.9" x14ac:dyDescent="0.4">
      <c r="I2490" s="1073">
        <f t="shared" si="495"/>
        <v>0</v>
      </c>
      <c r="J2490" s="1092" t="str">
        <f>A4_Chem_Prices!H$4</f>
        <v>Permit Plus</v>
      </c>
      <c r="K2490" s="1350" t="s">
        <v>839</v>
      </c>
      <c r="L2490" s="1095" t="str">
        <f>A4_Chem_Prices!I$4</f>
        <v>oz</v>
      </c>
      <c r="M2490" s="1092">
        <f>A4_Chem_Prices!J$4</f>
        <v>17.254999999999999</v>
      </c>
      <c r="N2490" s="1094">
        <v>1.6</v>
      </c>
      <c r="O2490" s="82">
        <f t="shared" si="494"/>
        <v>27.608000000000001</v>
      </c>
      <c r="P2490" s="1449">
        <f>N2490</f>
        <v>1.6</v>
      </c>
      <c r="Q2490" s="1071">
        <f t="shared" si="496"/>
        <v>0</v>
      </c>
    </row>
    <row r="2491" spans="9:17" ht="13.9" x14ac:dyDescent="0.4">
      <c r="I2491" s="1073">
        <f t="shared" si="495"/>
        <v>0</v>
      </c>
      <c r="J2491" s="159" t="s">
        <v>19</v>
      </c>
      <c r="K2491" s="1350" t="s">
        <v>839</v>
      </c>
      <c r="L2491" s="160"/>
      <c r="M2491" s="159">
        <v>0</v>
      </c>
      <c r="N2491" s="157">
        <v>0</v>
      </c>
      <c r="O2491" s="82">
        <f t="shared" si="494"/>
        <v>0</v>
      </c>
      <c r="P2491" s="160"/>
      <c r="Q2491" s="1071">
        <f t="shared" si="496"/>
        <v>0</v>
      </c>
    </row>
    <row r="2492" spans="9:17" ht="13.9" x14ac:dyDescent="0.4">
      <c r="I2492" s="1073">
        <f t="shared" si="495"/>
        <v>0</v>
      </c>
      <c r="J2492" s="159" t="s">
        <v>19</v>
      </c>
      <c r="K2492" s="1350" t="s">
        <v>839</v>
      </c>
      <c r="L2492" s="160"/>
      <c r="M2492" s="159">
        <v>0</v>
      </c>
      <c r="N2492" s="157">
        <v>0</v>
      </c>
      <c r="O2492" s="82">
        <f t="shared" si="494"/>
        <v>0</v>
      </c>
      <c r="P2492" s="160"/>
      <c r="Q2492" s="1071">
        <f t="shared" si="496"/>
        <v>0</v>
      </c>
    </row>
    <row r="2493" spans="9:17" ht="13.9" x14ac:dyDescent="0.4">
      <c r="I2493" s="1073">
        <f t="shared" si="495"/>
        <v>0</v>
      </c>
      <c r="J2493" s="159" t="s">
        <v>19</v>
      </c>
      <c r="K2493" s="1350" t="s">
        <v>839</v>
      </c>
      <c r="L2493" s="160"/>
      <c r="M2493" s="159">
        <v>0</v>
      </c>
      <c r="N2493" s="157">
        <v>0</v>
      </c>
      <c r="O2493" s="82">
        <f t="shared" si="494"/>
        <v>0</v>
      </c>
      <c r="P2493" s="160"/>
      <c r="Q2493" s="1071">
        <f t="shared" si="496"/>
        <v>0</v>
      </c>
    </row>
    <row r="2494" spans="9:17" ht="13.9" x14ac:dyDescent="0.4">
      <c r="I2494" s="1073">
        <f t="shared" si="495"/>
        <v>0</v>
      </c>
      <c r="J2494" s="159" t="s">
        <v>19</v>
      </c>
      <c r="K2494" s="1350" t="s">
        <v>839</v>
      </c>
      <c r="L2494" s="160"/>
      <c r="M2494" s="159">
        <v>0</v>
      </c>
      <c r="N2494" s="157">
        <v>0</v>
      </c>
      <c r="O2494" s="82">
        <f t="shared" si="494"/>
        <v>0</v>
      </c>
      <c r="P2494" s="160"/>
      <c r="Q2494" s="1071">
        <f t="shared" si="496"/>
        <v>0</v>
      </c>
    </row>
    <row r="2495" spans="9:17" ht="13.9" x14ac:dyDescent="0.4">
      <c r="I2495" s="1073">
        <f t="shared" si="495"/>
        <v>0</v>
      </c>
      <c r="J2495" s="159" t="s">
        <v>19</v>
      </c>
      <c r="K2495" s="1350" t="s">
        <v>839</v>
      </c>
      <c r="L2495" s="160"/>
      <c r="M2495" s="159">
        <v>0</v>
      </c>
      <c r="N2495" s="157">
        <v>0</v>
      </c>
      <c r="O2495" s="82">
        <f t="shared" si="494"/>
        <v>0</v>
      </c>
      <c r="P2495" s="160"/>
      <c r="Q2495" s="1071">
        <f t="shared" si="496"/>
        <v>0</v>
      </c>
    </row>
    <row r="2496" spans="9:17" ht="13.9" x14ac:dyDescent="0.4">
      <c r="I2496" s="1073">
        <f t="shared" si="495"/>
        <v>0</v>
      </c>
      <c r="J2496" s="159" t="s">
        <v>19</v>
      </c>
      <c r="K2496" s="1350" t="s">
        <v>839</v>
      </c>
      <c r="L2496" s="160"/>
      <c r="M2496" s="159">
        <v>0</v>
      </c>
      <c r="N2496" s="157">
        <v>0</v>
      </c>
      <c r="O2496" s="82">
        <f t="shared" si="494"/>
        <v>0</v>
      </c>
      <c r="P2496" s="160"/>
      <c r="Q2496" s="1071">
        <f t="shared" si="496"/>
        <v>0</v>
      </c>
    </row>
    <row r="2497" spans="9:17" ht="13.9" x14ac:dyDescent="0.4">
      <c r="I2497" s="1073">
        <f t="shared" si="495"/>
        <v>0</v>
      </c>
      <c r="J2497" s="159" t="s">
        <v>19</v>
      </c>
      <c r="K2497" s="1350" t="s">
        <v>839</v>
      </c>
      <c r="L2497" s="160"/>
      <c r="M2497" s="159">
        <v>0</v>
      </c>
      <c r="N2497" s="157">
        <v>0</v>
      </c>
      <c r="O2497" s="82">
        <f t="shared" si="494"/>
        <v>0</v>
      </c>
      <c r="P2497" s="160"/>
      <c r="Q2497" s="1071">
        <f t="shared" si="496"/>
        <v>0</v>
      </c>
    </row>
    <row r="2498" spans="9:17" ht="13.9" x14ac:dyDescent="0.4">
      <c r="I2498" s="1073">
        <f t="shared" si="495"/>
        <v>0</v>
      </c>
      <c r="J2498" s="159" t="s">
        <v>19</v>
      </c>
      <c r="K2498" s="1350" t="s">
        <v>839</v>
      </c>
      <c r="L2498" s="160"/>
      <c r="M2498" s="159">
        <v>0</v>
      </c>
      <c r="N2498" s="157">
        <v>0</v>
      </c>
      <c r="O2498" s="82">
        <f t="shared" si="494"/>
        <v>0</v>
      </c>
      <c r="P2498" s="160"/>
      <c r="Q2498" s="1071">
        <f t="shared" si="496"/>
        <v>0</v>
      </c>
    </row>
    <row r="2499" spans="9:17" ht="13.9" x14ac:dyDescent="0.4">
      <c r="I2499" s="1073">
        <f t="shared" si="495"/>
        <v>0</v>
      </c>
      <c r="J2499" s="159" t="s">
        <v>19</v>
      </c>
      <c r="K2499" s="1350" t="s">
        <v>839</v>
      </c>
      <c r="L2499" s="160"/>
      <c r="M2499" s="159">
        <v>0</v>
      </c>
      <c r="N2499" s="157">
        <v>0</v>
      </c>
      <c r="O2499" s="82">
        <f t="shared" si="494"/>
        <v>0</v>
      </c>
      <c r="P2499" s="160"/>
      <c r="Q2499" s="1071">
        <f t="shared" si="496"/>
        <v>0</v>
      </c>
    </row>
    <row r="2500" spans="9:17" ht="13.9" x14ac:dyDescent="0.4">
      <c r="I2500" s="1071"/>
      <c r="J2500" s="86" t="s">
        <v>22</v>
      </c>
      <c r="K2500" s="86"/>
      <c r="L2500" s="86"/>
      <c r="M2500" s="81"/>
      <c r="N2500" s="87"/>
      <c r="O2500" s="88">
        <f>SUM(O2486:O2499)</f>
        <v>191.95025000000001</v>
      </c>
      <c r="P2500" s="86"/>
      <c r="Q2500" s="1071"/>
    </row>
    <row r="2501" spans="9:17" ht="13.9" x14ac:dyDescent="0.4">
      <c r="I2501" s="1071"/>
      <c r="J2501" s="83"/>
      <c r="K2501" s="83"/>
      <c r="L2501" s="83"/>
      <c r="M2501" s="83"/>
      <c r="N2501" s="84"/>
      <c r="O2501" s="83"/>
      <c r="P2501" s="83"/>
      <c r="Q2501" s="1071"/>
    </row>
    <row r="2502" spans="9:17" ht="13.9" x14ac:dyDescent="0.4">
      <c r="I2502" s="1071"/>
      <c r="J2502" s="78" t="s">
        <v>20</v>
      </c>
      <c r="K2502" s="78"/>
      <c r="L2502" s="78"/>
      <c r="M2502" s="79"/>
      <c r="N2502" s="85"/>
      <c r="O2502" s="79"/>
      <c r="P2502" s="78"/>
      <c r="Q2502" s="1071"/>
    </row>
    <row r="2503" spans="9:17" ht="13.9" x14ac:dyDescent="0.4">
      <c r="I2503" s="1071"/>
      <c r="J2503" s="80" t="s">
        <v>212</v>
      </c>
      <c r="K2503" s="80" t="s">
        <v>838</v>
      </c>
      <c r="L2503" s="80" t="s">
        <v>2</v>
      </c>
      <c r="M2503" s="80" t="s">
        <v>21</v>
      </c>
      <c r="N2503" s="80" t="s">
        <v>174</v>
      </c>
      <c r="O2503" s="80" t="s">
        <v>14</v>
      </c>
      <c r="P2503" s="80" t="s">
        <v>890</v>
      </c>
      <c r="Q2503" s="1071"/>
    </row>
    <row r="2504" spans="9:17" ht="13.9" x14ac:dyDescent="0.4">
      <c r="I2504" s="1073">
        <f>IF($A$1=41,I2499+1,0)</f>
        <v>0</v>
      </c>
      <c r="J2504" s="1092" t="str">
        <f>A4_Chem_Prices!H$18</f>
        <v>Lambda-cyhalothrine</v>
      </c>
      <c r="K2504" s="1350" t="s">
        <v>839</v>
      </c>
      <c r="L2504" s="1095" t="str">
        <f>A4_Chem_Prices!I$18</f>
        <v>oz</v>
      </c>
      <c r="M2504" s="1092">
        <f>A4_Chem_Prices!J$18</f>
        <v>2.57</v>
      </c>
      <c r="N2504" s="1094">
        <v>1.6</v>
      </c>
      <c r="O2504" s="82">
        <f t="shared" ref="O2504:O2513" si="497">M2504*N2504</f>
        <v>4.1120000000000001</v>
      </c>
      <c r="P2504" s="1449">
        <f>N2504</f>
        <v>1.6</v>
      </c>
      <c r="Q2504" s="1071">
        <f>Q2486</f>
        <v>0</v>
      </c>
    </row>
    <row r="2505" spans="9:17" ht="13.9" x14ac:dyDescent="0.4">
      <c r="I2505" s="1073">
        <f t="shared" ref="I2505:I2513" si="498">IF($A$1=41,I2504+1,0)</f>
        <v>0</v>
      </c>
      <c r="J2505" s="159" t="s">
        <v>19</v>
      </c>
      <c r="K2505" s="1350" t="s">
        <v>839</v>
      </c>
      <c r="L2505" s="160"/>
      <c r="M2505" s="159">
        <v>0</v>
      </c>
      <c r="N2505" s="157">
        <v>0</v>
      </c>
      <c r="O2505" s="82">
        <f t="shared" si="497"/>
        <v>0</v>
      </c>
      <c r="P2505" s="160"/>
      <c r="Q2505" s="1071">
        <f>Q2504</f>
        <v>0</v>
      </c>
    </row>
    <row r="2506" spans="9:17" ht="13.9" x14ac:dyDescent="0.4">
      <c r="I2506" s="1073">
        <f t="shared" si="498"/>
        <v>0</v>
      </c>
      <c r="J2506" s="159" t="s">
        <v>19</v>
      </c>
      <c r="K2506" s="1350" t="s">
        <v>839</v>
      </c>
      <c r="L2506" s="160"/>
      <c r="M2506" s="159">
        <v>0</v>
      </c>
      <c r="N2506" s="157">
        <v>0</v>
      </c>
      <c r="O2506" s="82">
        <f t="shared" si="497"/>
        <v>0</v>
      </c>
      <c r="P2506" s="160"/>
      <c r="Q2506" s="1071">
        <f t="shared" ref="Q2506:Q2513" si="499">Q2505</f>
        <v>0</v>
      </c>
    </row>
    <row r="2507" spans="9:17" ht="13.9" x14ac:dyDescent="0.4">
      <c r="I2507" s="1073">
        <f t="shared" si="498"/>
        <v>0</v>
      </c>
      <c r="J2507" s="159" t="s">
        <v>19</v>
      </c>
      <c r="K2507" s="1350" t="s">
        <v>839</v>
      </c>
      <c r="L2507" s="160"/>
      <c r="M2507" s="159">
        <v>0</v>
      </c>
      <c r="N2507" s="157">
        <v>0</v>
      </c>
      <c r="O2507" s="82">
        <f t="shared" si="497"/>
        <v>0</v>
      </c>
      <c r="P2507" s="160"/>
      <c r="Q2507" s="1071">
        <f t="shared" si="499"/>
        <v>0</v>
      </c>
    </row>
    <row r="2508" spans="9:17" ht="13.9" x14ac:dyDescent="0.4">
      <c r="I2508" s="1073">
        <f t="shared" si="498"/>
        <v>0</v>
      </c>
      <c r="J2508" s="159" t="s">
        <v>19</v>
      </c>
      <c r="K2508" s="1350" t="s">
        <v>839</v>
      </c>
      <c r="L2508" s="160"/>
      <c r="M2508" s="159">
        <v>0</v>
      </c>
      <c r="N2508" s="157">
        <v>0</v>
      </c>
      <c r="O2508" s="82">
        <f t="shared" si="497"/>
        <v>0</v>
      </c>
      <c r="P2508" s="158"/>
      <c r="Q2508" s="1071">
        <f t="shared" si="499"/>
        <v>0</v>
      </c>
    </row>
    <row r="2509" spans="9:17" ht="13.9" x14ac:dyDescent="0.4">
      <c r="I2509" s="1073">
        <f t="shared" si="498"/>
        <v>0</v>
      </c>
      <c r="J2509" s="159" t="s">
        <v>19</v>
      </c>
      <c r="K2509" s="1350" t="s">
        <v>839</v>
      </c>
      <c r="L2509" s="160"/>
      <c r="M2509" s="159">
        <v>0</v>
      </c>
      <c r="N2509" s="157">
        <v>0</v>
      </c>
      <c r="O2509" s="82">
        <f t="shared" si="497"/>
        <v>0</v>
      </c>
      <c r="P2509" s="158"/>
      <c r="Q2509" s="1071">
        <f t="shared" si="499"/>
        <v>0</v>
      </c>
    </row>
    <row r="2510" spans="9:17" ht="13.9" x14ac:dyDescent="0.4">
      <c r="I2510" s="1073">
        <f t="shared" si="498"/>
        <v>0</v>
      </c>
      <c r="J2510" s="159" t="s">
        <v>19</v>
      </c>
      <c r="K2510" s="1350" t="s">
        <v>839</v>
      </c>
      <c r="L2510" s="160"/>
      <c r="M2510" s="159">
        <v>0</v>
      </c>
      <c r="N2510" s="157">
        <v>0</v>
      </c>
      <c r="O2510" s="82">
        <f t="shared" si="497"/>
        <v>0</v>
      </c>
      <c r="P2510" s="158"/>
      <c r="Q2510" s="1071">
        <f t="shared" si="499"/>
        <v>0</v>
      </c>
    </row>
    <row r="2511" spans="9:17" ht="13.9" x14ac:dyDescent="0.4">
      <c r="I2511" s="1073">
        <f t="shared" si="498"/>
        <v>0</v>
      </c>
      <c r="J2511" s="159" t="s">
        <v>19</v>
      </c>
      <c r="K2511" s="1350" t="s">
        <v>839</v>
      </c>
      <c r="L2511" s="160"/>
      <c r="M2511" s="159">
        <v>0</v>
      </c>
      <c r="N2511" s="157">
        <v>0</v>
      </c>
      <c r="O2511" s="82">
        <f t="shared" si="497"/>
        <v>0</v>
      </c>
      <c r="P2511" s="158"/>
      <c r="Q2511" s="1071">
        <f t="shared" si="499"/>
        <v>0</v>
      </c>
    </row>
    <row r="2512" spans="9:17" ht="13.9" x14ac:dyDescent="0.4">
      <c r="I2512" s="1073">
        <f t="shared" si="498"/>
        <v>0</v>
      </c>
      <c r="J2512" s="159" t="s">
        <v>19</v>
      </c>
      <c r="K2512" s="1350" t="s">
        <v>839</v>
      </c>
      <c r="L2512" s="160"/>
      <c r="M2512" s="159">
        <v>0</v>
      </c>
      <c r="N2512" s="157">
        <v>0</v>
      </c>
      <c r="O2512" s="82">
        <f t="shared" si="497"/>
        <v>0</v>
      </c>
      <c r="P2512" s="158"/>
      <c r="Q2512" s="1071">
        <f t="shared" si="499"/>
        <v>0</v>
      </c>
    </row>
    <row r="2513" spans="9:17" ht="13.9" x14ac:dyDescent="0.4">
      <c r="I2513" s="1073">
        <f t="shared" si="498"/>
        <v>0</v>
      </c>
      <c r="J2513" s="159" t="s">
        <v>19</v>
      </c>
      <c r="K2513" s="1350" t="s">
        <v>839</v>
      </c>
      <c r="L2513" s="160"/>
      <c r="M2513" s="159">
        <v>0</v>
      </c>
      <c r="N2513" s="157">
        <v>0</v>
      </c>
      <c r="O2513" s="82">
        <f t="shared" si="497"/>
        <v>0</v>
      </c>
      <c r="P2513" s="158"/>
      <c r="Q2513" s="1071">
        <f t="shared" si="499"/>
        <v>0</v>
      </c>
    </row>
    <row r="2514" spans="9:17" ht="13.9" x14ac:dyDescent="0.4">
      <c r="I2514" s="1071"/>
      <c r="J2514" s="86" t="s">
        <v>22</v>
      </c>
      <c r="K2514" s="86"/>
      <c r="L2514" s="86"/>
      <c r="M2514" s="81"/>
      <c r="N2514" s="87"/>
      <c r="O2514" s="88">
        <f>SUM(O2504:O2513)</f>
        <v>4.1120000000000001</v>
      </c>
      <c r="P2514" s="86"/>
      <c r="Q2514" s="1071"/>
    </row>
    <row r="2515" spans="9:17" ht="13.9" x14ac:dyDescent="0.4">
      <c r="I2515" s="1071"/>
      <c r="J2515" s="83"/>
      <c r="K2515" s="83"/>
      <c r="L2515" s="83"/>
      <c r="M2515" s="83"/>
      <c r="N2515" s="84"/>
      <c r="O2515" s="83"/>
      <c r="P2515" s="83"/>
      <c r="Q2515" s="1071"/>
    </row>
    <row r="2516" spans="9:17" ht="13.9" x14ac:dyDescent="0.4">
      <c r="I2516" s="1071"/>
      <c r="J2516" s="78" t="str">
        <f>IF(OR(A2_Budget_Look_Up!$B$7=1,A2_Budget_Look_Up!$B$13=1),"Nematicide Detail", "Fungicide Detail")</f>
        <v>Fungicide Detail</v>
      </c>
      <c r="K2516" s="78"/>
      <c r="L2516" s="78"/>
      <c r="M2516" s="79"/>
      <c r="N2516" s="85"/>
      <c r="O2516" s="79"/>
      <c r="P2516" s="78"/>
      <c r="Q2516" s="1071"/>
    </row>
    <row r="2517" spans="9:17" ht="13.9" x14ac:dyDescent="0.4">
      <c r="I2517" s="1071"/>
      <c r="J2517" s="80" t="s">
        <v>212</v>
      </c>
      <c r="K2517" s="80" t="s">
        <v>838</v>
      </c>
      <c r="L2517" s="80" t="s">
        <v>2</v>
      </c>
      <c r="M2517" s="80" t="s">
        <v>21</v>
      </c>
      <c r="N2517" s="80" t="s">
        <v>174</v>
      </c>
      <c r="O2517" s="80" t="s">
        <v>14</v>
      </c>
      <c r="P2517" s="80" t="s">
        <v>890</v>
      </c>
      <c r="Q2517" s="1071"/>
    </row>
    <row r="2518" spans="9:17" ht="13.9" x14ac:dyDescent="0.4">
      <c r="I2518" s="1073">
        <f>IF($A$1=41,I2513+1,0)</f>
        <v>0</v>
      </c>
      <c r="J2518" s="1131" t="str">
        <f>A4_Chem_Prices!H$32</f>
        <v>Quadris</v>
      </c>
      <c r="K2518" s="1350" t="s">
        <v>839</v>
      </c>
      <c r="L2518" s="1093" t="str">
        <f>A4_Chem_Prices!I$32</f>
        <v>oz</v>
      </c>
      <c r="M2518" s="1092">
        <f>A4_Chem_Prices!J$32</f>
        <v>0.71750000000000003</v>
      </c>
      <c r="N2518" s="1094">
        <v>12.8</v>
      </c>
      <c r="O2518" s="82">
        <f>M2518*N2518</f>
        <v>9.1840000000000011</v>
      </c>
      <c r="P2518" s="1449">
        <f>N2518</f>
        <v>12.8</v>
      </c>
      <c r="Q2518" s="1071">
        <f>Q2513</f>
        <v>0</v>
      </c>
    </row>
    <row r="2519" spans="9:17" ht="13.9" x14ac:dyDescent="0.4">
      <c r="I2519" s="1073">
        <f>IF($A$1=41,I2518+1,0)</f>
        <v>0</v>
      </c>
      <c r="J2519" s="1131" t="str">
        <f>A4_Chem_Prices!H$32</f>
        <v>Quadris</v>
      </c>
      <c r="K2519" s="1350" t="s">
        <v>839</v>
      </c>
      <c r="L2519" s="1093" t="str">
        <f>A4_Chem_Prices!I$32</f>
        <v>oz</v>
      </c>
      <c r="M2519" s="1092">
        <f>A4_Chem_Prices!J$32</f>
        <v>0.71750000000000003</v>
      </c>
      <c r="N2519" s="1094">
        <v>12.8</v>
      </c>
      <c r="O2519" s="82">
        <f>M2519*N2519</f>
        <v>9.1840000000000011</v>
      </c>
      <c r="P2519" s="1449">
        <f>N2519</f>
        <v>12.8</v>
      </c>
      <c r="Q2519" s="1071">
        <f>Q2518</f>
        <v>0</v>
      </c>
    </row>
    <row r="2520" spans="9:17" ht="13.9" x14ac:dyDescent="0.4">
      <c r="I2520" s="1071"/>
      <c r="J2520" s="86" t="s">
        <v>22</v>
      </c>
      <c r="K2520" s="86"/>
      <c r="L2520" s="86"/>
      <c r="M2520" s="81"/>
      <c r="N2520" s="87"/>
      <c r="O2520" s="88">
        <f>SUM(O2518:O2519)</f>
        <v>18.368000000000002</v>
      </c>
      <c r="P2520" s="86"/>
      <c r="Q2520" s="1071"/>
    </row>
    <row r="2521" spans="9:17" ht="13.9" x14ac:dyDescent="0.4">
      <c r="I2521" s="1071"/>
      <c r="J2521" s="83"/>
      <c r="K2521" s="83"/>
      <c r="L2521" s="83"/>
      <c r="M2521" s="83"/>
      <c r="N2521" s="84"/>
      <c r="O2521" s="83"/>
      <c r="P2521" s="83"/>
      <c r="Q2521" s="1071"/>
    </row>
    <row r="2522" spans="9:17" ht="13.9" x14ac:dyDescent="0.4">
      <c r="I2522" s="1071"/>
      <c r="J2522" s="78" t="str">
        <f>IF(A2_Budget_Look_Up!$B$7=1,"Growth Regulator Detail", IF(A2_Budget_Look_Up!$B$13=1,"Fungicide Detail","Other Chemical Detail"))</f>
        <v>Other Chemical Detail</v>
      </c>
      <c r="K2522" s="78"/>
      <c r="L2522" s="78"/>
      <c r="M2522" s="79"/>
      <c r="N2522" s="85"/>
      <c r="O2522" s="79"/>
      <c r="P2522" s="78"/>
      <c r="Q2522" s="1071"/>
    </row>
    <row r="2523" spans="9:17" ht="13.9" x14ac:dyDescent="0.4">
      <c r="I2523" s="1071"/>
      <c r="J2523" s="80" t="s">
        <v>212</v>
      </c>
      <c r="K2523" s="80" t="s">
        <v>838</v>
      </c>
      <c r="L2523" s="80" t="s">
        <v>2</v>
      </c>
      <c r="M2523" s="80" t="s">
        <v>21</v>
      </c>
      <c r="N2523" s="80" t="s">
        <v>174</v>
      </c>
      <c r="O2523" s="80" t="s">
        <v>14</v>
      </c>
      <c r="P2523" s="80" t="s">
        <v>890</v>
      </c>
      <c r="Q2523" s="1071"/>
    </row>
    <row r="2524" spans="9:17" ht="13.9" x14ac:dyDescent="0.4">
      <c r="I2524" s="1073">
        <f>IF($A$1=41,I2519+1,0)</f>
        <v>0</v>
      </c>
      <c r="J2524" s="156" t="s">
        <v>19</v>
      </c>
      <c r="K2524" s="1350" t="s">
        <v>839</v>
      </c>
      <c r="L2524" s="158"/>
      <c r="M2524" s="159">
        <v>0</v>
      </c>
      <c r="N2524" s="157">
        <v>0</v>
      </c>
      <c r="O2524" s="82">
        <f t="shared" ref="O2524:O2530" si="500">M2524*N2524</f>
        <v>0</v>
      </c>
      <c r="P2524" s="160"/>
      <c r="Q2524" s="1071">
        <f>Q2519</f>
        <v>0</v>
      </c>
    </row>
    <row r="2525" spans="9:17" ht="13.9" x14ac:dyDescent="0.4">
      <c r="I2525" s="1073">
        <f t="shared" ref="I2525:I2530" si="501">IF($A$1=41,I2524+1,0)</f>
        <v>0</v>
      </c>
      <c r="J2525" s="156" t="s">
        <v>19</v>
      </c>
      <c r="K2525" s="1350" t="s">
        <v>839</v>
      </c>
      <c r="L2525" s="158"/>
      <c r="M2525" s="159">
        <v>0</v>
      </c>
      <c r="N2525" s="157">
        <v>0</v>
      </c>
      <c r="O2525" s="82">
        <f t="shared" si="500"/>
        <v>0</v>
      </c>
      <c r="P2525" s="160"/>
      <c r="Q2525" s="1071">
        <f t="shared" ref="Q2525:Q2530" si="502">Q2524</f>
        <v>0</v>
      </c>
    </row>
    <row r="2526" spans="9:17" ht="13.9" x14ac:dyDescent="0.4">
      <c r="I2526" s="1073">
        <f t="shared" si="501"/>
        <v>0</v>
      </c>
      <c r="J2526" s="156" t="s">
        <v>19</v>
      </c>
      <c r="K2526" s="1350" t="s">
        <v>839</v>
      </c>
      <c r="L2526" s="158"/>
      <c r="M2526" s="159">
        <v>0</v>
      </c>
      <c r="N2526" s="157">
        <v>0</v>
      </c>
      <c r="O2526" s="82">
        <f t="shared" si="500"/>
        <v>0</v>
      </c>
      <c r="P2526" s="160"/>
      <c r="Q2526" s="1071">
        <f t="shared" si="502"/>
        <v>0</v>
      </c>
    </row>
    <row r="2527" spans="9:17" ht="13.9" x14ac:dyDescent="0.4">
      <c r="I2527" s="1073">
        <f t="shared" si="501"/>
        <v>0</v>
      </c>
      <c r="J2527" s="156" t="s">
        <v>19</v>
      </c>
      <c r="K2527" s="1350" t="s">
        <v>839</v>
      </c>
      <c r="L2527" s="158"/>
      <c r="M2527" s="159">
        <v>0</v>
      </c>
      <c r="N2527" s="157">
        <v>0</v>
      </c>
      <c r="O2527" s="82">
        <f t="shared" si="500"/>
        <v>0</v>
      </c>
      <c r="P2527" s="158"/>
      <c r="Q2527" s="1071">
        <f t="shared" si="502"/>
        <v>0</v>
      </c>
    </row>
    <row r="2528" spans="9:17" ht="13.9" x14ac:dyDescent="0.4">
      <c r="I2528" s="1073">
        <f t="shared" si="501"/>
        <v>0</v>
      </c>
      <c r="J2528" s="156" t="s">
        <v>19</v>
      </c>
      <c r="K2528" s="1350" t="s">
        <v>839</v>
      </c>
      <c r="L2528" s="158"/>
      <c r="M2528" s="159">
        <v>0</v>
      </c>
      <c r="N2528" s="157">
        <v>0</v>
      </c>
      <c r="O2528" s="82">
        <f t="shared" si="500"/>
        <v>0</v>
      </c>
      <c r="P2528" s="158"/>
      <c r="Q2528" s="1071">
        <f t="shared" si="502"/>
        <v>0</v>
      </c>
    </row>
    <row r="2529" spans="9:17" ht="13.9" x14ac:dyDescent="0.4">
      <c r="I2529" s="1073">
        <f t="shared" si="501"/>
        <v>0</v>
      </c>
      <c r="J2529" s="156" t="s">
        <v>19</v>
      </c>
      <c r="K2529" s="1350" t="s">
        <v>839</v>
      </c>
      <c r="L2529" s="158"/>
      <c r="M2529" s="159">
        <v>0</v>
      </c>
      <c r="N2529" s="157">
        <v>0</v>
      </c>
      <c r="O2529" s="82">
        <f t="shared" si="500"/>
        <v>0</v>
      </c>
      <c r="P2529" s="158"/>
      <c r="Q2529" s="1071">
        <f t="shared" si="502"/>
        <v>0</v>
      </c>
    </row>
    <row r="2530" spans="9:17" ht="13.9" x14ac:dyDescent="0.4">
      <c r="I2530" s="1073">
        <f t="shared" si="501"/>
        <v>0</v>
      </c>
      <c r="J2530" s="156" t="s">
        <v>19</v>
      </c>
      <c r="K2530" s="1350" t="s">
        <v>839</v>
      </c>
      <c r="L2530" s="158"/>
      <c r="M2530" s="159">
        <v>0</v>
      </c>
      <c r="N2530" s="157">
        <v>0</v>
      </c>
      <c r="O2530" s="82">
        <f t="shared" si="500"/>
        <v>0</v>
      </c>
      <c r="P2530" s="158"/>
      <c r="Q2530" s="1071">
        <f t="shared" si="502"/>
        <v>0</v>
      </c>
    </row>
    <row r="2531" spans="9:17" ht="13.9" x14ac:dyDescent="0.4">
      <c r="I2531" s="1071"/>
      <c r="J2531" s="86" t="s">
        <v>22</v>
      </c>
      <c r="K2531" s="86"/>
      <c r="L2531" s="86"/>
      <c r="M2531" s="81"/>
      <c r="N2531" s="87"/>
      <c r="O2531" s="88">
        <f>SUM(O2524:O2530)</f>
        <v>0</v>
      </c>
      <c r="P2531" s="86"/>
      <c r="Q2531" s="1071"/>
    </row>
    <row r="2532" spans="9:17" ht="13.9" x14ac:dyDescent="0.4">
      <c r="I2532" s="1071"/>
      <c r="J2532" s="83"/>
      <c r="K2532" s="83"/>
      <c r="L2532" s="83"/>
      <c r="M2532" s="83"/>
      <c r="N2532" s="84"/>
      <c r="O2532" s="83"/>
      <c r="P2532" s="83"/>
      <c r="Q2532" s="1071"/>
    </row>
    <row r="2533" spans="9:17" ht="13.9" x14ac:dyDescent="0.4">
      <c r="I2533" s="1071"/>
      <c r="J2533" s="78" t="str">
        <f>IF(A2_Budget_Look_Up!$B$7=1,"Defoliant Detail", "Other Chemical Detail")</f>
        <v>Other Chemical Detail</v>
      </c>
      <c r="K2533" s="78"/>
      <c r="L2533" s="78"/>
      <c r="M2533" s="79"/>
      <c r="N2533" s="85"/>
      <c r="O2533" s="79"/>
      <c r="P2533" s="78"/>
      <c r="Q2533" s="1071"/>
    </row>
    <row r="2534" spans="9:17" ht="13.9" x14ac:dyDescent="0.4">
      <c r="I2534" s="1071"/>
      <c r="J2534" s="80" t="s">
        <v>212</v>
      </c>
      <c r="K2534" s="80" t="s">
        <v>838</v>
      </c>
      <c r="L2534" s="80" t="s">
        <v>2</v>
      </c>
      <c r="M2534" s="80" t="s">
        <v>21</v>
      </c>
      <c r="N2534" s="80" t="s">
        <v>174</v>
      </c>
      <c r="O2534" s="80" t="s">
        <v>14</v>
      </c>
      <c r="P2534" s="80" t="s">
        <v>890</v>
      </c>
      <c r="Q2534" s="1071"/>
    </row>
    <row r="2535" spans="9:17" ht="13.9" x14ac:dyDescent="0.4">
      <c r="I2535" s="1073">
        <f>IF($A$1=41,I2530+1,0)</f>
        <v>0</v>
      </c>
      <c r="J2535" s="156" t="s">
        <v>19</v>
      </c>
      <c r="K2535" s="1350" t="s">
        <v>839</v>
      </c>
      <c r="L2535" s="158"/>
      <c r="M2535" s="159">
        <v>0</v>
      </c>
      <c r="N2535" s="157">
        <v>0</v>
      </c>
      <c r="O2535" s="82">
        <f t="shared" ref="O2535:O2541" si="503">M2535*N2535</f>
        <v>0</v>
      </c>
      <c r="P2535" s="160"/>
      <c r="Q2535" s="1071">
        <f>Q2530</f>
        <v>0</v>
      </c>
    </row>
    <row r="2536" spans="9:17" ht="13.9" x14ac:dyDescent="0.4">
      <c r="I2536" s="1073">
        <f t="shared" ref="I2536:I2541" si="504">IF($A$1=41,I2535+1,0)</f>
        <v>0</v>
      </c>
      <c r="J2536" s="156" t="s">
        <v>19</v>
      </c>
      <c r="K2536" s="1350" t="s">
        <v>839</v>
      </c>
      <c r="L2536" s="158"/>
      <c r="M2536" s="159">
        <v>0</v>
      </c>
      <c r="N2536" s="157">
        <v>0</v>
      </c>
      <c r="O2536" s="82">
        <f t="shared" si="503"/>
        <v>0</v>
      </c>
      <c r="P2536" s="160"/>
      <c r="Q2536" s="1071">
        <f t="shared" ref="Q2536:Q2541" si="505">Q2535</f>
        <v>0</v>
      </c>
    </row>
    <row r="2537" spans="9:17" ht="13.9" x14ac:dyDescent="0.4">
      <c r="I2537" s="1073">
        <f t="shared" si="504"/>
        <v>0</v>
      </c>
      <c r="J2537" s="156" t="s">
        <v>19</v>
      </c>
      <c r="K2537" s="1350" t="s">
        <v>839</v>
      </c>
      <c r="L2537" s="158"/>
      <c r="M2537" s="159">
        <v>0</v>
      </c>
      <c r="N2537" s="157">
        <v>0</v>
      </c>
      <c r="O2537" s="82">
        <f t="shared" si="503"/>
        <v>0</v>
      </c>
      <c r="P2537" s="160"/>
      <c r="Q2537" s="1071">
        <f t="shared" si="505"/>
        <v>0</v>
      </c>
    </row>
    <row r="2538" spans="9:17" ht="13.9" x14ac:dyDescent="0.4">
      <c r="I2538" s="1073">
        <f t="shared" si="504"/>
        <v>0</v>
      </c>
      <c r="J2538" s="156" t="s">
        <v>19</v>
      </c>
      <c r="K2538" s="1350" t="s">
        <v>839</v>
      </c>
      <c r="L2538" s="158"/>
      <c r="M2538" s="159">
        <v>0</v>
      </c>
      <c r="N2538" s="157">
        <v>0</v>
      </c>
      <c r="O2538" s="82">
        <f t="shared" si="503"/>
        <v>0</v>
      </c>
      <c r="P2538" s="160"/>
      <c r="Q2538" s="1071">
        <f t="shared" si="505"/>
        <v>0</v>
      </c>
    </row>
    <row r="2539" spans="9:17" ht="13.9" x14ac:dyDescent="0.4">
      <c r="I2539" s="1073">
        <f t="shared" si="504"/>
        <v>0</v>
      </c>
      <c r="J2539" s="156" t="s">
        <v>19</v>
      </c>
      <c r="K2539" s="1350" t="s">
        <v>839</v>
      </c>
      <c r="L2539" s="158"/>
      <c r="M2539" s="159">
        <v>0</v>
      </c>
      <c r="N2539" s="157">
        <v>0</v>
      </c>
      <c r="O2539" s="82">
        <f t="shared" si="503"/>
        <v>0</v>
      </c>
      <c r="P2539" s="160"/>
      <c r="Q2539" s="1071">
        <f t="shared" si="505"/>
        <v>0</v>
      </c>
    </row>
    <row r="2540" spans="9:17" ht="13.9" x14ac:dyDescent="0.4">
      <c r="I2540" s="1073">
        <f t="shared" si="504"/>
        <v>0</v>
      </c>
      <c r="J2540" s="156" t="s">
        <v>19</v>
      </c>
      <c r="K2540" s="1350" t="s">
        <v>839</v>
      </c>
      <c r="L2540" s="158"/>
      <c r="M2540" s="159">
        <v>0</v>
      </c>
      <c r="N2540" s="157">
        <v>0</v>
      </c>
      <c r="O2540" s="82">
        <f t="shared" si="503"/>
        <v>0</v>
      </c>
      <c r="P2540" s="158"/>
      <c r="Q2540" s="1071">
        <f t="shared" si="505"/>
        <v>0</v>
      </c>
    </row>
    <row r="2541" spans="9:17" ht="13.9" x14ac:dyDescent="0.4">
      <c r="I2541" s="1073">
        <f t="shared" si="504"/>
        <v>0</v>
      </c>
      <c r="J2541" s="156" t="s">
        <v>19</v>
      </c>
      <c r="K2541" s="1350" t="s">
        <v>839</v>
      </c>
      <c r="L2541" s="158"/>
      <c r="M2541" s="159">
        <v>0</v>
      </c>
      <c r="N2541" s="157">
        <v>0</v>
      </c>
      <c r="O2541" s="82">
        <f t="shared" si="503"/>
        <v>0</v>
      </c>
      <c r="P2541" s="158"/>
      <c r="Q2541" s="1071">
        <f t="shared" si="505"/>
        <v>0</v>
      </c>
    </row>
    <row r="2542" spans="9:17" ht="13.9" x14ac:dyDescent="0.4">
      <c r="I2542" s="1071"/>
      <c r="J2542" s="86" t="s">
        <v>22</v>
      </c>
      <c r="K2542" s="86"/>
      <c r="L2542" s="86"/>
      <c r="M2542" s="81"/>
      <c r="N2542" s="87"/>
      <c r="O2542" s="88">
        <f>SUM(O2535:O2541)</f>
        <v>0</v>
      </c>
      <c r="P2542" s="86"/>
      <c r="Q2542" s="1071"/>
    </row>
    <row r="2543" spans="9:17" ht="13.9" x14ac:dyDescent="0.4">
      <c r="I2543" s="1071"/>
      <c r="J2543" s="83"/>
      <c r="K2543" s="83"/>
      <c r="L2543" s="83"/>
      <c r="M2543" s="89"/>
      <c r="N2543" s="84"/>
      <c r="O2543" s="89"/>
      <c r="P2543" s="83"/>
      <c r="Q2543" s="1071"/>
    </row>
    <row r="2544" spans="9:17" ht="13.9" x14ac:dyDescent="0.4">
      <c r="I2544" s="1071"/>
      <c r="J2544" s="1168" t="str">
        <f>A2_Budget_Look_Up!H44</f>
        <v>Row Rice, Hybrid Seed</v>
      </c>
      <c r="K2544" s="1168"/>
      <c r="L2544" s="1168">
        <f>A2_Budget_Look_Up!F44</f>
        <v>42</v>
      </c>
      <c r="M2544" s="1168"/>
      <c r="N2544" s="1168"/>
      <c r="O2544" s="1168"/>
      <c r="P2544" s="1168"/>
      <c r="Q2544" s="1071"/>
    </row>
    <row r="2546" spans="9:17" ht="13.9" x14ac:dyDescent="0.4">
      <c r="I2546" s="1071"/>
      <c r="J2546" s="78" t="s">
        <v>18</v>
      </c>
      <c r="K2546" s="78"/>
      <c r="L2546" s="78"/>
      <c r="M2546" s="79"/>
      <c r="N2546" s="85"/>
      <c r="O2546" s="79"/>
      <c r="P2546" s="78"/>
      <c r="Q2546" s="1071"/>
    </row>
    <row r="2547" spans="9:17" ht="13.9" x14ac:dyDescent="0.4">
      <c r="I2547" s="1071"/>
      <c r="J2547" s="80" t="s">
        <v>212</v>
      </c>
      <c r="K2547" s="80" t="s">
        <v>838</v>
      </c>
      <c r="L2547" s="80" t="s">
        <v>2</v>
      </c>
      <c r="M2547" s="80" t="s">
        <v>21</v>
      </c>
      <c r="N2547" s="80" t="s">
        <v>174</v>
      </c>
      <c r="O2547" s="80" t="s">
        <v>14</v>
      </c>
      <c r="P2547" s="80" t="s">
        <v>890</v>
      </c>
      <c r="Q2547" s="1071"/>
    </row>
    <row r="2548" spans="9:17" ht="13.9" x14ac:dyDescent="0.4">
      <c r="I2548" s="1073">
        <f>IF($A$1=42,1,0)</f>
        <v>0</v>
      </c>
      <c r="J2548" s="159" t="str">
        <f>A4_Chem_Prices!H$2</f>
        <v>Command</v>
      </c>
      <c r="K2548" s="1350" t="s">
        <v>839</v>
      </c>
      <c r="L2548" s="158" t="str">
        <f>A4_Chem_Prices!I$2</f>
        <v>oz</v>
      </c>
      <c r="M2548" s="159">
        <f>A4_Chem_Prices!J$2</f>
        <v>0.67414062499999994</v>
      </c>
      <c r="N2548" s="157">
        <v>12.8</v>
      </c>
      <c r="O2548" s="82">
        <f t="shared" ref="O2548:O2561" si="506">M2548*N2548</f>
        <v>8.6289999999999996</v>
      </c>
      <c r="P2548" s="1449">
        <f>N2548</f>
        <v>12.8</v>
      </c>
      <c r="Q2548" s="1171">
        <f>IF(SUM(I2548:I2603)=820,L2544,0)</f>
        <v>0</v>
      </c>
    </row>
    <row r="2549" spans="9:17" ht="13.9" x14ac:dyDescent="0.4">
      <c r="I2549" s="1073">
        <f t="shared" ref="I2549:I2561" si="507">IF($A$1=42,I2548+1,0)</f>
        <v>0</v>
      </c>
      <c r="J2549" s="159" t="str">
        <f>A4_Chem_Prices!H$13</f>
        <v>Propanil</v>
      </c>
      <c r="K2549" s="1350" t="s">
        <v>839</v>
      </c>
      <c r="L2549" s="160" t="str">
        <f>A4_Chem_Prices!I$13</f>
        <v>oz</v>
      </c>
      <c r="M2549" s="159">
        <f>A4_Chem_Prices!J$13</f>
        <v>0.1953125</v>
      </c>
      <c r="N2549" s="157">
        <v>1</v>
      </c>
      <c r="O2549" s="82">
        <f t="shared" si="506"/>
        <v>0.1953125</v>
      </c>
      <c r="P2549" s="160">
        <f>N2549*128</f>
        <v>128</v>
      </c>
      <c r="Q2549" s="1071">
        <f>Q2548</f>
        <v>0</v>
      </c>
    </row>
    <row r="2550" spans="9:17" ht="13.9" x14ac:dyDescent="0.4">
      <c r="I2550" s="1073">
        <f t="shared" si="507"/>
        <v>0</v>
      </c>
      <c r="J2550" s="159" t="str">
        <f>A4_Chem_Prices!H$7</f>
        <v>Facet L</v>
      </c>
      <c r="K2550" s="1350" t="s">
        <v>839</v>
      </c>
      <c r="L2550" s="158" t="str">
        <f>A4_Chem_Prices!I$7</f>
        <v>oz</v>
      </c>
      <c r="M2550" s="159">
        <f>A4_Chem_Prices!J$7</f>
        <v>0.6640625</v>
      </c>
      <c r="N2550" s="157">
        <v>0.33</v>
      </c>
      <c r="O2550" s="82">
        <f t="shared" si="506"/>
        <v>0.21914062500000001</v>
      </c>
      <c r="P2550" s="160">
        <f>N2550*16</f>
        <v>5.28</v>
      </c>
      <c r="Q2550" s="1071">
        <f t="shared" ref="Q2550:Q2561" si="508">Q2549</f>
        <v>0</v>
      </c>
    </row>
    <row r="2551" spans="9:17" ht="13.9" x14ac:dyDescent="0.4">
      <c r="I2551" s="1073">
        <f t="shared" si="507"/>
        <v>0</v>
      </c>
      <c r="J2551" s="159" t="str">
        <f>A4_Chem_Prices!H$8</f>
        <v>Beyond</v>
      </c>
      <c r="K2551" s="1350" t="s">
        <v>839</v>
      </c>
      <c r="L2551" s="160" t="str">
        <f>A4_Chem_Prices!I$8</f>
        <v>oz</v>
      </c>
      <c r="M2551" s="159">
        <f>A4_Chem_Prices!J$8</f>
        <v>3.39</v>
      </c>
      <c r="N2551" s="157">
        <v>32</v>
      </c>
      <c r="O2551" s="82">
        <f t="shared" si="506"/>
        <v>108.48</v>
      </c>
      <c r="P2551" s="1449">
        <f>N2551</f>
        <v>32</v>
      </c>
      <c r="Q2551" s="1071">
        <f t="shared" si="508"/>
        <v>0</v>
      </c>
    </row>
    <row r="2552" spans="9:17" ht="13.9" x14ac:dyDescent="0.4">
      <c r="I2552" s="1073">
        <f t="shared" si="507"/>
        <v>0</v>
      </c>
      <c r="J2552" s="159" t="str">
        <f>A4_Chem_Prices!H$14</f>
        <v>Bolero</v>
      </c>
      <c r="K2552" s="1350" t="s">
        <v>839</v>
      </c>
      <c r="L2552" s="160" t="str">
        <f>A4_Chem_Prices!I$14</f>
        <v>oz</v>
      </c>
      <c r="M2552" s="159">
        <f>A4_Chem_Prices!J$14</f>
        <v>0.3828125</v>
      </c>
      <c r="N2552" s="157">
        <v>3</v>
      </c>
      <c r="O2552" s="82">
        <f t="shared" si="506"/>
        <v>1.1484375</v>
      </c>
      <c r="P2552" s="160">
        <f>N2552*16</f>
        <v>48</v>
      </c>
      <c r="Q2552" s="1071">
        <f t="shared" si="508"/>
        <v>0</v>
      </c>
    </row>
    <row r="2553" spans="9:17" ht="13.9" x14ac:dyDescent="0.4">
      <c r="I2553" s="1073">
        <f t="shared" si="507"/>
        <v>0</v>
      </c>
      <c r="J2553" s="159" t="str">
        <f>A4_Chem_Prices!H$15</f>
        <v>Ricestar HT</v>
      </c>
      <c r="K2553" s="1350" t="s">
        <v>839</v>
      </c>
      <c r="L2553" s="160" t="str">
        <f>A4_Chem_Prices!I$15</f>
        <v>oz</v>
      </c>
      <c r="M2553" s="159">
        <f>A4_Chem_Prices!J$15</f>
        <v>1.47484375</v>
      </c>
      <c r="N2553" s="157">
        <v>24</v>
      </c>
      <c r="O2553" s="82">
        <f t="shared" si="506"/>
        <v>35.396250000000002</v>
      </c>
      <c r="P2553" s="1449">
        <f>N2553</f>
        <v>24</v>
      </c>
      <c r="Q2553" s="1071">
        <f t="shared" si="508"/>
        <v>0</v>
      </c>
    </row>
    <row r="2554" spans="9:17" ht="13.9" x14ac:dyDescent="0.4">
      <c r="I2554" s="1073">
        <f t="shared" si="507"/>
        <v>0</v>
      </c>
      <c r="J2554" s="159" t="str">
        <f>A4_Chem_Prices!H$8</f>
        <v>Beyond</v>
      </c>
      <c r="K2554" s="1350" t="s">
        <v>839</v>
      </c>
      <c r="L2554" s="160" t="str">
        <f>A4_Chem_Prices!I$8</f>
        <v>oz</v>
      </c>
      <c r="M2554" s="159">
        <f>A4_Chem_Prices!$J8</f>
        <v>3.39</v>
      </c>
      <c r="N2554" s="157">
        <v>32</v>
      </c>
      <c r="O2554" s="82">
        <f t="shared" si="506"/>
        <v>108.48</v>
      </c>
      <c r="P2554" s="1449">
        <f>N2554</f>
        <v>32</v>
      </c>
      <c r="Q2554" s="1071">
        <f t="shared" si="508"/>
        <v>0</v>
      </c>
    </row>
    <row r="2555" spans="9:17" ht="13.9" x14ac:dyDescent="0.4">
      <c r="I2555" s="1073">
        <f t="shared" si="507"/>
        <v>0</v>
      </c>
      <c r="J2555" s="159" t="s">
        <v>19</v>
      </c>
      <c r="K2555" s="1350" t="s">
        <v>839</v>
      </c>
      <c r="L2555" s="160"/>
      <c r="M2555" s="159">
        <v>0</v>
      </c>
      <c r="N2555" s="157">
        <v>0</v>
      </c>
      <c r="O2555" s="82">
        <f t="shared" si="506"/>
        <v>0</v>
      </c>
      <c r="P2555" s="160"/>
      <c r="Q2555" s="1071">
        <f t="shared" si="508"/>
        <v>0</v>
      </c>
    </row>
    <row r="2556" spans="9:17" ht="13.9" x14ac:dyDescent="0.4">
      <c r="I2556" s="1073">
        <f t="shared" si="507"/>
        <v>0</v>
      </c>
      <c r="J2556" s="159" t="s">
        <v>19</v>
      </c>
      <c r="K2556" s="1350" t="s">
        <v>839</v>
      </c>
      <c r="L2556" s="160"/>
      <c r="M2556" s="159">
        <v>0</v>
      </c>
      <c r="N2556" s="157">
        <v>0</v>
      </c>
      <c r="O2556" s="82">
        <f t="shared" si="506"/>
        <v>0</v>
      </c>
      <c r="P2556" s="160"/>
      <c r="Q2556" s="1071">
        <f t="shared" si="508"/>
        <v>0</v>
      </c>
    </row>
    <row r="2557" spans="9:17" ht="13.9" x14ac:dyDescent="0.4">
      <c r="I2557" s="1073">
        <f t="shared" si="507"/>
        <v>0</v>
      </c>
      <c r="J2557" s="159" t="s">
        <v>19</v>
      </c>
      <c r="K2557" s="1350" t="s">
        <v>839</v>
      </c>
      <c r="L2557" s="160"/>
      <c r="M2557" s="159">
        <v>0</v>
      </c>
      <c r="N2557" s="157">
        <v>0</v>
      </c>
      <c r="O2557" s="82">
        <f t="shared" si="506"/>
        <v>0</v>
      </c>
      <c r="P2557" s="160"/>
      <c r="Q2557" s="1071">
        <f t="shared" si="508"/>
        <v>0</v>
      </c>
    </row>
    <row r="2558" spans="9:17" ht="13.9" x14ac:dyDescent="0.4">
      <c r="I2558" s="1073">
        <f t="shared" si="507"/>
        <v>0</v>
      </c>
      <c r="J2558" s="159" t="s">
        <v>19</v>
      </c>
      <c r="K2558" s="1350" t="s">
        <v>839</v>
      </c>
      <c r="L2558" s="160"/>
      <c r="M2558" s="159">
        <v>0</v>
      </c>
      <c r="N2558" s="157">
        <v>0</v>
      </c>
      <c r="O2558" s="82">
        <f t="shared" si="506"/>
        <v>0</v>
      </c>
      <c r="P2558" s="160"/>
      <c r="Q2558" s="1071">
        <f t="shared" si="508"/>
        <v>0</v>
      </c>
    </row>
    <row r="2559" spans="9:17" ht="13.9" x14ac:dyDescent="0.4">
      <c r="I2559" s="1073">
        <f t="shared" si="507"/>
        <v>0</v>
      </c>
      <c r="J2559" s="159" t="s">
        <v>19</v>
      </c>
      <c r="K2559" s="1350" t="s">
        <v>839</v>
      </c>
      <c r="L2559" s="160"/>
      <c r="M2559" s="159">
        <v>0</v>
      </c>
      <c r="N2559" s="157">
        <v>0</v>
      </c>
      <c r="O2559" s="82">
        <f t="shared" si="506"/>
        <v>0</v>
      </c>
      <c r="P2559" s="160"/>
      <c r="Q2559" s="1071">
        <f t="shared" si="508"/>
        <v>0</v>
      </c>
    </row>
    <row r="2560" spans="9:17" ht="13.9" x14ac:dyDescent="0.4">
      <c r="I2560" s="1073">
        <f t="shared" si="507"/>
        <v>0</v>
      </c>
      <c r="J2560" s="159" t="s">
        <v>19</v>
      </c>
      <c r="K2560" s="1350" t="s">
        <v>839</v>
      </c>
      <c r="L2560" s="160"/>
      <c r="M2560" s="159">
        <v>0</v>
      </c>
      <c r="N2560" s="157">
        <v>0</v>
      </c>
      <c r="O2560" s="82">
        <f t="shared" si="506"/>
        <v>0</v>
      </c>
      <c r="P2560" s="160"/>
      <c r="Q2560" s="1071">
        <f t="shared" si="508"/>
        <v>0</v>
      </c>
    </row>
    <row r="2561" spans="9:17" ht="13.9" x14ac:dyDescent="0.4">
      <c r="I2561" s="1073">
        <f t="shared" si="507"/>
        <v>0</v>
      </c>
      <c r="J2561" s="159" t="s">
        <v>19</v>
      </c>
      <c r="K2561" s="1350" t="s">
        <v>839</v>
      </c>
      <c r="L2561" s="160"/>
      <c r="M2561" s="159">
        <v>0</v>
      </c>
      <c r="N2561" s="157">
        <v>0</v>
      </c>
      <c r="O2561" s="82">
        <f t="shared" si="506"/>
        <v>0</v>
      </c>
      <c r="P2561" s="160"/>
      <c r="Q2561" s="1071">
        <f t="shared" si="508"/>
        <v>0</v>
      </c>
    </row>
    <row r="2562" spans="9:17" ht="13.9" x14ac:dyDescent="0.4">
      <c r="I2562" s="1071"/>
      <c r="J2562" s="86" t="s">
        <v>22</v>
      </c>
      <c r="K2562" s="86"/>
      <c r="L2562" s="86"/>
      <c r="M2562" s="81"/>
      <c r="N2562" s="87"/>
      <c r="O2562" s="88">
        <f>SUM(O2548:O2561)</f>
        <v>262.54814062500003</v>
      </c>
      <c r="P2562" s="86"/>
      <c r="Q2562" s="1071"/>
    </row>
    <row r="2563" spans="9:17" ht="13.9" x14ac:dyDescent="0.4">
      <c r="I2563" s="1071"/>
      <c r="J2563" s="83"/>
      <c r="K2563" s="83"/>
      <c r="L2563" s="83"/>
      <c r="M2563" s="83"/>
      <c r="N2563" s="84"/>
      <c r="O2563" s="83"/>
      <c r="P2563" s="83"/>
      <c r="Q2563" s="1071"/>
    </row>
    <row r="2564" spans="9:17" ht="13.9" x14ac:dyDescent="0.4">
      <c r="I2564" s="1071"/>
      <c r="J2564" s="78" t="s">
        <v>20</v>
      </c>
      <c r="K2564" s="78"/>
      <c r="L2564" s="78"/>
      <c r="M2564" s="79"/>
      <c r="N2564" s="85"/>
      <c r="O2564" s="79"/>
      <c r="P2564" s="78"/>
      <c r="Q2564" s="1071"/>
    </row>
    <row r="2565" spans="9:17" ht="13.9" x14ac:dyDescent="0.4">
      <c r="I2565" s="1071"/>
      <c r="J2565" s="80" t="s">
        <v>212</v>
      </c>
      <c r="K2565" s="80" t="s">
        <v>838</v>
      </c>
      <c r="L2565" s="80" t="s">
        <v>2</v>
      </c>
      <c r="M2565" s="80" t="s">
        <v>21</v>
      </c>
      <c r="N2565" s="80" t="s">
        <v>174</v>
      </c>
      <c r="O2565" s="80" t="s">
        <v>14</v>
      </c>
      <c r="P2565" s="80" t="s">
        <v>890</v>
      </c>
      <c r="Q2565" s="1071"/>
    </row>
    <row r="2566" spans="9:17" ht="13.9" x14ac:dyDescent="0.4">
      <c r="I2566" s="1073">
        <f>IF($A$1=42,I2561+1,0)</f>
        <v>0</v>
      </c>
      <c r="J2566" s="1092" t="str">
        <f>A4_Chem_Prices!H$18</f>
        <v>Lambda-cyhalothrine</v>
      </c>
      <c r="K2566" s="1350" t="s">
        <v>839</v>
      </c>
      <c r="L2566" s="1095" t="str">
        <f>A4_Chem_Prices!I$18</f>
        <v>oz</v>
      </c>
      <c r="M2566" s="1092">
        <f>A4_Chem_Prices!J$18</f>
        <v>2.57</v>
      </c>
      <c r="N2566" s="1094">
        <v>1.6</v>
      </c>
      <c r="O2566" s="82">
        <f t="shared" ref="O2566:O2575" si="509">M2566*N2566</f>
        <v>4.1120000000000001</v>
      </c>
      <c r="P2566" s="1449">
        <f>N2566</f>
        <v>1.6</v>
      </c>
      <c r="Q2566" s="1071">
        <f>Q2548</f>
        <v>0</v>
      </c>
    </row>
    <row r="2567" spans="9:17" ht="13.9" x14ac:dyDescent="0.4">
      <c r="I2567" s="1073">
        <f t="shared" ref="I2567:I2575" si="510">IF($A$1=42,I2566+1,0)</f>
        <v>0</v>
      </c>
      <c r="J2567" s="159" t="s">
        <v>19</v>
      </c>
      <c r="K2567" s="1350" t="s">
        <v>839</v>
      </c>
      <c r="L2567" s="160"/>
      <c r="M2567" s="159">
        <v>0</v>
      </c>
      <c r="N2567" s="157">
        <v>0</v>
      </c>
      <c r="O2567" s="82">
        <f t="shared" si="509"/>
        <v>0</v>
      </c>
      <c r="P2567" s="160"/>
      <c r="Q2567" s="1071">
        <f>Q2566</f>
        <v>0</v>
      </c>
    </row>
    <row r="2568" spans="9:17" ht="13.9" x14ac:dyDescent="0.4">
      <c r="I2568" s="1073">
        <f t="shared" si="510"/>
        <v>0</v>
      </c>
      <c r="J2568" s="159" t="s">
        <v>19</v>
      </c>
      <c r="K2568" s="1350" t="s">
        <v>839</v>
      </c>
      <c r="L2568" s="160"/>
      <c r="M2568" s="159">
        <v>0</v>
      </c>
      <c r="N2568" s="157">
        <v>0</v>
      </c>
      <c r="O2568" s="82">
        <f t="shared" si="509"/>
        <v>0</v>
      </c>
      <c r="P2568" s="160"/>
      <c r="Q2568" s="1071">
        <f t="shared" ref="Q2568:Q2575" si="511">Q2567</f>
        <v>0</v>
      </c>
    </row>
    <row r="2569" spans="9:17" ht="13.9" x14ac:dyDescent="0.4">
      <c r="I2569" s="1073">
        <f t="shared" si="510"/>
        <v>0</v>
      </c>
      <c r="J2569" s="159" t="s">
        <v>19</v>
      </c>
      <c r="K2569" s="1350" t="s">
        <v>839</v>
      </c>
      <c r="L2569" s="160"/>
      <c r="M2569" s="159">
        <v>0</v>
      </c>
      <c r="N2569" s="157">
        <v>0</v>
      </c>
      <c r="O2569" s="82">
        <f t="shared" si="509"/>
        <v>0</v>
      </c>
      <c r="P2569" s="160"/>
      <c r="Q2569" s="1071">
        <f t="shared" si="511"/>
        <v>0</v>
      </c>
    </row>
    <row r="2570" spans="9:17" ht="13.9" x14ac:dyDescent="0.4">
      <c r="I2570" s="1073">
        <f t="shared" si="510"/>
        <v>0</v>
      </c>
      <c r="J2570" s="159" t="s">
        <v>19</v>
      </c>
      <c r="K2570" s="1350" t="s">
        <v>839</v>
      </c>
      <c r="L2570" s="160"/>
      <c r="M2570" s="159">
        <v>0</v>
      </c>
      <c r="N2570" s="157">
        <v>0</v>
      </c>
      <c r="O2570" s="82">
        <f t="shared" si="509"/>
        <v>0</v>
      </c>
      <c r="P2570" s="158"/>
      <c r="Q2570" s="1071">
        <f t="shared" si="511"/>
        <v>0</v>
      </c>
    </row>
    <row r="2571" spans="9:17" ht="13.9" x14ac:dyDescent="0.4">
      <c r="I2571" s="1073">
        <f t="shared" si="510"/>
        <v>0</v>
      </c>
      <c r="J2571" s="159" t="s">
        <v>19</v>
      </c>
      <c r="K2571" s="1350" t="s">
        <v>839</v>
      </c>
      <c r="L2571" s="160"/>
      <c r="M2571" s="159">
        <v>0</v>
      </c>
      <c r="N2571" s="157">
        <v>0</v>
      </c>
      <c r="O2571" s="82">
        <f t="shared" si="509"/>
        <v>0</v>
      </c>
      <c r="P2571" s="158"/>
      <c r="Q2571" s="1071">
        <f t="shared" si="511"/>
        <v>0</v>
      </c>
    </row>
    <row r="2572" spans="9:17" ht="13.9" x14ac:dyDescent="0.4">
      <c r="I2572" s="1073">
        <f t="shared" si="510"/>
        <v>0</v>
      </c>
      <c r="J2572" s="159" t="s">
        <v>19</v>
      </c>
      <c r="K2572" s="1350" t="s">
        <v>839</v>
      </c>
      <c r="L2572" s="160"/>
      <c r="M2572" s="159">
        <v>0</v>
      </c>
      <c r="N2572" s="157">
        <v>0</v>
      </c>
      <c r="O2572" s="82">
        <f t="shared" si="509"/>
        <v>0</v>
      </c>
      <c r="P2572" s="158"/>
      <c r="Q2572" s="1071">
        <f t="shared" si="511"/>
        <v>0</v>
      </c>
    </row>
    <row r="2573" spans="9:17" ht="13.9" x14ac:dyDescent="0.4">
      <c r="I2573" s="1073">
        <f t="shared" si="510"/>
        <v>0</v>
      </c>
      <c r="J2573" s="159" t="s">
        <v>19</v>
      </c>
      <c r="K2573" s="1350" t="s">
        <v>839</v>
      </c>
      <c r="L2573" s="160"/>
      <c r="M2573" s="159">
        <v>0</v>
      </c>
      <c r="N2573" s="157">
        <v>0</v>
      </c>
      <c r="O2573" s="82">
        <f t="shared" si="509"/>
        <v>0</v>
      </c>
      <c r="P2573" s="158"/>
      <c r="Q2573" s="1071">
        <f t="shared" si="511"/>
        <v>0</v>
      </c>
    </row>
    <row r="2574" spans="9:17" ht="13.9" x14ac:dyDescent="0.4">
      <c r="I2574" s="1073">
        <f t="shared" si="510"/>
        <v>0</v>
      </c>
      <c r="J2574" s="159" t="s">
        <v>19</v>
      </c>
      <c r="K2574" s="1350" t="s">
        <v>839</v>
      </c>
      <c r="L2574" s="160"/>
      <c r="M2574" s="159">
        <v>0</v>
      </c>
      <c r="N2574" s="157">
        <v>0</v>
      </c>
      <c r="O2574" s="82">
        <f t="shared" si="509"/>
        <v>0</v>
      </c>
      <c r="P2574" s="158"/>
      <c r="Q2574" s="1071">
        <f t="shared" si="511"/>
        <v>0</v>
      </c>
    </row>
    <row r="2575" spans="9:17" ht="13.9" x14ac:dyDescent="0.4">
      <c r="I2575" s="1073">
        <f t="shared" si="510"/>
        <v>0</v>
      </c>
      <c r="J2575" s="159" t="s">
        <v>19</v>
      </c>
      <c r="K2575" s="1350" t="s">
        <v>839</v>
      </c>
      <c r="L2575" s="160"/>
      <c r="M2575" s="159">
        <v>0</v>
      </c>
      <c r="N2575" s="157">
        <v>0</v>
      </c>
      <c r="O2575" s="82">
        <f t="shared" si="509"/>
        <v>0</v>
      </c>
      <c r="P2575" s="158"/>
      <c r="Q2575" s="1071">
        <f t="shared" si="511"/>
        <v>0</v>
      </c>
    </row>
    <row r="2576" spans="9:17" ht="13.9" x14ac:dyDescent="0.4">
      <c r="I2576" s="1071"/>
      <c r="J2576" s="86" t="s">
        <v>22</v>
      </c>
      <c r="K2576" s="86"/>
      <c r="L2576" s="86"/>
      <c r="M2576" s="81"/>
      <c r="N2576" s="87"/>
      <c r="O2576" s="88">
        <f>SUM(O2566:O2575)</f>
        <v>4.1120000000000001</v>
      </c>
      <c r="P2576" s="86"/>
      <c r="Q2576" s="1071"/>
    </row>
    <row r="2578" spans="9:17" ht="13.9" x14ac:dyDescent="0.4">
      <c r="I2578" s="1071"/>
      <c r="J2578" s="78" t="str">
        <f>IF(OR(A2_Budget_Look_Up!$B$7=1,A2_Budget_Look_Up!$B$13=1),"Nematicide Detail", "Fungicide Detail")</f>
        <v>Fungicide Detail</v>
      </c>
      <c r="K2578" s="78"/>
      <c r="L2578" s="78"/>
      <c r="M2578" s="79"/>
      <c r="N2578" s="85"/>
      <c r="O2578" s="79"/>
      <c r="P2578" s="78"/>
      <c r="Q2578" s="1071"/>
    </row>
    <row r="2579" spans="9:17" ht="13.9" x14ac:dyDescent="0.4">
      <c r="I2579" s="1071"/>
      <c r="J2579" s="80" t="s">
        <v>212</v>
      </c>
      <c r="K2579" s="80" t="s">
        <v>838</v>
      </c>
      <c r="L2579" s="80" t="s">
        <v>2</v>
      </c>
      <c r="M2579" s="80" t="s">
        <v>21</v>
      </c>
      <c r="N2579" s="80" t="s">
        <v>174</v>
      </c>
      <c r="O2579" s="80" t="s">
        <v>14</v>
      </c>
      <c r="P2579" s="80" t="s">
        <v>890</v>
      </c>
      <c r="Q2579" s="1071"/>
    </row>
    <row r="2580" spans="9:17" ht="13.9" x14ac:dyDescent="0.4">
      <c r="I2580" s="1073">
        <f>IF($A$1=42,I2575+1,0)</f>
        <v>0</v>
      </c>
      <c r="J2580" s="156" t="s">
        <v>19</v>
      </c>
      <c r="K2580" s="1350" t="s">
        <v>839</v>
      </c>
      <c r="L2580" s="158"/>
      <c r="M2580" s="159">
        <v>0</v>
      </c>
      <c r="N2580" s="157">
        <v>0</v>
      </c>
      <c r="O2580" s="82">
        <f>M2580*N2580</f>
        <v>0</v>
      </c>
      <c r="P2580" s="158"/>
      <c r="Q2580" s="1071">
        <f>Q2575</f>
        <v>0</v>
      </c>
    </row>
    <row r="2581" spans="9:17" ht="13.9" x14ac:dyDescent="0.4">
      <c r="I2581" s="1073">
        <f>IF($A$1=42,I2580+1,0)</f>
        <v>0</v>
      </c>
      <c r="J2581" s="156" t="s">
        <v>19</v>
      </c>
      <c r="K2581" s="1350" t="s">
        <v>839</v>
      </c>
      <c r="L2581" s="158"/>
      <c r="M2581" s="159">
        <v>0</v>
      </c>
      <c r="N2581" s="157">
        <v>0</v>
      </c>
      <c r="O2581" s="82">
        <f>M2581*N2581</f>
        <v>0</v>
      </c>
      <c r="P2581" s="158"/>
      <c r="Q2581" s="1071">
        <f>Q2580</f>
        <v>0</v>
      </c>
    </row>
    <row r="2582" spans="9:17" ht="13.9" x14ac:dyDescent="0.4">
      <c r="I2582" s="1071"/>
      <c r="J2582" s="86" t="s">
        <v>22</v>
      </c>
      <c r="K2582" s="86"/>
      <c r="L2582" s="86"/>
      <c r="M2582" s="81"/>
      <c r="N2582" s="87"/>
      <c r="O2582" s="88">
        <f>SUM(O2580:O2581)</f>
        <v>0</v>
      </c>
      <c r="P2582" s="86"/>
      <c r="Q2582" s="1071"/>
    </row>
    <row r="2583" spans="9:17" ht="13.9" x14ac:dyDescent="0.4">
      <c r="I2583" s="1071"/>
      <c r="J2583" s="83"/>
      <c r="K2583" s="83"/>
      <c r="L2583" s="83"/>
      <c r="M2583" s="83"/>
      <c r="N2583" s="84"/>
      <c r="O2583" s="83"/>
      <c r="P2583" s="83"/>
      <c r="Q2583" s="1071"/>
    </row>
    <row r="2584" spans="9:17" ht="13.9" x14ac:dyDescent="0.4">
      <c r="I2584" s="1071"/>
      <c r="J2584" s="78" t="str">
        <f>IF(A2_Budget_Look_Up!$B$7=1,"Growth Regulator Detail", IF(A2_Budget_Look_Up!$B$13=1,"Fungicide Detail","Other Chemical Detail"))</f>
        <v>Other Chemical Detail</v>
      </c>
      <c r="K2584" s="78"/>
      <c r="L2584" s="78"/>
      <c r="M2584" s="79"/>
      <c r="N2584" s="85"/>
      <c r="O2584" s="79"/>
      <c r="P2584" s="78"/>
      <c r="Q2584" s="1071"/>
    </row>
    <row r="2585" spans="9:17" ht="13.9" x14ac:dyDescent="0.4">
      <c r="I2585" s="1071"/>
      <c r="J2585" s="80" t="s">
        <v>212</v>
      </c>
      <c r="K2585" s="80" t="s">
        <v>838</v>
      </c>
      <c r="L2585" s="80" t="s">
        <v>2</v>
      </c>
      <c r="M2585" s="80" t="s">
        <v>21</v>
      </c>
      <c r="N2585" s="80" t="s">
        <v>174</v>
      </c>
      <c r="O2585" s="80" t="s">
        <v>14</v>
      </c>
      <c r="P2585" s="80" t="s">
        <v>890</v>
      </c>
      <c r="Q2585" s="1071"/>
    </row>
    <row r="2586" spans="9:17" ht="13.9" x14ac:dyDescent="0.4">
      <c r="I2586" s="1073">
        <f>IF($A$1=42,I2581+1,0)</f>
        <v>0</v>
      </c>
      <c r="J2586" s="156" t="s">
        <v>19</v>
      </c>
      <c r="K2586" s="1350" t="s">
        <v>839</v>
      </c>
      <c r="L2586" s="158"/>
      <c r="M2586" s="159">
        <v>0</v>
      </c>
      <c r="N2586" s="157">
        <v>0</v>
      </c>
      <c r="O2586" s="82">
        <f t="shared" ref="O2586:O2592" si="512">M2586*N2586</f>
        <v>0</v>
      </c>
      <c r="P2586" s="160"/>
      <c r="Q2586" s="1071">
        <f>Q2581</f>
        <v>0</v>
      </c>
    </row>
    <row r="2587" spans="9:17" ht="13.9" x14ac:dyDescent="0.4">
      <c r="I2587" s="1073">
        <f t="shared" ref="I2587:I2592" si="513">IF($A$1=42,I2586+1,0)</f>
        <v>0</v>
      </c>
      <c r="J2587" s="156" t="s">
        <v>19</v>
      </c>
      <c r="K2587" s="1350" t="s">
        <v>839</v>
      </c>
      <c r="L2587" s="158"/>
      <c r="M2587" s="159">
        <v>0</v>
      </c>
      <c r="N2587" s="157">
        <v>0</v>
      </c>
      <c r="O2587" s="82">
        <f t="shared" si="512"/>
        <v>0</v>
      </c>
      <c r="P2587" s="160"/>
      <c r="Q2587" s="1071">
        <f t="shared" ref="Q2587:Q2592" si="514">Q2586</f>
        <v>0</v>
      </c>
    </row>
    <row r="2588" spans="9:17" ht="13.9" x14ac:dyDescent="0.4">
      <c r="I2588" s="1073">
        <f t="shared" si="513"/>
        <v>0</v>
      </c>
      <c r="J2588" s="156" t="s">
        <v>19</v>
      </c>
      <c r="K2588" s="1350" t="s">
        <v>839</v>
      </c>
      <c r="L2588" s="158"/>
      <c r="M2588" s="159">
        <v>0</v>
      </c>
      <c r="N2588" s="157">
        <v>0</v>
      </c>
      <c r="O2588" s="82">
        <f t="shared" si="512"/>
        <v>0</v>
      </c>
      <c r="P2588" s="160"/>
      <c r="Q2588" s="1071">
        <f t="shared" si="514"/>
        <v>0</v>
      </c>
    </row>
    <row r="2589" spans="9:17" ht="13.9" x14ac:dyDescent="0.4">
      <c r="I2589" s="1073">
        <f t="shared" si="513"/>
        <v>0</v>
      </c>
      <c r="J2589" s="156" t="s">
        <v>19</v>
      </c>
      <c r="K2589" s="1350" t="s">
        <v>839</v>
      </c>
      <c r="L2589" s="158"/>
      <c r="M2589" s="159">
        <v>0</v>
      </c>
      <c r="N2589" s="157">
        <v>0</v>
      </c>
      <c r="O2589" s="82">
        <f t="shared" si="512"/>
        <v>0</v>
      </c>
      <c r="P2589" s="158"/>
      <c r="Q2589" s="1071">
        <f t="shared" si="514"/>
        <v>0</v>
      </c>
    </row>
    <row r="2590" spans="9:17" ht="13.9" x14ac:dyDescent="0.4">
      <c r="I2590" s="1073">
        <f t="shared" si="513"/>
        <v>0</v>
      </c>
      <c r="J2590" s="156" t="s">
        <v>19</v>
      </c>
      <c r="K2590" s="1350" t="s">
        <v>839</v>
      </c>
      <c r="L2590" s="158"/>
      <c r="M2590" s="159">
        <v>0</v>
      </c>
      <c r="N2590" s="157">
        <v>0</v>
      </c>
      <c r="O2590" s="82">
        <f t="shared" si="512"/>
        <v>0</v>
      </c>
      <c r="P2590" s="158"/>
      <c r="Q2590" s="1071">
        <f t="shared" si="514"/>
        <v>0</v>
      </c>
    </row>
    <row r="2591" spans="9:17" ht="13.9" x14ac:dyDescent="0.4">
      <c r="I2591" s="1073">
        <f t="shared" si="513"/>
        <v>0</v>
      </c>
      <c r="J2591" s="156" t="s">
        <v>19</v>
      </c>
      <c r="K2591" s="1350" t="s">
        <v>839</v>
      </c>
      <c r="L2591" s="158"/>
      <c r="M2591" s="159">
        <v>0</v>
      </c>
      <c r="N2591" s="157">
        <v>0</v>
      </c>
      <c r="O2591" s="82">
        <f t="shared" si="512"/>
        <v>0</v>
      </c>
      <c r="P2591" s="158"/>
      <c r="Q2591" s="1071">
        <f t="shared" si="514"/>
        <v>0</v>
      </c>
    </row>
    <row r="2592" spans="9:17" ht="13.9" x14ac:dyDescent="0.4">
      <c r="I2592" s="1073">
        <f t="shared" si="513"/>
        <v>0</v>
      </c>
      <c r="J2592" s="156" t="s">
        <v>19</v>
      </c>
      <c r="K2592" s="1350" t="s">
        <v>839</v>
      </c>
      <c r="L2592" s="158"/>
      <c r="M2592" s="159">
        <v>0</v>
      </c>
      <c r="N2592" s="157">
        <v>0</v>
      </c>
      <c r="O2592" s="82">
        <f t="shared" si="512"/>
        <v>0</v>
      </c>
      <c r="P2592" s="158"/>
      <c r="Q2592" s="1071">
        <f t="shared" si="514"/>
        <v>0</v>
      </c>
    </row>
    <row r="2593" spans="9:17" ht="13.9" x14ac:dyDescent="0.4">
      <c r="I2593" s="1071"/>
      <c r="J2593" s="86" t="s">
        <v>22</v>
      </c>
      <c r="K2593" s="86"/>
      <c r="L2593" s="86"/>
      <c r="M2593" s="81"/>
      <c r="N2593" s="87"/>
      <c r="O2593" s="88">
        <f>SUM(O2586:O2592)</f>
        <v>0</v>
      </c>
      <c r="P2593" s="86"/>
      <c r="Q2593" s="1071"/>
    </row>
    <row r="2594" spans="9:17" ht="13.9" x14ac:dyDescent="0.4">
      <c r="I2594" s="1071"/>
      <c r="J2594" s="83"/>
      <c r="K2594" s="83"/>
      <c r="L2594" s="83"/>
      <c r="M2594" s="83"/>
      <c r="N2594" s="84"/>
      <c r="O2594" s="83"/>
      <c r="P2594" s="83"/>
      <c r="Q2594" s="1071"/>
    </row>
    <row r="2595" spans="9:17" ht="13.9" x14ac:dyDescent="0.4">
      <c r="I2595" s="1071"/>
      <c r="J2595" s="78" t="str">
        <f>IF(A2_Budget_Look_Up!$B$7=1,"Defoliant Detail", "Other Chemical Detail")</f>
        <v>Other Chemical Detail</v>
      </c>
      <c r="K2595" s="78"/>
      <c r="L2595" s="78"/>
      <c r="M2595" s="79"/>
      <c r="N2595" s="85"/>
      <c r="O2595" s="79"/>
      <c r="P2595" s="78"/>
      <c r="Q2595" s="1071"/>
    </row>
    <row r="2596" spans="9:17" ht="13.9" x14ac:dyDescent="0.4">
      <c r="I2596" s="1071"/>
      <c r="J2596" s="80" t="s">
        <v>212</v>
      </c>
      <c r="K2596" s="80" t="s">
        <v>838</v>
      </c>
      <c r="L2596" s="80" t="s">
        <v>2</v>
      </c>
      <c r="M2596" s="80" t="s">
        <v>21</v>
      </c>
      <c r="N2596" s="80" t="s">
        <v>174</v>
      </c>
      <c r="O2596" s="80" t="s">
        <v>14</v>
      </c>
      <c r="P2596" s="80" t="s">
        <v>890</v>
      </c>
      <c r="Q2596" s="1071"/>
    </row>
    <row r="2597" spans="9:17" ht="13.9" x14ac:dyDescent="0.4">
      <c r="I2597" s="1073">
        <f>IF($A$1=42,I2592+1,0)</f>
        <v>0</v>
      </c>
      <c r="J2597" s="156" t="s">
        <v>19</v>
      </c>
      <c r="K2597" s="1350" t="s">
        <v>839</v>
      </c>
      <c r="L2597" s="158"/>
      <c r="M2597" s="159">
        <v>0</v>
      </c>
      <c r="N2597" s="157">
        <v>0</v>
      </c>
      <c r="O2597" s="82">
        <f t="shared" ref="O2597:O2603" si="515">M2597*N2597</f>
        <v>0</v>
      </c>
      <c r="P2597" s="160"/>
      <c r="Q2597" s="1071">
        <f>Q2592</f>
        <v>0</v>
      </c>
    </row>
    <row r="2598" spans="9:17" ht="13.9" x14ac:dyDescent="0.4">
      <c r="I2598" s="1073">
        <f t="shared" ref="I2598:I2603" si="516">IF($A$1=42,I2597+1,0)</f>
        <v>0</v>
      </c>
      <c r="J2598" s="156" t="s">
        <v>19</v>
      </c>
      <c r="K2598" s="1350" t="s">
        <v>839</v>
      </c>
      <c r="L2598" s="158"/>
      <c r="M2598" s="159">
        <v>0</v>
      </c>
      <c r="N2598" s="157">
        <v>0</v>
      </c>
      <c r="O2598" s="82">
        <f t="shared" si="515"/>
        <v>0</v>
      </c>
      <c r="P2598" s="160"/>
      <c r="Q2598" s="1071">
        <f t="shared" ref="Q2598:Q2603" si="517">Q2597</f>
        <v>0</v>
      </c>
    </row>
    <row r="2599" spans="9:17" ht="13.9" x14ac:dyDescent="0.4">
      <c r="I2599" s="1073">
        <f t="shared" si="516"/>
        <v>0</v>
      </c>
      <c r="J2599" s="156" t="s">
        <v>19</v>
      </c>
      <c r="K2599" s="1350" t="s">
        <v>839</v>
      </c>
      <c r="L2599" s="158"/>
      <c r="M2599" s="159">
        <v>0</v>
      </c>
      <c r="N2599" s="157">
        <v>0</v>
      </c>
      <c r="O2599" s="82">
        <f t="shared" si="515"/>
        <v>0</v>
      </c>
      <c r="P2599" s="160"/>
      <c r="Q2599" s="1071">
        <f t="shared" si="517"/>
        <v>0</v>
      </c>
    </row>
    <row r="2600" spans="9:17" ht="13.9" x14ac:dyDescent="0.4">
      <c r="I2600" s="1073">
        <f t="shared" si="516"/>
        <v>0</v>
      </c>
      <c r="J2600" s="156" t="s">
        <v>19</v>
      </c>
      <c r="K2600" s="1350" t="s">
        <v>839</v>
      </c>
      <c r="L2600" s="158"/>
      <c r="M2600" s="159">
        <v>0</v>
      </c>
      <c r="N2600" s="157">
        <v>0</v>
      </c>
      <c r="O2600" s="82">
        <f t="shared" si="515"/>
        <v>0</v>
      </c>
      <c r="P2600" s="160"/>
      <c r="Q2600" s="1071">
        <f t="shared" si="517"/>
        <v>0</v>
      </c>
    </row>
    <row r="2601" spans="9:17" ht="13.9" x14ac:dyDescent="0.4">
      <c r="I2601" s="1073">
        <f t="shared" si="516"/>
        <v>0</v>
      </c>
      <c r="J2601" s="156" t="s">
        <v>19</v>
      </c>
      <c r="K2601" s="1350" t="s">
        <v>839</v>
      </c>
      <c r="L2601" s="158"/>
      <c r="M2601" s="159">
        <v>0</v>
      </c>
      <c r="N2601" s="157">
        <v>0</v>
      </c>
      <c r="O2601" s="82">
        <f t="shared" si="515"/>
        <v>0</v>
      </c>
      <c r="P2601" s="160"/>
      <c r="Q2601" s="1071">
        <f t="shared" si="517"/>
        <v>0</v>
      </c>
    </row>
    <row r="2602" spans="9:17" ht="13.9" x14ac:dyDescent="0.4">
      <c r="I2602" s="1073">
        <f t="shared" si="516"/>
        <v>0</v>
      </c>
      <c r="J2602" s="156" t="s">
        <v>19</v>
      </c>
      <c r="K2602" s="1350" t="s">
        <v>839</v>
      </c>
      <c r="L2602" s="158"/>
      <c r="M2602" s="159">
        <v>0</v>
      </c>
      <c r="N2602" s="157">
        <v>0</v>
      </c>
      <c r="O2602" s="82">
        <f t="shared" si="515"/>
        <v>0</v>
      </c>
      <c r="P2602" s="158"/>
      <c r="Q2602" s="1071">
        <f t="shared" si="517"/>
        <v>0</v>
      </c>
    </row>
    <row r="2603" spans="9:17" ht="13.9" x14ac:dyDescent="0.4">
      <c r="I2603" s="1073">
        <f t="shared" si="516"/>
        <v>0</v>
      </c>
      <c r="J2603" s="156" t="s">
        <v>19</v>
      </c>
      <c r="K2603" s="1350" t="s">
        <v>839</v>
      </c>
      <c r="L2603" s="158"/>
      <c r="M2603" s="159">
        <v>0</v>
      </c>
      <c r="N2603" s="157">
        <v>0</v>
      </c>
      <c r="O2603" s="82">
        <f t="shared" si="515"/>
        <v>0</v>
      </c>
      <c r="P2603" s="158"/>
      <c r="Q2603" s="1071">
        <f t="shared" si="517"/>
        <v>0</v>
      </c>
    </row>
    <row r="2604" spans="9:17" ht="13.9" x14ac:dyDescent="0.4">
      <c r="I2604" s="1071"/>
      <c r="J2604" s="86" t="s">
        <v>22</v>
      </c>
      <c r="K2604" s="86"/>
      <c r="L2604" s="86"/>
      <c r="M2604" s="81"/>
      <c r="N2604" s="87"/>
      <c r="O2604" s="88">
        <f>SUM(O2597:O2603)</f>
        <v>0</v>
      </c>
      <c r="P2604" s="86"/>
      <c r="Q2604" s="1071"/>
    </row>
    <row r="2605" spans="9:17" ht="13.9" x14ac:dyDescent="0.4">
      <c r="I2605" s="1071"/>
      <c r="J2605" s="83"/>
      <c r="K2605" s="83"/>
      <c r="L2605" s="83"/>
      <c r="M2605" s="89"/>
      <c r="N2605" s="84"/>
      <c r="O2605" s="89"/>
      <c r="P2605" s="83"/>
      <c r="Q2605" s="1071"/>
    </row>
    <row r="2606" spans="9:17" ht="13.9" x14ac:dyDescent="0.4">
      <c r="I2606" s="1071"/>
      <c r="J2606" s="1168" t="str">
        <f>A2_Budget_Look_Up!H45</f>
        <v>Row Rice, FullPage Hybrid Seed</v>
      </c>
      <c r="K2606" s="1168"/>
      <c r="L2606" s="1168">
        <f>A2_Budget_Look_Up!F45</f>
        <v>43</v>
      </c>
      <c r="M2606" s="1168"/>
      <c r="N2606" s="1168"/>
      <c r="O2606" s="1168"/>
      <c r="P2606" s="1168"/>
      <c r="Q2606" s="1071"/>
    </row>
    <row r="2607" spans="9:17" ht="13.9" x14ac:dyDescent="0.4">
      <c r="I2607" s="1071"/>
      <c r="J2607" s="83"/>
      <c r="K2607" s="83"/>
      <c r="L2607" s="83"/>
      <c r="M2607" s="83"/>
      <c r="N2607" s="84"/>
      <c r="O2607" s="83"/>
      <c r="P2607" s="83"/>
      <c r="Q2607" s="1071"/>
    </row>
    <row r="2608" spans="9:17" ht="13.9" x14ac:dyDescent="0.4">
      <c r="I2608" s="1071"/>
      <c r="J2608" s="78" t="s">
        <v>18</v>
      </c>
      <c r="K2608" s="78"/>
      <c r="L2608" s="78"/>
      <c r="M2608" s="79"/>
      <c r="N2608" s="85"/>
      <c r="O2608" s="79"/>
      <c r="P2608" s="78"/>
      <c r="Q2608" s="1071"/>
    </row>
    <row r="2609" spans="9:17" ht="13.9" x14ac:dyDescent="0.4">
      <c r="I2609" s="1071"/>
      <c r="J2609" s="80" t="s">
        <v>212</v>
      </c>
      <c r="K2609" s="80" t="s">
        <v>838</v>
      </c>
      <c r="L2609" s="80" t="s">
        <v>2</v>
      </c>
      <c r="M2609" s="80" t="s">
        <v>21</v>
      </c>
      <c r="N2609" s="80" t="s">
        <v>174</v>
      </c>
      <c r="O2609" s="80" t="s">
        <v>14</v>
      </c>
      <c r="P2609" s="80" t="s">
        <v>890</v>
      </c>
      <c r="Q2609" s="1071"/>
    </row>
    <row r="2610" spans="9:17" ht="13.9" x14ac:dyDescent="0.4">
      <c r="I2610" s="1073">
        <f>IF($A$1=43,1,0)</f>
        <v>0</v>
      </c>
      <c r="J2610" s="1092" t="str">
        <f>A4_Chem_Prices!H$2</f>
        <v>Command</v>
      </c>
      <c r="K2610" s="1350" t="s">
        <v>839</v>
      </c>
      <c r="L2610" s="1093" t="str">
        <f>A4_Chem_Prices!I$2</f>
        <v>oz</v>
      </c>
      <c r="M2610" s="1092">
        <f>A4_Chem_Prices!J$2</f>
        <v>0.67414062499999994</v>
      </c>
      <c r="N2610" s="1094">
        <v>12.8</v>
      </c>
      <c r="O2610" s="82">
        <f t="shared" ref="O2610:O2623" si="518">M2610*N2610</f>
        <v>8.6289999999999996</v>
      </c>
      <c r="P2610" s="1449">
        <f>N2610</f>
        <v>12.8</v>
      </c>
      <c r="Q2610" s="1171">
        <f>IF(SUM(I2610:I2665)=820,L2606,0)</f>
        <v>0</v>
      </c>
    </row>
    <row r="2611" spans="9:17" ht="13.9" x14ac:dyDescent="0.4">
      <c r="I2611" s="1073">
        <f t="shared" ref="I2611:I2623" si="519">IF($A$1=43,I2610+1,0)</f>
        <v>0</v>
      </c>
      <c r="J2611" s="1092" t="str">
        <f>A4_Chem_Prices!H$16</f>
        <v>Clearpath</v>
      </c>
      <c r="K2611" s="1350" t="s">
        <v>839</v>
      </c>
      <c r="L2611" s="1095" t="str">
        <f>A4_Chem_Prices!I$16</f>
        <v>lb</v>
      </c>
      <c r="M2611" s="1092">
        <f>A4_Chem_Prices!J$16</f>
        <v>64</v>
      </c>
      <c r="N2611" s="1094">
        <v>0.5</v>
      </c>
      <c r="O2611" s="82">
        <f t="shared" si="518"/>
        <v>32</v>
      </c>
      <c r="P2611" s="160">
        <f>N2611*16/(35.274/33.814)</f>
        <v>7.668877927085104</v>
      </c>
      <c r="Q2611" s="1071">
        <f>Q2610</f>
        <v>0</v>
      </c>
    </row>
    <row r="2612" spans="9:17" ht="13.9" x14ac:dyDescent="0.4">
      <c r="I2612" s="1073">
        <f t="shared" si="519"/>
        <v>0</v>
      </c>
      <c r="J2612" s="1092" t="str">
        <f>A4_Chem_Prices!H$4</f>
        <v>Permit Plus</v>
      </c>
      <c r="K2612" s="1350" t="s">
        <v>839</v>
      </c>
      <c r="L2612" s="1095" t="str">
        <f>A4_Chem_Prices!I$4</f>
        <v>oz</v>
      </c>
      <c r="M2612" s="1092">
        <f>A4_Chem_Prices!J$4</f>
        <v>17.254999999999999</v>
      </c>
      <c r="N2612" s="1094">
        <v>6.4</v>
      </c>
      <c r="O2612" s="82">
        <f t="shared" si="518"/>
        <v>110.432</v>
      </c>
      <c r="P2612" s="1449">
        <f>N2612</f>
        <v>6.4</v>
      </c>
      <c r="Q2612" s="1071">
        <f t="shared" ref="Q2612:Q2623" si="520">Q2611</f>
        <v>0</v>
      </c>
    </row>
    <row r="2613" spans="9:17" ht="13.9" x14ac:dyDescent="0.4">
      <c r="I2613" s="1073">
        <f t="shared" si="519"/>
        <v>0</v>
      </c>
      <c r="J2613" s="1092" t="str">
        <f>A4_Chem_Prices!H$3</f>
        <v>Newpath</v>
      </c>
      <c r="K2613" s="1350" t="s">
        <v>839</v>
      </c>
      <c r="L2613" s="1095" t="str">
        <f>A4_Chem_Prices!I$3</f>
        <v>oz</v>
      </c>
      <c r="M2613" s="1092">
        <f>A4_Chem_Prices!J$3</f>
        <v>3.3203125</v>
      </c>
      <c r="N2613" s="1094">
        <v>4</v>
      </c>
      <c r="O2613" s="82">
        <f t="shared" si="518"/>
        <v>13.28125</v>
      </c>
      <c r="P2613" s="1449">
        <f>N2613</f>
        <v>4</v>
      </c>
      <c r="Q2613" s="1071">
        <f t="shared" si="520"/>
        <v>0</v>
      </c>
    </row>
    <row r="2614" spans="9:17" ht="13.9" x14ac:dyDescent="0.4">
      <c r="I2614" s="1073">
        <f t="shared" si="519"/>
        <v>0</v>
      </c>
      <c r="J2614" s="1092" t="str">
        <f>A4_Chem_Prices!H$4</f>
        <v>Permit Plus</v>
      </c>
      <c r="K2614" s="1350" t="s">
        <v>839</v>
      </c>
      <c r="L2614" s="1095" t="str">
        <f>A4_Chem_Prices!I$4</f>
        <v>oz</v>
      </c>
      <c r="M2614" s="1092">
        <f>A4_Chem_Prices!J$4</f>
        <v>17.254999999999999</v>
      </c>
      <c r="N2614" s="1094">
        <v>1.6</v>
      </c>
      <c r="O2614" s="82">
        <f t="shared" si="518"/>
        <v>27.608000000000001</v>
      </c>
      <c r="P2614" s="1449">
        <f>N2614</f>
        <v>1.6</v>
      </c>
      <c r="Q2614" s="1071">
        <f t="shared" si="520"/>
        <v>0</v>
      </c>
    </row>
    <row r="2615" spans="9:17" ht="13.9" x14ac:dyDescent="0.4">
      <c r="I2615" s="1073">
        <f t="shared" si="519"/>
        <v>0</v>
      </c>
      <c r="J2615" s="159" t="s">
        <v>19</v>
      </c>
      <c r="K2615" s="1350" t="s">
        <v>839</v>
      </c>
      <c r="L2615" s="160"/>
      <c r="M2615" s="159">
        <v>0</v>
      </c>
      <c r="N2615" s="157">
        <v>0</v>
      </c>
      <c r="O2615" s="82">
        <f t="shared" si="518"/>
        <v>0</v>
      </c>
      <c r="P2615" s="160"/>
      <c r="Q2615" s="1071">
        <f t="shared" si="520"/>
        <v>0</v>
      </c>
    </row>
    <row r="2616" spans="9:17" ht="13.9" x14ac:dyDescent="0.4">
      <c r="I2616" s="1073">
        <f t="shared" si="519"/>
        <v>0</v>
      </c>
      <c r="J2616" s="159" t="s">
        <v>19</v>
      </c>
      <c r="K2616" s="1350" t="s">
        <v>839</v>
      </c>
      <c r="L2616" s="160"/>
      <c r="M2616" s="159">
        <v>0</v>
      </c>
      <c r="N2616" s="157">
        <v>0</v>
      </c>
      <c r="O2616" s="82">
        <f t="shared" si="518"/>
        <v>0</v>
      </c>
      <c r="P2616" s="160"/>
      <c r="Q2616" s="1071">
        <f t="shared" si="520"/>
        <v>0</v>
      </c>
    </row>
    <row r="2617" spans="9:17" ht="13.9" x14ac:dyDescent="0.4">
      <c r="I2617" s="1073">
        <f t="shared" si="519"/>
        <v>0</v>
      </c>
      <c r="J2617" s="159" t="s">
        <v>19</v>
      </c>
      <c r="K2617" s="1350" t="s">
        <v>839</v>
      </c>
      <c r="L2617" s="160"/>
      <c r="M2617" s="159">
        <v>0</v>
      </c>
      <c r="N2617" s="157">
        <v>0</v>
      </c>
      <c r="O2617" s="82">
        <f t="shared" si="518"/>
        <v>0</v>
      </c>
      <c r="P2617" s="160"/>
      <c r="Q2617" s="1071">
        <f t="shared" si="520"/>
        <v>0</v>
      </c>
    </row>
    <row r="2618" spans="9:17" ht="13.9" x14ac:dyDescent="0.4">
      <c r="I2618" s="1073">
        <f t="shared" si="519"/>
        <v>0</v>
      </c>
      <c r="J2618" s="159" t="s">
        <v>19</v>
      </c>
      <c r="K2618" s="1350" t="s">
        <v>839</v>
      </c>
      <c r="L2618" s="160"/>
      <c r="M2618" s="159">
        <v>0</v>
      </c>
      <c r="N2618" s="157">
        <v>0</v>
      </c>
      <c r="O2618" s="82">
        <f t="shared" si="518"/>
        <v>0</v>
      </c>
      <c r="P2618" s="160"/>
      <c r="Q2618" s="1071">
        <f t="shared" si="520"/>
        <v>0</v>
      </c>
    </row>
    <row r="2619" spans="9:17" ht="13.9" x14ac:dyDescent="0.4">
      <c r="I2619" s="1073">
        <f t="shared" si="519"/>
        <v>0</v>
      </c>
      <c r="J2619" s="159" t="s">
        <v>19</v>
      </c>
      <c r="K2619" s="1350" t="s">
        <v>839</v>
      </c>
      <c r="L2619" s="160"/>
      <c r="M2619" s="159">
        <v>0</v>
      </c>
      <c r="N2619" s="157">
        <v>0</v>
      </c>
      <c r="O2619" s="82">
        <f t="shared" si="518"/>
        <v>0</v>
      </c>
      <c r="P2619" s="160"/>
      <c r="Q2619" s="1071">
        <f t="shared" si="520"/>
        <v>0</v>
      </c>
    </row>
    <row r="2620" spans="9:17" ht="13.9" x14ac:dyDescent="0.4">
      <c r="I2620" s="1073">
        <f t="shared" si="519"/>
        <v>0</v>
      </c>
      <c r="J2620" s="159" t="s">
        <v>19</v>
      </c>
      <c r="K2620" s="1350" t="s">
        <v>839</v>
      </c>
      <c r="L2620" s="160"/>
      <c r="M2620" s="159">
        <v>0</v>
      </c>
      <c r="N2620" s="157">
        <v>0</v>
      </c>
      <c r="O2620" s="82">
        <f t="shared" si="518"/>
        <v>0</v>
      </c>
      <c r="P2620" s="160"/>
      <c r="Q2620" s="1071">
        <f t="shared" si="520"/>
        <v>0</v>
      </c>
    </row>
    <row r="2621" spans="9:17" ht="13.9" x14ac:dyDescent="0.4">
      <c r="I2621" s="1073">
        <f t="shared" si="519"/>
        <v>0</v>
      </c>
      <c r="J2621" s="159" t="s">
        <v>19</v>
      </c>
      <c r="K2621" s="1350" t="s">
        <v>839</v>
      </c>
      <c r="L2621" s="160"/>
      <c r="M2621" s="159">
        <v>0</v>
      </c>
      <c r="N2621" s="157">
        <v>0</v>
      </c>
      <c r="O2621" s="82">
        <f t="shared" si="518"/>
        <v>0</v>
      </c>
      <c r="P2621" s="160"/>
      <c r="Q2621" s="1071">
        <f t="shared" si="520"/>
        <v>0</v>
      </c>
    </row>
    <row r="2622" spans="9:17" ht="13.9" x14ac:dyDescent="0.4">
      <c r="I2622" s="1073">
        <f t="shared" si="519"/>
        <v>0</v>
      </c>
      <c r="J2622" s="159" t="s">
        <v>19</v>
      </c>
      <c r="K2622" s="1350" t="s">
        <v>839</v>
      </c>
      <c r="L2622" s="160"/>
      <c r="M2622" s="159">
        <v>0</v>
      </c>
      <c r="N2622" s="157">
        <v>0</v>
      </c>
      <c r="O2622" s="82">
        <f t="shared" si="518"/>
        <v>0</v>
      </c>
      <c r="P2622" s="160"/>
      <c r="Q2622" s="1071">
        <f t="shared" si="520"/>
        <v>0</v>
      </c>
    </row>
    <row r="2623" spans="9:17" ht="13.9" x14ac:dyDescent="0.4">
      <c r="I2623" s="1073">
        <f t="shared" si="519"/>
        <v>0</v>
      </c>
      <c r="J2623" s="159" t="s">
        <v>19</v>
      </c>
      <c r="K2623" s="1350" t="s">
        <v>839</v>
      </c>
      <c r="L2623" s="160"/>
      <c r="M2623" s="159">
        <v>0</v>
      </c>
      <c r="N2623" s="157">
        <v>0</v>
      </c>
      <c r="O2623" s="82">
        <f t="shared" si="518"/>
        <v>0</v>
      </c>
      <c r="P2623" s="160"/>
      <c r="Q2623" s="1071">
        <f t="shared" si="520"/>
        <v>0</v>
      </c>
    </row>
    <row r="2624" spans="9:17" ht="13.9" x14ac:dyDescent="0.4">
      <c r="I2624" s="1071"/>
      <c r="J2624" s="86" t="s">
        <v>22</v>
      </c>
      <c r="K2624" s="86"/>
      <c r="L2624" s="86"/>
      <c r="M2624" s="81"/>
      <c r="N2624" s="87"/>
      <c r="O2624" s="88">
        <f>SUM(O2610:O2623)</f>
        <v>191.95025000000001</v>
      </c>
      <c r="P2624" s="86"/>
      <c r="Q2624" s="1071"/>
    </row>
    <row r="2626" spans="9:17" ht="13.9" x14ac:dyDescent="0.4">
      <c r="I2626" s="1071"/>
      <c r="J2626" s="78" t="s">
        <v>20</v>
      </c>
      <c r="K2626" s="78"/>
      <c r="L2626" s="78"/>
      <c r="M2626" s="79"/>
      <c r="N2626" s="85"/>
      <c r="O2626" s="79"/>
      <c r="P2626" s="78"/>
      <c r="Q2626" s="1071"/>
    </row>
    <row r="2627" spans="9:17" ht="13.9" x14ac:dyDescent="0.4">
      <c r="I2627" s="1071"/>
      <c r="J2627" s="80" t="s">
        <v>212</v>
      </c>
      <c r="K2627" s="80" t="s">
        <v>838</v>
      </c>
      <c r="L2627" s="80" t="s">
        <v>2</v>
      </c>
      <c r="M2627" s="80" t="s">
        <v>21</v>
      </c>
      <c r="N2627" s="80" t="s">
        <v>174</v>
      </c>
      <c r="O2627" s="80" t="s">
        <v>14</v>
      </c>
      <c r="P2627" s="80" t="s">
        <v>890</v>
      </c>
      <c r="Q2627" s="1071"/>
    </row>
    <row r="2628" spans="9:17" ht="13.9" x14ac:dyDescent="0.4">
      <c r="I2628" s="1073">
        <f>IF($A$1=43,I2623+1,0)</f>
        <v>0</v>
      </c>
      <c r="J2628" s="1092" t="str">
        <f>A4_Chem_Prices!H$18</f>
        <v>Lambda-cyhalothrine</v>
      </c>
      <c r="K2628" s="1350" t="s">
        <v>839</v>
      </c>
      <c r="L2628" s="1095" t="str">
        <f>A4_Chem_Prices!I$18</f>
        <v>oz</v>
      </c>
      <c r="M2628" s="1092">
        <f>A4_Chem_Prices!J$18</f>
        <v>2.57</v>
      </c>
      <c r="N2628" s="1094">
        <v>1.6</v>
      </c>
      <c r="O2628" s="82">
        <f>M2628*N2628</f>
        <v>4.1120000000000001</v>
      </c>
      <c r="P2628" s="1449">
        <f>N2628</f>
        <v>1.6</v>
      </c>
      <c r="Q2628" s="1071">
        <f>Q2610</f>
        <v>0</v>
      </c>
    </row>
    <row r="2629" spans="9:17" ht="13.9" x14ac:dyDescent="0.4">
      <c r="I2629" s="1073">
        <f t="shared" ref="I2629:I2637" si="521">IF($A$1=43,I2628+1,0)</f>
        <v>0</v>
      </c>
      <c r="J2629" s="159" t="s">
        <v>19</v>
      </c>
      <c r="K2629" s="1350" t="s">
        <v>839</v>
      </c>
      <c r="L2629" s="160"/>
      <c r="M2629" s="159">
        <v>0</v>
      </c>
      <c r="N2629" s="157">
        <v>0</v>
      </c>
      <c r="O2629" s="82">
        <f t="shared" ref="O2629:O2637" si="522">M2629*N2629</f>
        <v>0</v>
      </c>
      <c r="P2629" s="160"/>
      <c r="Q2629" s="1071">
        <f>Q2628</f>
        <v>0</v>
      </c>
    </row>
    <row r="2630" spans="9:17" ht="13.9" x14ac:dyDescent="0.4">
      <c r="I2630" s="1073">
        <f t="shared" si="521"/>
        <v>0</v>
      </c>
      <c r="J2630" s="159" t="s">
        <v>19</v>
      </c>
      <c r="K2630" s="1350" t="s">
        <v>839</v>
      </c>
      <c r="L2630" s="160"/>
      <c r="M2630" s="159">
        <v>0</v>
      </c>
      <c r="N2630" s="157">
        <v>0</v>
      </c>
      <c r="O2630" s="82">
        <f t="shared" si="522"/>
        <v>0</v>
      </c>
      <c r="P2630" s="160"/>
      <c r="Q2630" s="1071">
        <f t="shared" ref="Q2630:Q2637" si="523">Q2629</f>
        <v>0</v>
      </c>
    </row>
    <row r="2631" spans="9:17" ht="13.9" x14ac:dyDescent="0.4">
      <c r="I2631" s="1073">
        <f t="shared" si="521"/>
        <v>0</v>
      </c>
      <c r="J2631" s="159" t="s">
        <v>19</v>
      </c>
      <c r="K2631" s="1350" t="s">
        <v>839</v>
      </c>
      <c r="L2631" s="160"/>
      <c r="M2631" s="159">
        <v>0</v>
      </c>
      <c r="N2631" s="157">
        <v>0</v>
      </c>
      <c r="O2631" s="82">
        <f t="shared" si="522"/>
        <v>0</v>
      </c>
      <c r="P2631" s="160"/>
      <c r="Q2631" s="1071">
        <f t="shared" si="523"/>
        <v>0</v>
      </c>
    </row>
    <row r="2632" spans="9:17" ht="13.9" x14ac:dyDescent="0.4">
      <c r="I2632" s="1073">
        <f t="shared" si="521"/>
        <v>0</v>
      </c>
      <c r="J2632" s="159" t="s">
        <v>19</v>
      </c>
      <c r="K2632" s="1350" t="s">
        <v>839</v>
      </c>
      <c r="L2632" s="160"/>
      <c r="M2632" s="159">
        <v>0</v>
      </c>
      <c r="N2632" s="157">
        <v>0</v>
      </c>
      <c r="O2632" s="82">
        <f t="shared" si="522"/>
        <v>0</v>
      </c>
      <c r="P2632" s="158"/>
      <c r="Q2632" s="1071">
        <f t="shared" si="523"/>
        <v>0</v>
      </c>
    </row>
    <row r="2633" spans="9:17" ht="13.9" x14ac:dyDescent="0.4">
      <c r="I2633" s="1073">
        <f t="shared" si="521"/>
        <v>0</v>
      </c>
      <c r="J2633" s="159" t="s">
        <v>19</v>
      </c>
      <c r="K2633" s="1350" t="s">
        <v>839</v>
      </c>
      <c r="L2633" s="160"/>
      <c r="M2633" s="159">
        <v>0</v>
      </c>
      <c r="N2633" s="157">
        <v>0</v>
      </c>
      <c r="O2633" s="82">
        <f t="shared" si="522"/>
        <v>0</v>
      </c>
      <c r="P2633" s="158"/>
      <c r="Q2633" s="1071">
        <f t="shared" si="523"/>
        <v>0</v>
      </c>
    </row>
    <row r="2634" spans="9:17" ht="13.9" x14ac:dyDescent="0.4">
      <c r="I2634" s="1073">
        <f t="shared" si="521"/>
        <v>0</v>
      </c>
      <c r="J2634" s="159" t="s">
        <v>19</v>
      </c>
      <c r="K2634" s="1350" t="s">
        <v>839</v>
      </c>
      <c r="L2634" s="160"/>
      <c r="M2634" s="159">
        <v>0</v>
      </c>
      <c r="N2634" s="157">
        <v>0</v>
      </c>
      <c r="O2634" s="82">
        <f t="shared" si="522"/>
        <v>0</v>
      </c>
      <c r="P2634" s="158"/>
      <c r="Q2634" s="1071">
        <f t="shared" si="523"/>
        <v>0</v>
      </c>
    </row>
    <row r="2635" spans="9:17" ht="13.9" x14ac:dyDescent="0.4">
      <c r="I2635" s="1073">
        <f t="shared" si="521"/>
        <v>0</v>
      </c>
      <c r="J2635" s="159" t="s">
        <v>19</v>
      </c>
      <c r="K2635" s="1350" t="s">
        <v>839</v>
      </c>
      <c r="L2635" s="160"/>
      <c r="M2635" s="159">
        <v>0</v>
      </c>
      <c r="N2635" s="157">
        <v>0</v>
      </c>
      <c r="O2635" s="82">
        <f t="shared" si="522"/>
        <v>0</v>
      </c>
      <c r="P2635" s="158"/>
      <c r="Q2635" s="1071">
        <f t="shared" si="523"/>
        <v>0</v>
      </c>
    </row>
    <row r="2636" spans="9:17" ht="13.9" x14ac:dyDescent="0.4">
      <c r="I2636" s="1073">
        <f t="shared" si="521"/>
        <v>0</v>
      </c>
      <c r="J2636" s="159" t="s">
        <v>19</v>
      </c>
      <c r="K2636" s="1350" t="s">
        <v>839</v>
      </c>
      <c r="L2636" s="160"/>
      <c r="M2636" s="159">
        <v>0</v>
      </c>
      <c r="N2636" s="157">
        <v>0</v>
      </c>
      <c r="O2636" s="82">
        <f t="shared" si="522"/>
        <v>0</v>
      </c>
      <c r="P2636" s="158"/>
      <c r="Q2636" s="1071">
        <f t="shared" si="523"/>
        <v>0</v>
      </c>
    </row>
    <row r="2637" spans="9:17" ht="13.9" x14ac:dyDescent="0.4">
      <c r="I2637" s="1073">
        <f t="shared" si="521"/>
        <v>0</v>
      </c>
      <c r="J2637" s="159" t="s">
        <v>19</v>
      </c>
      <c r="K2637" s="1350" t="s">
        <v>839</v>
      </c>
      <c r="L2637" s="160"/>
      <c r="M2637" s="159">
        <v>0</v>
      </c>
      <c r="N2637" s="157">
        <v>0</v>
      </c>
      <c r="O2637" s="82">
        <f t="shared" si="522"/>
        <v>0</v>
      </c>
      <c r="P2637" s="158"/>
      <c r="Q2637" s="1071">
        <f t="shared" si="523"/>
        <v>0</v>
      </c>
    </row>
    <row r="2638" spans="9:17" ht="13.9" x14ac:dyDescent="0.4">
      <c r="I2638" s="1071"/>
      <c r="J2638" s="86" t="s">
        <v>22</v>
      </c>
      <c r="K2638" s="86"/>
      <c r="L2638" s="86"/>
      <c r="M2638" s="81"/>
      <c r="N2638" s="87"/>
      <c r="O2638" s="88">
        <f>SUM(O2628:O2637)</f>
        <v>4.1120000000000001</v>
      </c>
      <c r="P2638" s="86"/>
      <c r="Q2638" s="1071"/>
    </row>
    <row r="2639" spans="9:17" ht="13.9" x14ac:dyDescent="0.4">
      <c r="I2639" s="1071"/>
      <c r="J2639" s="83"/>
      <c r="K2639" s="83"/>
      <c r="L2639" s="83"/>
      <c r="M2639" s="83"/>
      <c r="N2639" s="84"/>
      <c r="O2639" s="83"/>
      <c r="P2639" s="83"/>
      <c r="Q2639" s="1071"/>
    </row>
    <row r="2640" spans="9:17" ht="13.9" x14ac:dyDescent="0.4">
      <c r="I2640" s="1071"/>
      <c r="J2640" s="78" t="str">
        <f>IF(OR(A2_Budget_Look_Up!$B$7=1,A2_Budget_Look_Up!$B$13=1),"Nematicide Detail", "Fungicide Detail")</f>
        <v>Fungicide Detail</v>
      </c>
      <c r="K2640" s="78"/>
      <c r="L2640" s="78"/>
      <c r="M2640" s="79"/>
      <c r="N2640" s="85"/>
      <c r="O2640" s="79"/>
      <c r="P2640" s="78"/>
      <c r="Q2640" s="1071"/>
    </row>
    <row r="2641" spans="9:17" ht="13.9" x14ac:dyDescent="0.4">
      <c r="I2641" s="1071"/>
      <c r="J2641" s="80" t="s">
        <v>212</v>
      </c>
      <c r="K2641" s="80" t="s">
        <v>838</v>
      </c>
      <c r="L2641" s="80" t="s">
        <v>2</v>
      </c>
      <c r="M2641" s="80" t="s">
        <v>21</v>
      </c>
      <c r="N2641" s="80" t="s">
        <v>174</v>
      </c>
      <c r="O2641" s="80" t="s">
        <v>14</v>
      </c>
      <c r="P2641" s="80" t="s">
        <v>890</v>
      </c>
      <c r="Q2641" s="1071"/>
    </row>
    <row r="2642" spans="9:17" ht="13.9" x14ac:dyDescent="0.4">
      <c r="I2642" s="1073">
        <f>IF($A$1=43,I2637+1,0)</f>
        <v>0</v>
      </c>
      <c r="J2642" s="156" t="s">
        <v>19</v>
      </c>
      <c r="K2642" s="1350" t="s">
        <v>839</v>
      </c>
      <c r="L2642" s="158"/>
      <c r="M2642" s="159">
        <v>0</v>
      </c>
      <c r="N2642" s="157">
        <v>0</v>
      </c>
      <c r="O2642" s="82">
        <f>M2642*N2642</f>
        <v>0</v>
      </c>
      <c r="P2642" s="158"/>
      <c r="Q2642" s="1071">
        <f>Q2637</f>
        <v>0</v>
      </c>
    </row>
    <row r="2643" spans="9:17" ht="13.9" x14ac:dyDescent="0.4">
      <c r="I2643" s="1073">
        <f>IF($A$1=43,I2642+1,0)</f>
        <v>0</v>
      </c>
      <c r="J2643" s="156" t="s">
        <v>19</v>
      </c>
      <c r="K2643" s="1350" t="s">
        <v>839</v>
      </c>
      <c r="L2643" s="158"/>
      <c r="M2643" s="159">
        <v>0</v>
      </c>
      <c r="N2643" s="157">
        <v>0</v>
      </c>
      <c r="O2643" s="82">
        <f>M2643*N2643</f>
        <v>0</v>
      </c>
      <c r="P2643" s="158"/>
      <c r="Q2643" s="1071">
        <f>Q2642</f>
        <v>0</v>
      </c>
    </row>
    <row r="2644" spans="9:17" ht="13.9" x14ac:dyDescent="0.4">
      <c r="I2644" s="1071"/>
      <c r="J2644" s="86" t="s">
        <v>22</v>
      </c>
      <c r="K2644" s="86"/>
      <c r="L2644" s="86"/>
      <c r="M2644" s="81"/>
      <c r="N2644" s="87"/>
      <c r="O2644" s="88">
        <f>SUM(O2642:O2643)</f>
        <v>0</v>
      </c>
      <c r="P2644" s="86"/>
      <c r="Q2644" s="1071"/>
    </row>
    <row r="2645" spans="9:17" ht="13.9" x14ac:dyDescent="0.4">
      <c r="I2645" s="1071"/>
      <c r="J2645" s="83"/>
      <c r="K2645" s="83"/>
      <c r="L2645" s="83"/>
      <c r="M2645" s="83"/>
      <c r="N2645" s="84"/>
      <c r="O2645" s="83"/>
      <c r="P2645" s="83"/>
      <c r="Q2645" s="1071"/>
    </row>
    <row r="2646" spans="9:17" ht="13.9" x14ac:dyDescent="0.4">
      <c r="I2646" s="1071"/>
      <c r="J2646" s="78" t="str">
        <f>IF(A2_Budget_Look_Up!$B$7=1,"Growth Regulator Detail", IF(A2_Budget_Look_Up!$B$13=1,"Fungicide Detail","Other Chemical Detail"))</f>
        <v>Other Chemical Detail</v>
      </c>
      <c r="K2646" s="78"/>
      <c r="L2646" s="78"/>
      <c r="M2646" s="79"/>
      <c r="N2646" s="85"/>
      <c r="O2646" s="79"/>
      <c r="P2646" s="78"/>
      <c r="Q2646" s="1071"/>
    </row>
    <row r="2647" spans="9:17" ht="13.9" x14ac:dyDescent="0.4">
      <c r="I2647" s="1071"/>
      <c r="J2647" s="80" t="s">
        <v>212</v>
      </c>
      <c r="K2647" s="80" t="s">
        <v>838</v>
      </c>
      <c r="L2647" s="80" t="s">
        <v>2</v>
      </c>
      <c r="M2647" s="80" t="s">
        <v>21</v>
      </c>
      <c r="N2647" s="80" t="s">
        <v>174</v>
      </c>
      <c r="O2647" s="80" t="s">
        <v>14</v>
      </c>
      <c r="P2647" s="80" t="s">
        <v>890</v>
      </c>
      <c r="Q2647" s="1071"/>
    </row>
    <row r="2648" spans="9:17" ht="13.9" x14ac:dyDescent="0.4">
      <c r="I2648" s="1073">
        <f>IF($A$1=43,I2643+1,0)</f>
        <v>0</v>
      </c>
      <c r="J2648" s="156" t="s">
        <v>19</v>
      </c>
      <c r="K2648" s="1350" t="s">
        <v>839</v>
      </c>
      <c r="L2648" s="158"/>
      <c r="M2648" s="159">
        <v>0</v>
      </c>
      <c r="N2648" s="157">
        <v>0</v>
      </c>
      <c r="O2648" s="82">
        <f t="shared" ref="O2648:O2654" si="524">M2648*N2648</f>
        <v>0</v>
      </c>
      <c r="P2648" s="160"/>
      <c r="Q2648" s="1071">
        <f>Q2643</f>
        <v>0</v>
      </c>
    </row>
    <row r="2649" spans="9:17" ht="13.9" x14ac:dyDescent="0.4">
      <c r="I2649" s="1073">
        <f t="shared" ref="I2649:I2654" si="525">IF($A$1=43,I2648+1,0)</f>
        <v>0</v>
      </c>
      <c r="J2649" s="156" t="s">
        <v>19</v>
      </c>
      <c r="K2649" s="1350" t="s">
        <v>839</v>
      </c>
      <c r="L2649" s="158"/>
      <c r="M2649" s="159">
        <v>0</v>
      </c>
      <c r="N2649" s="157">
        <v>0</v>
      </c>
      <c r="O2649" s="82">
        <f t="shared" si="524"/>
        <v>0</v>
      </c>
      <c r="P2649" s="160"/>
      <c r="Q2649" s="1071">
        <f t="shared" ref="Q2649:Q2654" si="526">Q2648</f>
        <v>0</v>
      </c>
    </row>
    <row r="2650" spans="9:17" ht="13.9" x14ac:dyDescent="0.4">
      <c r="I2650" s="1073">
        <f t="shared" si="525"/>
        <v>0</v>
      </c>
      <c r="J2650" s="156" t="s">
        <v>19</v>
      </c>
      <c r="K2650" s="1350" t="s">
        <v>839</v>
      </c>
      <c r="L2650" s="158"/>
      <c r="M2650" s="159">
        <v>0</v>
      </c>
      <c r="N2650" s="157">
        <v>0</v>
      </c>
      <c r="O2650" s="82">
        <f t="shared" si="524"/>
        <v>0</v>
      </c>
      <c r="P2650" s="160"/>
      <c r="Q2650" s="1071">
        <f t="shared" si="526"/>
        <v>0</v>
      </c>
    </row>
    <row r="2651" spans="9:17" ht="13.9" x14ac:dyDescent="0.4">
      <c r="I2651" s="1073">
        <f t="shared" si="525"/>
        <v>0</v>
      </c>
      <c r="J2651" s="156" t="s">
        <v>19</v>
      </c>
      <c r="K2651" s="1350" t="s">
        <v>839</v>
      </c>
      <c r="L2651" s="158"/>
      <c r="M2651" s="159">
        <v>0</v>
      </c>
      <c r="N2651" s="157">
        <v>0</v>
      </c>
      <c r="O2651" s="82">
        <f t="shared" si="524"/>
        <v>0</v>
      </c>
      <c r="P2651" s="158"/>
      <c r="Q2651" s="1071">
        <f t="shared" si="526"/>
        <v>0</v>
      </c>
    </row>
    <row r="2652" spans="9:17" ht="13.9" x14ac:dyDescent="0.4">
      <c r="I2652" s="1073">
        <f t="shared" si="525"/>
        <v>0</v>
      </c>
      <c r="J2652" s="156" t="s">
        <v>19</v>
      </c>
      <c r="K2652" s="1350" t="s">
        <v>839</v>
      </c>
      <c r="L2652" s="158"/>
      <c r="M2652" s="159">
        <v>0</v>
      </c>
      <c r="N2652" s="157">
        <v>0</v>
      </c>
      <c r="O2652" s="82">
        <f t="shared" si="524"/>
        <v>0</v>
      </c>
      <c r="P2652" s="158"/>
      <c r="Q2652" s="1071">
        <f t="shared" si="526"/>
        <v>0</v>
      </c>
    </row>
    <row r="2653" spans="9:17" ht="13.9" x14ac:dyDescent="0.4">
      <c r="I2653" s="1073">
        <f t="shared" si="525"/>
        <v>0</v>
      </c>
      <c r="J2653" s="156" t="s">
        <v>19</v>
      </c>
      <c r="K2653" s="1350" t="s">
        <v>839</v>
      </c>
      <c r="L2653" s="158"/>
      <c r="M2653" s="159">
        <v>0</v>
      </c>
      <c r="N2653" s="157">
        <v>0</v>
      </c>
      <c r="O2653" s="82">
        <f t="shared" si="524"/>
        <v>0</v>
      </c>
      <c r="P2653" s="158"/>
      <c r="Q2653" s="1071">
        <f t="shared" si="526"/>
        <v>0</v>
      </c>
    </row>
    <row r="2654" spans="9:17" ht="13.9" x14ac:dyDescent="0.4">
      <c r="I2654" s="1073">
        <f t="shared" si="525"/>
        <v>0</v>
      </c>
      <c r="J2654" s="156" t="s">
        <v>19</v>
      </c>
      <c r="K2654" s="1350" t="s">
        <v>839</v>
      </c>
      <c r="L2654" s="158"/>
      <c r="M2654" s="159">
        <v>0</v>
      </c>
      <c r="N2654" s="157">
        <v>0</v>
      </c>
      <c r="O2654" s="82">
        <f t="shared" si="524"/>
        <v>0</v>
      </c>
      <c r="P2654" s="158"/>
      <c r="Q2654" s="1071">
        <f t="shared" si="526"/>
        <v>0</v>
      </c>
    </row>
    <row r="2655" spans="9:17" ht="13.9" x14ac:dyDescent="0.4">
      <c r="I2655" s="1071"/>
      <c r="J2655" s="86" t="s">
        <v>22</v>
      </c>
      <c r="K2655" s="86"/>
      <c r="L2655" s="86"/>
      <c r="M2655" s="81"/>
      <c r="N2655" s="87"/>
      <c r="O2655" s="88">
        <f>SUM(O2648:O2654)</f>
        <v>0</v>
      </c>
      <c r="P2655" s="86"/>
      <c r="Q2655" s="1071"/>
    </row>
    <row r="2657" spans="9:17" ht="13.9" x14ac:dyDescent="0.4">
      <c r="I2657" s="1071"/>
      <c r="J2657" s="78" t="str">
        <f>IF(A2_Budget_Look_Up!$B$7=1,"Defoliant Detail", "Other Chemical Detail")</f>
        <v>Other Chemical Detail</v>
      </c>
      <c r="K2657" s="78"/>
      <c r="L2657" s="78"/>
      <c r="M2657" s="79"/>
      <c r="N2657" s="85"/>
      <c r="O2657" s="79"/>
      <c r="P2657" s="78"/>
      <c r="Q2657" s="1071"/>
    </row>
    <row r="2658" spans="9:17" ht="13.9" x14ac:dyDescent="0.4">
      <c r="I2658" s="1071"/>
      <c r="J2658" s="80" t="s">
        <v>212</v>
      </c>
      <c r="K2658" s="80" t="s">
        <v>838</v>
      </c>
      <c r="L2658" s="80" t="s">
        <v>2</v>
      </c>
      <c r="M2658" s="80" t="s">
        <v>21</v>
      </c>
      <c r="N2658" s="80" t="s">
        <v>174</v>
      </c>
      <c r="O2658" s="80" t="s">
        <v>14</v>
      </c>
      <c r="P2658" s="80" t="s">
        <v>890</v>
      </c>
      <c r="Q2658" s="1071"/>
    </row>
    <row r="2659" spans="9:17" ht="13.9" x14ac:dyDescent="0.4">
      <c r="I2659" s="1073">
        <f>IF($A$1=43,I2654+1,0)</f>
        <v>0</v>
      </c>
      <c r="J2659" s="156" t="s">
        <v>19</v>
      </c>
      <c r="K2659" s="1350" t="s">
        <v>839</v>
      </c>
      <c r="L2659" s="158"/>
      <c r="M2659" s="159">
        <v>0</v>
      </c>
      <c r="N2659" s="157">
        <v>0</v>
      </c>
      <c r="O2659" s="82">
        <f t="shared" ref="O2659:O2665" si="527">M2659*N2659</f>
        <v>0</v>
      </c>
      <c r="P2659" s="160"/>
      <c r="Q2659" s="1071">
        <f>Q2654</f>
        <v>0</v>
      </c>
    </row>
    <row r="2660" spans="9:17" ht="13.9" x14ac:dyDescent="0.4">
      <c r="I2660" s="1073">
        <f t="shared" ref="I2660:I2665" si="528">IF($A$1=43,I2659+1,0)</f>
        <v>0</v>
      </c>
      <c r="J2660" s="156" t="s">
        <v>19</v>
      </c>
      <c r="K2660" s="1350" t="s">
        <v>839</v>
      </c>
      <c r="L2660" s="158"/>
      <c r="M2660" s="159">
        <v>0</v>
      </c>
      <c r="N2660" s="157">
        <v>0</v>
      </c>
      <c r="O2660" s="82">
        <f t="shared" si="527"/>
        <v>0</v>
      </c>
      <c r="P2660" s="160"/>
      <c r="Q2660" s="1071">
        <f t="shared" ref="Q2660:Q2665" si="529">Q2659</f>
        <v>0</v>
      </c>
    </row>
    <row r="2661" spans="9:17" ht="13.9" x14ac:dyDescent="0.4">
      <c r="I2661" s="1073">
        <f t="shared" si="528"/>
        <v>0</v>
      </c>
      <c r="J2661" s="156" t="s">
        <v>19</v>
      </c>
      <c r="K2661" s="1350" t="s">
        <v>839</v>
      </c>
      <c r="L2661" s="158"/>
      <c r="M2661" s="159">
        <v>0</v>
      </c>
      <c r="N2661" s="157">
        <v>0</v>
      </c>
      <c r="O2661" s="82">
        <f t="shared" si="527"/>
        <v>0</v>
      </c>
      <c r="P2661" s="160"/>
      <c r="Q2661" s="1071">
        <f t="shared" si="529"/>
        <v>0</v>
      </c>
    </row>
    <row r="2662" spans="9:17" ht="13.9" x14ac:dyDescent="0.4">
      <c r="I2662" s="1073">
        <f t="shared" si="528"/>
        <v>0</v>
      </c>
      <c r="J2662" s="156" t="s">
        <v>19</v>
      </c>
      <c r="K2662" s="1350" t="s">
        <v>839</v>
      </c>
      <c r="L2662" s="158"/>
      <c r="M2662" s="159">
        <v>0</v>
      </c>
      <c r="N2662" s="157">
        <v>0</v>
      </c>
      <c r="O2662" s="82">
        <f t="shared" si="527"/>
        <v>0</v>
      </c>
      <c r="P2662" s="160"/>
      <c r="Q2662" s="1071">
        <f t="shared" si="529"/>
        <v>0</v>
      </c>
    </row>
    <row r="2663" spans="9:17" ht="13.9" x14ac:dyDescent="0.4">
      <c r="I2663" s="1073">
        <f t="shared" si="528"/>
        <v>0</v>
      </c>
      <c r="J2663" s="156" t="s">
        <v>19</v>
      </c>
      <c r="K2663" s="1350" t="s">
        <v>839</v>
      </c>
      <c r="L2663" s="158"/>
      <c r="M2663" s="159">
        <v>0</v>
      </c>
      <c r="N2663" s="157">
        <v>0</v>
      </c>
      <c r="O2663" s="82">
        <f t="shared" si="527"/>
        <v>0</v>
      </c>
      <c r="P2663" s="160"/>
      <c r="Q2663" s="1071">
        <f t="shared" si="529"/>
        <v>0</v>
      </c>
    </row>
    <row r="2664" spans="9:17" ht="13.9" x14ac:dyDescent="0.4">
      <c r="I2664" s="1073">
        <f t="shared" si="528"/>
        <v>0</v>
      </c>
      <c r="J2664" s="156" t="s">
        <v>19</v>
      </c>
      <c r="K2664" s="1350" t="s">
        <v>839</v>
      </c>
      <c r="L2664" s="158"/>
      <c r="M2664" s="159">
        <v>0</v>
      </c>
      <c r="N2664" s="157">
        <v>0</v>
      </c>
      <c r="O2664" s="82">
        <f t="shared" si="527"/>
        <v>0</v>
      </c>
      <c r="P2664" s="158"/>
      <c r="Q2664" s="1071">
        <f t="shared" si="529"/>
        <v>0</v>
      </c>
    </row>
    <row r="2665" spans="9:17" ht="13.9" x14ac:dyDescent="0.4">
      <c r="I2665" s="1073">
        <f t="shared" si="528"/>
        <v>0</v>
      </c>
      <c r="J2665" s="156" t="s">
        <v>19</v>
      </c>
      <c r="K2665" s="1350" t="s">
        <v>839</v>
      </c>
      <c r="L2665" s="158"/>
      <c r="M2665" s="159">
        <v>0</v>
      </c>
      <c r="N2665" s="157">
        <v>0</v>
      </c>
      <c r="O2665" s="82">
        <f t="shared" si="527"/>
        <v>0</v>
      </c>
      <c r="P2665" s="158"/>
      <c r="Q2665" s="1071">
        <f t="shared" si="529"/>
        <v>0</v>
      </c>
    </row>
    <row r="2666" spans="9:17" ht="13.9" x14ac:dyDescent="0.4">
      <c r="I2666" s="1071"/>
      <c r="J2666" s="86" t="s">
        <v>22</v>
      </c>
      <c r="K2666" s="86"/>
      <c r="L2666" s="86"/>
      <c r="M2666" s="81"/>
      <c r="N2666" s="87"/>
      <c r="O2666" s="88">
        <f>SUM(O2659:O2665)</f>
        <v>0</v>
      </c>
      <c r="P2666" s="86"/>
      <c r="Q2666" s="1071"/>
    </row>
    <row r="2667" spans="9:17" ht="13.9" x14ac:dyDescent="0.4">
      <c r="I2667" s="1071"/>
      <c r="J2667" s="83"/>
      <c r="K2667" s="83"/>
      <c r="L2667" s="83"/>
      <c r="M2667" s="89"/>
      <c r="N2667" s="84"/>
      <c r="O2667" s="89"/>
      <c r="P2667" s="83"/>
      <c r="Q2667" s="1071"/>
    </row>
    <row r="2668" spans="9:17" ht="13.9" x14ac:dyDescent="0.4">
      <c r="I2668" s="1071"/>
      <c r="J2668" s="1168" t="str">
        <f>A2_Budget_Look_Up!H46</f>
        <v>Rice, Provisia Seed</v>
      </c>
      <c r="K2668" s="1168"/>
      <c r="L2668" s="1168">
        <f>A2_Budget_Look_Up!F46</f>
        <v>44</v>
      </c>
      <c r="M2668" s="1168"/>
      <c r="N2668" s="1168"/>
      <c r="O2668" s="1168"/>
      <c r="P2668" s="1168"/>
      <c r="Q2668" s="1071"/>
    </row>
    <row r="2669" spans="9:17" ht="13.9" x14ac:dyDescent="0.4">
      <c r="I2669" s="1071"/>
      <c r="J2669" s="83"/>
      <c r="K2669" s="83"/>
      <c r="L2669" s="83"/>
      <c r="M2669" s="83"/>
      <c r="N2669" s="84"/>
      <c r="O2669" s="83"/>
      <c r="P2669" s="83"/>
      <c r="Q2669" s="1071"/>
    </row>
    <row r="2670" spans="9:17" ht="13.9" x14ac:dyDescent="0.4">
      <c r="I2670" s="1071"/>
      <c r="J2670" s="78" t="s">
        <v>18</v>
      </c>
      <c r="K2670" s="78"/>
      <c r="L2670" s="78"/>
      <c r="M2670" s="79"/>
      <c r="N2670" s="85"/>
      <c r="O2670" s="79"/>
      <c r="P2670" s="78"/>
      <c r="Q2670" s="1071"/>
    </row>
    <row r="2671" spans="9:17" ht="13.9" x14ac:dyDescent="0.4">
      <c r="I2671" s="1071"/>
      <c r="J2671" s="80" t="s">
        <v>212</v>
      </c>
      <c r="K2671" s="80" t="s">
        <v>838</v>
      </c>
      <c r="L2671" s="80" t="s">
        <v>2</v>
      </c>
      <c r="M2671" s="80" t="s">
        <v>21</v>
      </c>
      <c r="N2671" s="80" t="s">
        <v>174</v>
      </c>
      <c r="O2671" s="80" t="s">
        <v>14</v>
      </c>
      <c r="P2671" s="80" t="s">
        <v>890</v>
      </c>
      <c r="Q2671" s="1071"/>
    </row>
    <row r="2672" spans="9:17" ht="13.9" x14ac:dyDescent="0.4">
      <c r="I2672" s="1073">
        <f>IF($A$1=44,1,0)</f>
        <v>0</v>
      </c>
      <c r="J2672" s="159" t="str">
        <f>A4_Chem_Prices!H9</f>
        <v>Roundup Powermax 3</v>
      </c>
      <c r="K2672" s="165"/>
      <c r="L2672" s="158" t="str">
        <f>A4_Chem_Prices!I9</f>
        <v>oz</v>
      </c>
      <c r="M2672" s="159">
        <f>A4_Chem_Prices!$J$9</f>
        <v>0.140625</v>
      </c>
      <c r="N2672" s="159">
        <v>32</v>
      </c>
      <c r="O2672" s="82">
        <f t="shared" ref="O2672:O2685" si="530">M2672*N2672</f>
        <v>4.5</v>
      </c>
      <c r="P2672" s="160">
        <f>M2672/16</f>
        <v>8.7890625E-3</v>
      </c>
      <c r="Q2672" s="1171">
        <f>IF(SUM(I2672:I2727)=820,L2668,0)</f>
        <v>0</v>
      </c>
    </row>
    <row r="2673" spans="9:17" ht="13.9" x14ac:dyDescent="0.4">
      <c r="I2673" s="1073">
        <f t="shared" ref="I2673:I2685" si="531">IF($A$1=44,I2672+1,0)</f>
        <v>0</v>
      </c>
      <c r="J2673" s="159" t="str">
        <f>A4_Chem_Prices!H2</f>
        <v>Command</v>
      </c>
      <c r="K2673" s="165"/>
      <c r="L2673" s="158" t="str">
        <f>A4_Chem_Prices!I2</f>
        <v>oz</v>
      </c>
      <c r="M2673" s="159">
        <f>A4_Chem_Prices!J2</f>
        <v>0.67414062499999994</v>
      </c>
      <c r="N2673" s="159">
        <v>12.8</v>
      </c>
      <c r="O2673" s="82">
        <f t="shared" si="530"/>
        <v>8.6289999999999996</v>
      </c>
      <c r="P2673" s="160">
        <f>M2673</f>
        <v>0.67414062499999994</v>
      </c>
      <c r="Q2673" s="1071">
        <f>Q2672</f>
        <v>0</v>
      </c>
    </row>
    <row r="2674" spans="9:17" ht="13.9" x14ac:dyDescent="0.4">
      <c r="I2674" s="1073">
        <f t="shared" si="531"/>
        <v>0</v>
      </c>
      <c r="J2674" s="159" t="str">
        <f>A4_Chem_Prices!H9</f>
        <v>Roundup Powermax 3</v>
      </c>
      <c r="K2674" s="165"/>
      <c r="L2674" s="158" t="str">
        <f>A4_Chem_Prices!I9</f>
        <v>oz</v>
      </c>
      <c r="M2674" s="159">
        <f>A4_Chem_Prices!J9</f>
        <v>0.140625</v>
      </c>
      <c r="N2674" s="159">
        <v>32</v>
      </c>
      <c r="O2674" s="82">
        <f t="shared" si="530"/>
        <v>4.5</v>
      </c>
      <c r="P2674" s="160">
        <f>M2674/16</f>
        <v>8.7890625E-3</v>
      </c>
      <c r="Q2674" s="1071">
        <f t="shared" ref="Q2674:Q2685" si="532">Q2673</f>
        <v>0</v>
      </c>
    </row>
    <row r="2675" spans="9:17" ht="13.9" x14ac:dyDescent="0.4">
      <c r="I2675" s="1073">
        <f t="shared" si="531"/>
        <v>0</v>
      </c>
      <c r="J2675" s="159" t="str">
        <f>A4_Chem_Prices!K11</f>
        <v>Sharpen</v>
      </c>
      <c r="K2675" s="165"/>
      <c r="L2675" s="160" t="str">
        <f>A4_Chem_Prices!L11</f>
        <v>oz</v>
      </c>
      <c r="M2675" s="159">
        <f>A4_Chem_Prices!M11</f>
        <v>6.7</v>
      </c>
      <c r="N2675" s="157">
        <v>3</v>
      </c>
      <c r="O2675" s="82">
        <f t="shared" si="530"/>
        <v>20.100000000000001</v>
      </c>
      <c r="P2675" s="160">
        <f>M2675</f>
        <v>6.7</v>
      </c>
      <c r="Q2675" s="1071">
        <f t="shared" si="532"/>
        <v>0</v>
      </c>
    </row>
    <row r="2676" spans="9:17" ht="13.9" x14ac:dyDescent="0.4">
      <c r="I2676" s="1073">
        <f t="shared" si="531"/>
        <v>0</v>
      </c>
      <c r="J2676" s="159" t="str">
        <f>A4_Chem_Prices!K12</f>
        <v>Provisia</v>
      </c>
      <c r="K2676" s="165"/>
      <c r="L2676" s="160" t="str">
        <f>A4_Chem_Prices!L12</f>
        <v>oz</v>
      </c>
      <c r="M2676" s="159">
        <f>A4_Chem_Prices!M12</f>
        <v>0.328125</v>
      </c>
      <c r="N2676" s="157">
        <v>15.5</v>
      </c>
      <c r="O2676" s="82">
        <f t="shared" si="530"/>
        <v>5.0859375</v>
      </c>
      <c r="P2676" s="160">
        <f>M2676</f>
        <v>0.328125</v>
      </c>
      <c r="Q2676" s="1071">
        <f t="shared" si="532"/>
        <v>0</v>
      </c>
    </row>
    <row r="2677" spans="9:17" ht="13.9" x14ac:dyDescent="0.4">
      <c r="I2677" s="1073">
        <f t="shared" si="531"/>
        <v>0</v>
      </c>
      <c r="J2677" s="159" t="str">
        <f>A4_Chem_Prices!K13</f>
        <v>Rice Beaux</v>
      </c>
      <c r="K2677" s="165"/>
      <c r="L2677" s="160" t="str">
        <f>A4_Chem_Prices!L13</f>
        <v>oz</v>
      </c>
      <c r="M2677" s="159">
        <f>A4_Chem_Prices!M13</f>
        <v>0.33281250000000001</v>
      </c>
      <c r="N2677" s="157">
        <v>96</v>
      </c>
      <c r="O2677" s="82">
        <f t="shared" si="530"/>
        <v>31.950000000000003</v>
      </c>
      <c r="P2677" s="160">
        <f>M2677/32</f>
        <v>1.0400390625E-2</v>
      </c>
      <c r="Q2677" s="1071">
        <f t="shared" si="532"/>
        <v>0</v>
      </c>
    </row>
    <row r="2678" spans="9:17" ht="13.9" x14ac:dyDescent="0.4">
      <c r="I2678" s="1073">
        <f t="shared" si="531"/>
        <v>0</v>
      </c>
      <c r="J2678" s="159" t="str">
        <f>A4_Chem_Prices!K12</f>
        <v>Provisia</v>
      </c>
      <c r="K2678" s="165"/>
      <c r="L2678" s="160" t="str">
        <f>A4_Chem_Prices!L12</f>
        <v>oz</v>
      </c>
      <c r="M2678" s="159">
        <f>A4_Chem_Prices!M12</f>
        <v>0.328125</v>
      </c>
      <c r="N2678" s="157">
        <v>15.5</v>
      </c>
      <c r="O2678" s="82">
        <f t="shared" si="530"/>
        <v>5.0859375</v>
      </c>
      <c r="P2678" s="160">
        <f>M2678</f>
        <v>0.328125</v>
      </c>
      <c r="Q2678" s="1071">
        <f t="shared" si="532"/>
        <v>0</v>
      </c>
    </row>
    <row r="2679" spans="9:17" ht="13.9" x14ac:dyDescent="0.4">
      <c r="I2679" s="1073">
        <f t="shared" si="531"/>
        <v>0</v>
      </c>
      <c r="J2679" s="159" t="str">
        <f>A4_Chem_Prices!K14</f>
        <v>Loyant</v>
      </c>
      <c r="K2679" s="165"/>
      <c r="L2679" s="160" t="str">
        <f>A4_Chem_Prices!L14</f>
        <v>oz</v>
      </c>
      <c r="M2679" s="159">
        <f>A4_Chem_Prices!M14</f>
        <v>2.1125781250000002</v>
      </c>
      <c r="N2679" s="157">
        <v>12</v>
      </c>
      <c r="O2679" s="82">
        <f t="shared" si="530"/>
        <v>25.350937500000001</v>
      </c>
      <c r="P2679" s="160">
        <f>M2679</f>
        <v>2.1125781250000002</v>
      </c>
      <c r="Q2679" s="1071">
        <f t="shared" si="532"/>
        <v>0</v>
      </c>
    </row>
    <row r="2680" spans="9:17" ht="13.9" x14ac:dyDescent="0.4">
      <c r="I2680" s="1073">
        <f t="shared" si="531"/>
        <v>0</v>
      </c>
      <c r="J2680" s="159" t="s">
        <v>19</v>
      </c>
      <c r="K2680" s="165"/>
      <c r="L2680" s="160"/>
      <c r="M2680" s="159">
        <v>0</v>
      </c>
      <c r="N2680" s="157">
        <v>0</v>
      </c>
      <c r="O2680" s="82">
        <f t="shared" si="530"/>
        <v>0</v>
      </c>
      <c r="P2680" s="160"/>
      <c r="Q2680" s="1071">
        <f t="shared" si="532"/>
        <v>0</v>
      </c>
    </row>
    <row r="2681" spans="9:17" ht="13.9" x14ac:dyDescent="0.4">
      <c r="I2681" s="1073">
        <f t="shared" si="531"/>
        <v>0</v>
      </c>
      <c r="J2681" s="159" t="s">
        <v>19</v>
      </c>
      <c r="K2681" s="165"/>
      <c r="L2681" s="160"/>
      <c r="M2681" s="159">
        <v>0</v>
      </c>
      <c r="N2681" s="157">
        <v>0</v>
      </c>
      <c r="O2681" s="82">
        <f t="shared" si="530"/>
        <v>0</v>
      </c>
      <c r="P2681" s="160"/>
      <c r="Q2681" s="1071">
        <f t="shared" si="532"/>
        <v>0</v>
      </c>
    </row>
    <row r="2682" spans="9:17" ht="13.9" x14ac:dyDescent="0.4">
      <c r="I2682" s="1073">
        <f t="shared" si="531"/>
        <v>0</v>
      </c>
      <c r="J2682" s="159" t="s">
        <v>19</v>
      </c>
      <c r="K2682" s="160"/>
      <c r="L2682" s="160"/>
      <c r="M2682" s="159">
        <v>0</v>
      </c>
      <c r="N2682" s="157">
        <v>0</v>
      </c>
      <c r="O2682" s="82">
        <f t="shared" si="530"/>
        <v>0</v>
      </c>
      <c r="P2682" s="160"/>
      <c r="Q2682" s="1071">
        <f t="shared" si="532"/>
        <v>0</v>
      </c>
    </row>
    <row r="2683" spans="9:17" ht="13.9" x14ac:dyDescent="0.4">
      <c r="I2683" s="1073">
        <f t="shared" si="531"/>
        <v>0</v>
      </c>
      <c r="J2683" s="159" t="s">
        <v>19</v>
      </c>
      <c r="K2683" s="160"/>
      <c r="L2683" s="160"/>
      <c r="M2683" s="159">
        <v>0</v>
      </c>
      <c r="N2683" s="157">
        <v>0</v>
      </c>
      <c r="O2683" s="82">
        <f t="shared" si="530"/>
        <v>0</v>
      </c>
      <c r="P2683" s="160"/>
      <c r="Q2683" s="1071">
        <f t="shared" si="532"/>
        <v>0</v>
      </c>
    </row>
    <row r="2684" spans="9:17" ht="13.9" x14ac:dyDescent="0.4">
      <c r="I2684" s="1073">
        <f t="shared" si="531"/>
        <v>0</v>
      </c>
      <c r="J2684" s="159" t="s">
        <v>19</v>
      </c>
      <c r="K2684" s="160"/>
      <c r="L2684" s="160"/>
      <c r="M2684" s="159">
        <v>0</v>
      </c>
      <c r="N2684" s="157">
        <v>0</v>
      </c>
      <c r="O2684" s="82">
        <f t="shared" si="530"/>
        <v>0</v>
      </c>
      <c r="P2684" s="160"/>
      <c r="Q2684" s="1071">
        <f t="shared" si="532"/>
        <v>0</v>
      </c>
    </row>
    <row r="2685" spans="9:17" ht="13.9" x14ac:dyDescent="0.4">
      <c r="I2685" s="1073">
        <f t="shared" si="531"/>
        <v>0</v>
      </c>
      <c r="J2685" s="159" t="s">
        <v>19</v>
      </c>
      <c r="K2685" s="160"/>
      <c r="L2685" s="160"/>
      <c r="M2685" s="159">
        <v>0</v>
      </c>
      <c r="N2685" s="157">
        <v>0</v>
      </c>
      <c r="O2685" s="82">
        <f t="shared" si="530"/>
        <v>0</v>
      </c>
      <c r="P2685" s="160"/>
      <c r="Q2685" s="1071">
        <f t="shared" si="532"/>
        <v>0</v>
      </c>
    </row>
    <row r="2686" spans="9:17" ht="13.9" x14ac:dyDescent="0.4">
      <c r="I2686" s="1071"/>
      <c r="J2686" s="86" t="s">
        <v>22</v>
      </c>
      <c r="K2686" s="86"/>
      <c r="L2686" s="86"/>
      <c r="M2686" s="81"/>
      <c r="N2686" s="87"/>
      <c r="O2686" s="88">
        <f>SUM(O2672:O2685)</f>
        <v>105.2018125</v>
      </c>
      <c r="P2686" s="86"/>
      <c r="Q2686" s="1071"/>
    </row>
    <row r="2687" spans="9:17" ht="13.9" x14ac:dyDescent="0.4">
      <c r="I2687" s="1071"/>
      <c r="J2687" s="83"/>
      <c r="K2687" s="83"/>
      <c r="L2687" s="83"/>
      <c r="M2687" s="83"/>
      <c r="N2687" s="84"/>
      <c r="O2687" s="83"/>
      <c r="P2687" s="83"/>
      <c r="Q2687" s="1071"/>
    </row>
    <row r="2688" spans="9:17" ht="13.9" x14ac:dyDescent="0.4">
      <c r="I2688" s="1071"/>
      <c r="J2688" s="78" t="s">
        <v>20</v>
      </c>
      <c r="K2688" s="78"/>
      <c r="L2688" s="78"/>
      <c r="M2688" s="79"/>
      <c r="N2688" s="85"/>
      <c r="O2688" s="79"/>
      <c r="P2688" s="78"/>
      <c r="Q2688" s="1071"/>
    </row>
    <row r="2689" spans="9:17" ht="13.9" x14ac:dyDescent="0.4">
      <c r="I2689" s="1071"/>
      <c r="J2689" s="80" t="s">
        <v>212</v>
      </c>
      <c r="K2689" s="80" t="s">
        <v>838</v>
      </c>
      <c r="L2689" s="80" t="s">
        <v>2</v>
      </c>
      <c r="M2689" s="80" t="s">
        <v>21</v>
      </c>
      <c r="N2689" s="80" t="s">
        <v>174</v>
      </c>
      <c r="O2689" s="80" t="s">
        <v>14</v>
      </c>
      <c r="P2689" s="80" t="s">
        <v>890</v>
      </c>
      <c r="Q2689" s="1071"/>
    </row>
    <row r="2690" spans="9:17" ht="13.9" x14ac:dyDescent="0.4">
      <c r="I2690" s="1073">
        <f>IF($A$1=44,I2685+1,0)</f>
        <v>0</v>
      </c>
      <c r="J2690" s="159" t="str">
        <f>A4_Chem_Prices!H19</f>
        <v>Tenchu</v>
      </c>
      <c r="K2690" s="160"/>
      <c r="L2690" s="160" t="str">
        <f>A4_Chem_Prices!I19</f>
        <v>oz</v>
      </c>
      <c r="M2690" s="159">
        <f>A4_Chem_Prices!J19</f>
        <v>1.1299999999999999</v>
      </c>
      <c r="N2690" s="157">
        <v>8</v>
      </c>
      <c r="O2690" s="82">
        <f t="shared" ref="O2690:O2699" si="533">M2690*N2690</f>
        <v>9.0399999999999991</v>
      </c>
      <c r="P2690" s="160"/>
      <c r="Q2690" s="1071">
        <f>Q2672</f>
        <v>0</v>
      </c>
    </row>
    <row r="2691" spans="9:17" ht="13.9" x14ac:dyDescent="0.4">
      <c r="I2691" s="1073">
        <f t="shared" ref="I2691:I2699" si="534">IF($A$1=44,I2690+1,0)</f>
        <v>0</v>
      </c>
      <c r="J2691" s="159" t="s">
        <v>19</v>
      </c>
      <c r="K2691" s="160"/>
      <c r="L2691" s="160"/>
      <c r="M2691" s="159">
        <v>0</v>
      </c>
      <c r="N2691" s="157">
        <v>0</v>
      </c>
      <c r="O2691" s="82">
        <f t="shared" si="533"/>
        <v>0</v>
      </c>
      <c r="P2691" s="160"/>
      <c r="Q2691" s="1071">
        <f>Q2690</f>
        <v>0</v>
      </c>
    </row>
    <row r="2692" spans="9:17" ht="13.9" x14ac:dyDescent="0.4">
      <c r="I2692" s="1073">
        <f t="shared" si="534"/>
        <v>0</v>
      </c>
      <c r="J2692" s="159" t="s">
        <v>19</v>
      </c>
      <c r="K2692" s="160"/>
      <c r="L2692" s="160"/>
      <c r="M2692" s="159">
        <v>0</v>
      </c>
      <c r="N2692" s="157">
        <v>0</v>
      </c>
      <c r="O2692" s="82">
        <f t="shared" si="533"/>
        <v>0</v>
      </c>
      <c r="P2692" s="160"/>
      <c r="Q2692" s="1071">
        <f t="shared" ref="Q2692:Q2699" si="535">Q2691</f>
        <v>0</v>
      </c>
    </row>
    <row r="2693" spans="9:17" ht="13.9" x14ac:dyDescent="0.4">
      <c r="I2693" s="1073">
        <f t="shared" si="534"/>
        <v>0</v>
      </c>
      <c r="J2693" s="159" t="s">
        <v>19</v>
      </c>
      <c r="K2693" s="160"/>
      <c r="L2693" s="160"/>
      <c r="M2693" s="159">
        <v>0</v>
      </c>
      <c r="N2693" s="157">
        <v>0</v>
      </c>
      <c r="O2693" s="82">
        <f t="shared" si="533"/>
        <v>0</v>
      </c>
      <c r="P2693" s="160"/>
      <c r="Q2693" s="1071">
        <f t="shared" si="535"/>
        <v>0</v>
      </c>
    </row>
    <row r="2694" spans="9:17" ht="13.9" x14ac:dyDescent="0.4">
      <c r="I2694" s="1073">
        <f t="shared" si="534"/>
        <v>0</v>
      </c>
      <c r="J2694" s="159" t="s">
        <v>19</v>
      </c>
      <c r="K2694" s="160"/>
      <c r="L2694" s="160"/>
      <c r="M2694" s="159">
        <v>0</v>
      </c>
      <c r="N2694" s="157">
        <v>0</v>
      </c>
      <c r="O2694" s="82">
        <f t="shared" si="533"/>
        <v>0</v>
      </c>
      <c r="P2694" s="158"/>
      <c r="Q2694" s="1071">
        <f t="shared" si="535"/>
        <v>0</v>
      </c>
    </row>
    <row r="2695" spans="9:17" ht="13.9" x14ac:dyDescent="0.4">
      <c r="I2695" s="1073">
        <f t="shared" si="534"/>
        <v>0</v>
      </c>
      <c r="J2695" s="159" t="s">
        <v>19</v>
      </c>
      <c r="K2695" s="160"/>
      <c r="L2695" s="160"/>
      <c r="M2695" s="159">
        <v>0</v>
      </c>
      <c r="N2695" s="157">
        <v>0</v>
      </c>
      <c r="O2695" s="82">
        <f t="shared" si="533"/>
        <v>0</v>
      </c>
      <c r="P2695" s="158"/>
      <c r="Q2695" s="1071">
        <f t="shared" si="535"/>
        <v>0</v>
      </c>
    </row>
    <row r="2696" spans="9:17" ht="13.9" x14ac:dyDescent="0.4">
      <c r="I2696" s="1073">
        <f t="shared" si="534"/>
        <v>0</v>
      </c>
      <c r="J2696" s="159" t="s">
        <v>19</v>
      </c>
      <c r="K2696" s="160"/>
      <c r="L2696" s="160"/>
      <c r="M2696" s="159">
        <v>0</v>
      </c>
      <c r="N2696" s="157">
        <v>0</v>
      </c>
      <c r="O2696" s="82">
        <f t="shared" si="533"/>
        <v>0</v>
      </c>
      <c r="P2696" s="158"/>
      <c r="Q2696" s="1071">
        <f t="shared" si="535"/>
        <v>0</v>
      </c>
    </row>
    <row r="2697" spans="9:17" ht="13.9" x14ac:dyDescent="0.4">
      <c r="I2697" s="1073">
        <f t="shared" si="534"/>
        <v>0</v>
      </c>
      <c r="J2697" s="159" t="s">
        <v>19</v>
      </c>
      <c r="K2697" s="160"/>
      <c r="L2697" s="160"/>
      <c r="M2697" s="159">
        <v>0</v>
      </c>
      <c r="N2697" s="157">
        <v>0</v>
      </c>
      <c r="O2697" s="82">
        <f t="shared" si="533"/>
        <v>0</v>
      </c>
      <c r="P2697" s="158"/>
      <c r="Q2697" s="1071">
        <f t="shared" si="535"/>
        <v>0</v>
      </c>
    </row>
    <row r="2698" spans="9:17" ht="13.9" x14ac:dyDescent="0.4">
      <c r="I2698" s="1073">
        <f t="shared" si="534"/>
        <v>0</v>
      </c>
      <c r="J2698" s="159" t="s">
        <v>19</v>
      </c>
      <c r="K2698" s="160"/>
      <c r="L2698" s="160"/>
      <c r="M2698" s="159">
        <v>0</v>
      </c>
      <c r="N2698" s="157">
        <v>0</v>
      </c>
      <c r="O2698" s="82">
        <f t="shared" si="533"/>
        <v>0</v>
      </c>
      <c r="P2698" s="158"/>
      <c r="Q2698" s="1071">
        <f t="shared" si="535"/>
        <v>0</v>
      </c>
    </row>
    <row r="2699" spans="9:17" ht="13.9" x14ac:dyDescent="0.4">
      <c r="I2699" s="1073">
        <f t="shared" si="534"/>
        <v>0</v>
      </c>
      <c r="J2699" s="159" t="s">
        <v>19</v>
      </c>
      <c r="K2699" s="160"/>
      <c r="L2699" s="160"/>
      <c r="M2699" s="159">
        <v>0</v>
      </c>
      <c r="N2699" s="157">
        <v>0</v>
      </c>
      <c r="O2699" s="82">
        <f t="shared" si="533"/>
        <v>0</v>
      </c>
      <c r="P2699" s="158"/>
      <c r="Q2699" s="1071">
        <f t="shared" si="535"/>
        <v>0</v>
      </c>
    </row>
    <row r="2700" spans="9:17" ht="13.9" x14ac:dyDescent="0.4">
      <c r="I2700" s="1071"/>
      <c r="J2700" s="86" t="s">
        <v>22</v>
      </c>
      <c r="K2700" s="86"/>
      <c r="L2700" s="86"/>
      <c r="M2700" s="81"/>
      <c r="N2700" s="87"/>
      <c r="O2700" s="88">
        <f>SUM(O2690:O2699)</f>
        <v>9.0399999999999991</v>
      </c>
      <c r="P2700" s="86"/>
      <c r="Q2700" s="1071"/>
    </row>
    <row r="2701" spans="9:17" ht="13.9" x14ac:dyDescent="0.4">
      <c r="I2701" s="1071"/>
      <c r="J2701" s="83"/>
      <c r="K2701" s="83"/>
      <c r="L2701" s="83"/>
      <c r="M2701" s="83"/>
      <c r="N2701" s="84"/>
      <c r="O2701" s="83"/>
      <c r="P2701" s="83"/>
      <c r="Q2701" s="1071"/>
    </row>
    <row r="2702" spans="9:17" ht="13.9" x14ac:dyDescent="0.4">
      <c r="I2702" s="1071"/>
      <c r="J2702" s="78" t="str">
        <f>IF(OR(A2_Budget_Look_Up!$B$7=1,A2_Budget_Look_Up!$B$13=1),"Nematicide Detail", "Fungicide Detail")</f>
        <v>Fungicide Detail</v>
      </c>
      <c r="K2702" s="78"/>
      <c r="L2702" s="78"/>
      <c r="M2702" s="79"/>
      <c r="N2702" s="85"/>
      <c r="O2702" s="79"/>
      <c r="P2702" s="78"/>
      <c r="Q2702" s="1071"/>
    </row>
    <row r="2703" spans="9:17" ht="13.9" x14ac:dyDescent="0.4">
      <c r="I2703" s="1071"/>
      <c r="J2703" s="80" t="s">
        <v>212</v>
      </c>
      <c r="K2703" s="80" t="s">
        <v>838</v>
      </c>
      <c r="L2703" s="80" t="s">
        <v>2</v>
      </c>
      <c r="M2703" s="80" t="s">
        <v>21</v>
      </c>
      <c r="N2703" s="80" t="s">
        <v>174</v>
      </c>
      <c r="O2703" s="80" t="s">
        <v>14</v>
      </c>
      <c r="P2703" s="80" t="s">
        <v>890</v>
      </c>
      <c r="Q2703" s="1071"/>
    </row>
    <row r="2704" spans="9:17" ht="13.9" x14ac:dyDescent="0.4">
      <c r="I2704" s="1073">
        <f>IF($A$1=44,I2699+1,0)</f>
        <v>0</v>
      </c>
      <c r="J2704" s="156" t="str">
        <f>A4_Chem_Prices!H33</f>
        <v>Aframe Plus</v>
      </c>
      <c r="K2704" s="158"/>
      <c r="L2704" s="158" t="str">
        <f>A4_Chem_Prices!I33</f>
        <v>oz</v>
      </c>
      <c r="M2704" s="159">
        <f>A4_Chem_Prices!J33</f>
        <v>0.5390625</v>
      </c>
      <c r="N2704" s="157">
        <v>21</v>
      </c>
      <c r="O2704" s="82">
        <f>M2704*N2704</f>
        <v>11.3203125</v>
      </c>
      <c r="P2704" s="158"/>
      <c r="Q2704" s="1071">
        <f>Q2699</f>
        <v>0</v>
      </c>
    </row>
    <row r="2705" spans="9:17" ht="13.9" x14ac:dyDescent="0.4">
      <c r="I2705" s="1073">
        <f>IF($A$1=44,I2704+1,0)</f>
        <v>0</v>
      </c>
      <c r="J2705" s="156" t="s">
        <v>19</v>
      </c>
      <c r="K2705" s="158"/>
      <c r="L2705" s="158"/>
      <c r="M2705" s="159">
        <v>0</v>
      </c>
      <c r="N2705" s="157">
        <v>0</v>
      </c>
      <c r="O2705" s="82">
        <f>M2705*N2705</f>
        <v>0</v>
      </c>
      <c r="P2705" s="158"/>
      <c r="Q2705" s="1071">
        <f>Q2704</f>
        <v>0</v>
      </c>
    </row>
    <row r="2706" spans="9:17" ht="13.9" x14ac:dyDescent="0.4">
      <c r="I2706" s="1071"/>
      <c r="J2706" s="86" t="s">
        <v>22</v>
      </c>
      <c r="K2706" s="86"/>
      <c r="L2706" s="86"/>
      <c r="M2706" s="81"/>
      <c r="N2706" s="87"/>
      <c r="O2706" s="88">
        <f>SUM(O2704:O2705)</f>
        <v>11.3203125</v>
      </c>
      <c r="P2706" s="86"/>
      <c r="Q2706" s="1071"/>
    </row>
    <row r="2707" spans="9:17" ht="13.9" x14ac:dyDescent="0.4">
      <c r="I2707" s="1071"/>
      <c r="J2707" s="83"/>
      <c r="K2707" s="83"/>
      <c r="L2707" s="83"/>
      <c r="M2707" s="83"/>
      <c r="N2707" s="84"/>
      <c r="O2707" s="83"/>
      <c r="P2707" s="83"/>
      <c r="Q2707" s="1071"/>
    </row>
    <row r="2708" spans="9:17" ht="13.9" x14ac:dyDescent="0.4">
      <c r="I2708" s="1071"/>
      <c r="J2708" s="78" t="str">
        <f>IF(A2_Budget_Look_Up!$B$7=1,"Growth Regulator Detail", IF(A2_Budget_Look_Up!$B$13=1,"Fungicide Detail","Other Chemical Detail"))</f>
        <v>Other Chemical Detail</v>
      </c>
      <c r="K2708" s="78"/>
      <c r="L2708" s="78"/>
      <c r="M2708" s="79"/>
      <c r="N2708" s="85"/>
      <c r="O2708" s="79"/>
      <c r="P2708" s="78"/>
      <c r="Q2708" s="1071"/>
    </row>
    <row r="2709" spans="9:17" ht="13.9" x14ac:dyDescent="0.4">
      <c r="I2709" s="1071"/>
      <c r="J2709" s="80" t="s">
        <v>212</v>
      </c>
      <c r="K2709" s="80" t="s">
        <v>838</v>
      </c>
      <c r="L2709" s="80" t="s">
        <v>2</v>
      </c>
      <c r="M2709" s="80" t="s">
        <v>21</v>
      </c>
      <c r="N2709" s="80" t="s">
        <v>174</v>
      </c>
      <c r="O2709" s="80" t="s">
        <v>14</v>
      </c>
      <c r="P2709" s="80" t="s">
        <v>890</v>
      </c>
      <c r="Q2709" s="1071"/>
    </row>
    <row r="2710" spans="9:17" ht="13.9" x14ac:dyDescent="0.4">
      <c r="I2710" s="1073">
        <f>IF($A$1=44,I2705+1,0)</f>
        <v>0</v>
      </c>
      <c r="J2710" s="156" t="s">
        <v>19</v>
      </c>
      <c r="K2710" s="158"/>
      <c r="L2710" s="158"/>
      <c r="M2710" s="159">
        <v>0</v>
      </c>
      <c r="N2710" s="157">
        <v>0</v>
      </c>
      <c r="O2710" s="82">
        <f t="shared" ref="O2710:O2716" si="536">M2710*N2710</f>
        <v>0</v>
      </c>
      <c r="P2710" s="160"/>
      <c r="Q2710" s="1071">
        <f>Q2705</f>
        <v>0</v>
      </c>
    </row>
    <row r="2711" spans="9:17" ht="13.9" x14ac:dyDescent="0.4">
      <c r="I2711" s="1073">
        <f t="shared" ref="I2711:I2716" si="537">IF($A$1=44,I2710+1,0)</f>
        <v>0</v>
      </c>
      <c r="J2711" s="156" t="s">
        <v>19</v>
      </c>
      <c r="K2711" s="158"/>
      <c r="L2711" s="158"/>
      <c r="M2711" s="159">
        <v>0</v>
      </c>
      <c r="N2711" s="157">
        <v>0</v>
      </c>
      <c r="O2711" s="82">
        <f t="shared" si="536"/>
        <v>0</v>
      </c>
      <c r="P2711" s="160"/>
      <c r="Q2711" s="1071">
        <f t="shared" ref="Q2711:Q2716" si="538">Q2710</f>
        <v>0</v>
      </c>
    </row>
    <row r="2712" spans="9:17" ht="13.9" x14ac:dyDescent="0.4">
      <c r="I2712" s="1073">
        <f t="shared" si="537"/>
        <v>0</v>
      </c>
      <c r="J2712" s="156" t="s">
        <v>19</v>
      </c>
      <c r="K2712" s="158"/>
      <c r="L2712" s="158"/>
      <c r="M2712" s="159">
        <v>0</v>
      </c>
      <c r="N2712" s="157">
        <v>0</v>
      </c>
      <c r="O2712" s="82">
        <f t="shared" si="536"/>
        <v>0</v>
      </c>
      <c r="P2712" s="160"/>
      <c r="Q2712" s="1071">
        <f t="shared" si="538"/>
        <v>0</v>
      </c>
    </row>
    <row r="2713" spans="9:17" ht="13.9" x14ac:dyDescent="0.4">
      <c r="I2713" s="1073">
        <f t="shared" si="537"/>
        <v>0</v>
      </c>
      <c r="J2713" s="156" t="s">
        <v>19</v>
      </c>
      <c r="K2713" s="158"/>
      <c r="L2713" s="158"/>
      <c r="M2713" s="159">
        <v>0</v>
      </c>
      <c r="N2713" s="157">
        <v>0</v>
      </c>
      <c r="O2713" s="82">
        <f t="shared" si="536"/>
        <v>0</v>
      </c>
      <c r="P2713" s="158"/>
      <c r="Q2713" s="1071">
        <f t="shared" si="538"/>
        <v>0</v>
      </c>
    </row>
    <row r="2714" spans="9:17" ht="13.9" x14ac:dyDescent="0.4">
      <c r="I2714" s="1073">
        <f t="shared" si="537"/>
        <v>0</v>
      </c>
      <c r="J2714" s="156" t="s">
        <v>19</v>
      </c>
      <c r="K2714" s="158"/>
      <c r="L2714" s="158"/>
      <c r="M2714" s="159">
        <v>0</v>
      </c>
      <c r="N2714" s="157">
        <v>0</v>
      </c>
      <c r="O2714" s="82">
        <f t="shared" si="536"/>
        <v>0</v>
      </c>
      <c r="P2714" s="158"/>
      <c r="Q2714" s="1071">
        <f t="shared" si="538"/>
        <v>0</v>
      </c>
    </row>
    <row r="2715" spans="9:17" ht="13.9" x14ac:dyDescent="0.4">
      <c r="I2715" s="1073">
        <f t="shared" si="537"/>
        <v>0</v>
      </c>
      <c r="J2715" s="156" t="s">
        <v>19</v>
      </c>
      <c r="K2715" s="158"/>
      <c r="L2715" s="158"/>
      <c r="M2715" s="159">
        <v>0</v>
      </c>
      <c r="N2715" s="157">
        <v>0</v>
      </c>
      <c r="O2715" s="82">
        <f t="shared" si="536"/>
        <v>0</v>
      </c>
      <c r="P2715" s="158"/>
      <c r="Q2715" s="1071">
        <f t="shared" si="538"/>
        <v>0</v>
      </c>
    </row>
    <row r="2716" spans="9:17" ht="13.9" x14ac:dyDescent="0.4">
      <c r="I2716" s="1073">
        <f t="shared" si="537"/>
        <v>0</v>
      </c>
      <c r="J2716" s="156" t="s">
        <v>19</v>
      </c>
      <c r="K2716" s="158"/>
      <c r="L2716" s="158"/>
      <c r="M2716" s="159">
        <v>0</v>
      </c>
      <c r="N2716" s="157">
        <v>0</v>
      </c>
      <c r="O2716" s="82">
        <f t="shared" si="536"/>
        <v>0</v>
      </c>
      <c r="P2716" s="158"/>
      <c r="Q2716" s="1071">
        <f t="shared" si="538"/>
        <v>0</v>
      </c>
    </row>
    <row r="2717" spans="9:17" ht="13.9" x14ac:dyDescent="0.4">
      <c r="I2717" s="1071"/>
      <c r="J2717" s="86" t="s">
        <v>22</v>
      </c>
      <c r="K2717" s="86"/>
      <c r="L2717" s="86"/>
      <c r="M2717" s="81"/>
      <c r="N2717" s="87"/>
      <c r="O2717" s="88">
        <f>SUM(O2710:O2716)</f>
        <v>0</v>
      </c>
      <c r="P2717" s="86"/>
      <c r="Q2717" s="1071"/>
    </row>
    <row r="2718" spans="9:17" ht="13.9" x14ac:dyDescent="0.4">
      <c r="I2718" s="1071"/>
      <c r="J2718" s="83"/>
      <c r="K2718" s="83"/>
      <c r="L2718" s="83"/>
      <c r="M2718" s="83"/>
      <c r="N2718" s="84"/>
      <c r="O2718" s="83"/>
      <c r="P2718" s="83"/>
      <c r="Q2718" s="1071"/>
    </row>
    <row r="2719" spans="9:17" ht="13.9" x14ac:dyDescent="0.4">
      <c r="I2719" s="1071"/>
      <c r="J2719" s="78" t="str">
        <f>IF(A2_Budget_Look_Up!$B$7=1,"Defoliant Detail", "Other Chemical Detail")</f>
        <v>Other Chemical Detail</v>
      </c>
      <c r="K2719" s="78"/>
      <c r="L2719" s="78"/>
      <c r="M2719" s="79"/>
      <c r="N2719" s="85"/>
      <c r="O2719" s="79"/>
      <c r="P2719" s="78"/>
      <c r="Q2719" s="1071"/>
    </row>
    <row r="2720" spans="9:17" ht="13.9" x14ac:dyDescent="0.4">
      <c r="I2720" s="1071"/>
      <c r="J2720" s="80" t="s">
        <v>212</v>
      </c>
      <c r="K2720" s="80" t="s">
        <v>838</v>
      </c>
      <c r="L2720" s="80" t="s">
        <v>2</v>
      </c>
      <c r="M2720" s="80" t="s">
        <v>21</v>
      </c>
      <c r="N2720" s="80" t="s">
        <v>174</v>
      </c>
      <c r="O2720" s="80" t="s">
        <v>14</v>
      </c>
      <c r="P2720" s="80" t="s">
        <v>890</v>
      </c>
      <c r="Q2720" s="1071"/>
    </row>
    <row r="2721" spans="9:17" ht="13.9" x14ac:dyDescent="0.4">
      <c r="I2721" s="1073">
        <f>IF($A$1=44,I2716+1,0)</f>
        <v>0</v>
      </c>
      <c r="J2721" s="156" t="s">
        <v>19</v>
      </c>
      <c r="K2721" s="158"/>
      <c r="L2721" s="158"/>
      <c r="M2721" s="159">
        <v>0</v>
      </c>
      <c r="N2721" s="157">
        <v>0</v>
      </c>
      <c r="O2721" s="82">
        <f t="shared" ref="O2721:O2727" si="539">M2721*N2721</f>
        <v>0</v>
      </c>
      <c r="P2721" s="160"/>
      <c r="Q2721" s="1071">
        <f>Q2716</f>
        <v>0</v>
      </c>
    </row>
    <row r="2722" spans="9:17" ht="13.9" x14ac:dyDescent="0.4">
      <c r="I2722" s="1073">
        <f t="shared" ref="I2722:I2727" si="540">IF($A$1=44,I2721+1,0)</f>
        <v>0</v>
      </c>
      <c r="J2722" s="156" t="s">
        <v>19</v>
      </c>
      <c r="K2722" s="158"/>
      <c r="L2722" s="158"/>
      <c r="M2722" s="159">
        <v>0</v>
      </c>
      <c r="N2722" s="157">
        <v>0</v>
      </c>
      <c r="O2722" s="82">
        <f t="shared" si="539"/>
        <v>0</v>
      </c>
      <c r="P2722" s="160"/>
      <c r="Q2722" s="1071">
        <f t="shared" ref="Q2722:Q2727" si="541">Q2721</f>
        <v>0</v>
      </c>
    </row>
    <row r="2723" spans="9:17" ht="13.9" x14ac:dyDescent="0.4">
      <c r="I2723" s="1073">
        <f t="shared" si="540"/>
        <v>0</v>
      </c>
      <c r="J2723" s="156" t="s">
        <v>19</v>
      </c>
      <c r="K2723" s="158"/>
      <c r="L2723" s="158"/>
      <c r="M2723" s="159">
        <v>0</v>
      </c>
      <c r="N2723" s="157">
        <v>0</v>
      </c>
      <c r="O2723" s="82">
        <f t="shared" si="539"/>
        <v>0</v>
      </c>
      <c r="P2723" s="160"/>
      <c r="Q2723" s="1071">
        <f t="shared" si="541"/>
        <v>0</v>
      </c>
    </row>
    <row r="2724" spans="9:17" ht="13.9" x14ac:dyDescent="0.4">
      <c r="I2724" s="1073">
        <f t="shared" si="540"/>
        <v>0</v>
      </c>
      <c r="J2724" s="156" t="s">
        <v>19</v>
      </c>
      <c r="K2724" s="158"/>
      <c r="L2724" s="158"/>
      <c r="M2724" s="159">
        <v>0</v>
      </c>
      <c r="N2724" s="157">
        <v>0</v>
      </c>
      <c r="O2724" s="82">
        <f t="shared" si="539"/>
        <v>0</v>
      </c>
      <c r="P2724" s="160"/>
      <c r="Q2724" s="1071">
        <f t="shared" si="541"/>
        <v>0</v>
      </c>
    </row>
    <row r="2725" spans="9:17" ht="13.9" x14ac:dyDescent="0.4">
      <c r="I2725" s="1073">
        <f t="shared" si="540"/>
        <v>0</v>
      </c>
      <c r="J2725" s="156" t="s">
        <v>19</v>
      </c>
      <c r="K2725" s="158"/>
      <c r="L2725" s="158"/>
      <c r="M2725" s="159">
        <v>0</v>
      </c>
      <c r="N2725" s="157">
        <v>0</v>
      </c>
      <c r="O2725" s="82">
        <f t="shared" si="539"/>
        <v>0</v>
      </c>
      <c r="P2725" s="160"/>
      <c r="Q2725" s="1071">
        <f t="shared" si="541"/>
        <v>0</v>
      </c>
    </row>
    <row r="2726" spans="9:17" ht="13.9" x14ac:dyDescent="0.4">
      <c r="I2726" s="1073">
        <f t="shared" si="540"/>
        <v>0</v>
      </c>
      <c r="J2726" s="156" t="s">
        <v>19</v>
      </c>
      <c r="K2726" s="158"/>
      <c r="L2726" s="158"/>
      <c r="M2726" s="159">
        <v>0</v>
      </c>
      <c r="N2726" s="157">
        <v>0</v>
      </c>
      <c r="O2726" s="82">
        <f t="shared" si="539"/>
        <v>0</v>
      </c>
      <c r="P2726" s="158"/>
      <c r="Q2726" s="1071">
        <f t="shared" si="541"/>
        <v>0</v>
      </c>
    </row>
    <row r="2727" spans="9:17" ht="13.9" x14ac:dyDescent="0.4">
      <c r="I2727" s="1073">
        <f t="shared" si="540"/>
        <v>0</v>
      </c>
      <c r="J2727" s="156" t="s">
        <v>19</v>
      </c>
      <c r="K2727" s="158"/>
      <c r="L2727" s="158"/>
      <c r="M2727" s="159">
        <v>0</v>
      </c>
      <c r="N2727" s="157">
        <v>0</v>
      </c>
      <c r="O2727" s="82">
        <f t="shared" si="539"/>
        <v>0</v>
      </c>
      <c r="P2727" s="158"/>
      <c r="Q2727" s="1071">
        <f t="shared" si="541"/>
        <v>0</v>
      </c>
    </row>
    <row r="2728" spans="9:17" ht="13.9" x14ac:dyDescent="0.4">
      <c r="I2728" s="1071"/>
      <c r="J2728" s="86" t="s">
        <v>22</v>
      </c>
      <c r="K2728" s="86"/>
      <c r="L2728" s="86"/>
      <c r="M2728" s="81"/>
      <c r="N2728" s="87"/>
      <c r="O2728" s="88">
        <f>SUM(O2721:O2727)</f>
        <v>0</v>
      </c>
      <c r="P2728" s="86"/>
      <c r="Q2728" s="1071"/>
    </row>
    <row r="2729" spans="9:17" ht="13.9" x14ac:dyDescent="0.4">
      <c r="I2729" s="1071"/>
      <c r="J2729" s="83"/>
      <c r="K2729" s="83"/>
      <c r="L2729" s="83"/>
      <c r="M2729" s="89"/>
      <c r="N2729" s="84"/>
      <c r="O2729" s="89"/>
      <c r="P2729" s="83"/>
      <c r="Q2729" s="1071"/>
    </row>
    <row r="2730" spans="9:17" ht="13.9" x14ac:dyDescent="0.4">
      <c r="I2730" s="1071"/>
      <c r="J2730" s="1168" t="str">
        <f>A2_Budget_Look_Up!H47</f>
        <v>Rice, MaxAce Seed</v>
      </c>
      <c r="K2730" s="1168"/>
      <c r="L2730" s="1168">
        <f>A2_Budget_Look_Up!F47</f>
        <v>45</v>
      </c>
      <c r="M2730" s="1168"/>
      <c r="N2730" s="1168"/>
      <c r="O2730" s="1168"/>
      <c r="P2730" s="1168"/>
      <c r="Q2730" s="1071"/>
    </row>
    <row r="2731" spans="9:17" ht="13.9" x14ac:dyDescent="0.4">
      <c r="I2731" s="1071"/>
      <c r="J2731" s="83"/>
      <c r="K2731" s="83"/>
      <c r="L2731" s="83"/>
      <c r="M2731" s="83"/>
      <c r="N2731" s="84"/>
      <c r="O2731" s="83"/>
      <c r="P2731" s="83"/>
      <c r="Q2731" s="1071"/>
    </row>
    <row r="2732" spans="9:17" ht="13.9" x14ac:dyDescent="0.4">
      <c r="I2732" s="1071"/>
      <c r="J2732" s="78" t="s">
        <v>18</v>
      </c>
      <c r="K2732" s="78"/>
      <c r="L2732" s="78"/>
      <c r="M2732" s="79"/>
      <c r="N2732" s="85"/>
      <c r="O2732" s="79"/>
      <c r="P2732" s="78"/>
      <c r="Q2732" s="1071"/>
    </row>
    <row r="2733" spans="9:17" ht="13.9" x14ac:dyDescent="0.4">
      <c r="I2733" s="1071"/>
      <c r="J2733" s="80" t="s">
        <v>212</v>
      </c>
      <c r="K2733" s="80" t="s">
        <v>838</v>
      </c>
      <c r="L2733" s="80" t="s">
        <v>2</v>
      </c>
      <c r="M2733" s="80" t="s">
        <v>21</v>
      </c>
      <c r="N2733" s="80" t="s">
        <v>174</v>
      </c>
      <c r="O2733" s="80" t="s">
        <v>14</v>
      </c>
      <c r="P2733" s="80" t="s">
        <v>890</v>
      </c>
      <c r="Q2733" s="1071"/>
    </row>
    <row r="2734" spans="9:17" ht="13.9" x14ac:dyDescent="0.4">
      <c r="I2734" s="1073">
        <f>IF($A$1=45,1,0)</f>
        <v>0</v>
      </c>
      <c r="J2734" s="159" t="str">
        <f>A4_Chem_Prices!H9</f>
        <v>Roundup Powermax 3</v>
      </c>
      <c r="K2734" s="165"/>
      <c r="L2734" s="158" t="str">
        <f>A4_Chem_Prices!I9</f>
        <v>oz</v>
      </c>
      <c r="M2734" s="159">
        <f>A4_Chem_Prices!J9</f>
        <v>0.140625</v>
      </c>
      <c r="N2734" s="159">
        <v>32</v>
      </c>
      <c r="O2734" s="82">
        <f t="shared" ref="O2734:O2747" si="542">M2734*N2734</f>
        <v>4.5</v>
      </c>
      <c r="P2734" s="160"/>
      <c r="Q2734" s="1171">
        <f>IF(SUM(I2734:I2789)=820,L2730,0)</f>
        <v>0</v>
      </c>
    </row>
    <row r="2735" spans="9:17" ht="13.9" x14ac:dyDescent="0.4">
      <c r="I2735" s="1073">
        <f t="shared" ref="I2735:I2747" si="543">IF($A$1=45,I2734+1,0)</f>
        <v>0</v>
      </c>
      <c r="J2735" s="159" t="str">
        <f>A4_Chem_Prices!H2</f>
        <v>Command</v>
      </c>
      <c r="K2735" s="165"/>
      <c r="L2735" s="158" t="str">
        <f>A4_Chem_Prices!I2</f>
        <v>oz</v>
      </c>
      <c r="M2735" s="159">
        <f>A4_Chem_Prices!J2</f>
        <v>0.67414062499999994</v>
      </c>
      <c r="N2735" s="159">
        <v>12.8</v>
      </c>
      <c r="O2735" s="82">
        <f t="shared" si="542"/>
        <v>8.6289999999999996</v>
      </c>
      <c r="P2735" s="160"/>
      <c r="Q2735" s="1071">
        <f>Q2734</f>
        <v>0</v>
      </c>
    </row>
    <row r="2736" spans="9:17" ht="13.9" x14ac:dyDescent="0.4">
      <c r="I2736" s="1073">
        <f t="shared" si="543"/>
        <v>0</v>
      </c>
      <c r="J2736" s="159" t="str">
        <f>A4_Chem_Prices!H9</f>
        <v>Roundup Powermax 3</v>
      </c>
      <c r="K2736" s="165"/>
      <c r="L2736" s="160" t="str">
        <f>A4_Chem_Prices!I9</f>
        <v>oz</v>
      </c>
      <c r="M2736" s="159">
        <f>A4_Chem_Prices!J9</f>
        <v>0.140625</v>
      </c>
      <c r="N2736" s="157">
        <v>32</v>
      </c>
      <c r="O2736" s="82">
        <f t="shared" si="542"/>
        <v>4.5</v>
      </c>
      <c r="P2736" s="160"/>
      <c r="Q2736" s="1071">
        <f t="shared" ref="Q2736:Q2747" si="544">Q2735</f>
        <v>0</v>
      </c>
    </row>
    <row r="2737" spans="9:17" ht="13.9" x14ac:dyDescent="0.4">
      <c r="I2737" s="1073">
        <f t="shared" si="543"/>
        <v>0</v>
      </c>
      <c r="J2737" s="159" t="str">
        <f>A4_Chem_Prices!K11</f>
        <v>Sharpen</v>
      </c>
      <c r="K2737" s="165"/>
      <c r="L2737" s="158" t="str">
        <f>A4_Chem_Prices!L11</f>
        <v>oz</v>
      </c>
      <c r="M2737" s="159">
        <f>A4_Chem_Prices!M11</f>
        <v>6.7</v>
      </c>
      <c r="N2737" s="157">
        <v>3</v>
      </c>
      <c r="O2737" s="82">
        <f t="shared" si="542"/>
        <v>20.100000000000001</v>
      </c>
      <c r="P2737" s="160"/>
      <c r="Q2737" s="1071">
        <f t="shared" si="544"/>
        <v>0</v>
      </c>
    </row>
    <row r="2738" spans="9:17" ht="13.9" x14ac:dyDescent="0.4">
      <c r="I2738" s="1073">
        <f t="shared" si="543"/>
        <v>0</v>
      </c>
      <c r="J2738" s="159" t="str">
        <f>A4_Chem_Prices!K15</f>
        <v>Highcard</v>
      </c>
      <c r="K2738" s="165"/>
      <c r="L2738" s="160" t="str">
        <f>A4_Chem_Prices!L15</f>
        <v>oz</v>
      </c>
      <c r="M2738" s="159">
        <f>A4_Chem_Prices!M15</f>
        <v>0.359375</v>
      </c>
      <c r="N2738" s="157">
        <v>15.5</v>
      </c>
      <c r="O2738" s="82">
        <f t="shared" si="542"/>
        <v>5.5703125</v>
      </c>
      <c r="P2738" s="160"/>
      <c r="Q2738" s="1071">
        <f t="shared" si="544"/>
        <v>0</v>
      </c>
    </row>
    <row r="2739" spans="9:17" ht="13.9" x14ac:dyDescent="0.4">
      <c r="I2739" s="1073">
        <f t="shared" si="543"/>
        <v>0</v>
      </c>
      <c r="J2739" s="159" t="str">
        <f>A4_Chem_Prices!K16</f>
        <v>Basagran</v>
      </c>
      <c r="K2739" s="165"/>
      <c r="L2739" s="160" t="str">
        <f>A4_Chem_Prices!L16</f>
        <v>oz</v>
      </c>
      <c r="M2739" s="159">
        <f>A4_Chem_Prices!M16</f>
        <v>0.67046874999999995</v>
      </c>
      <c r="N2739" s="157">
        <v>32</v>
      </c>
      <c r="O2739" s="82">
        <f t="shared" si="542"/>
        <v>21.454999999999998</v>
      </c>
      <c r="P2739" s="160"/>
      <c r="Q2739" s="1071">
        <f t="shared" si="544"/>
        <v>0</v>
      </c>
    </row>
    <row r="2740" spans="9:17" ht="13.9" x14ac:dyDescent="0.4">
      <c r="I2740" s="1073">
        <f t="shared" si="543"/>
        <v>0</v>
      </c>
      <c r="J2740" s="159" t="str">
        <f>A4_Chem_Prices!H7</f>
        <v>Facet L</v>
      </c>
      <c r="K2740" s="165"/>
      <c r="L2740" s="160" t="str">
        <f>A4_Chem_Prices!I7</f>
        <v>oz</v>
      </c>
      <c r="M2740" s="159">
        <f>A4_Chem_Prices!J7</f>
        <v>0.6640625</v>
      </c>
      <c r="N2740" s="157">
        <v>16</v>
      </c>
      <c r="O2740" s="82">
        <f t="shared" si="542"/>
        <v>10.625</v>
      </c>
      <c r="P2740" s="160"/>
      <c r="Q2740" s="1071">
        <f t="shared" si="544"/>
        <v>0</v>
      </c>
    </row>
    <row r="2741" spans="9:17" ht="13.9" x14ac:dyDescent="0.4">
      <c r="I2741" s="1073">
        <f t="shared" si="543"/>
        <v>0</v>
      </c>
      <c r="J2741" s="159" t="str">
        <f>A4_Chem_Prices!K15</f>
        <v>Highcard</v>
      </c>
      <c r="K2741" s="165"/>
      <c r="L2741" s="160" t="str">
        <f>A4_Chem_Prices!L15</f>
        <v>oz</v>
      </c>
      <c r="M2741" s="159">
        <f>A4_Chem_Prices!M15</f>
        <v>0.359375</v>
      </c>
      <c r="N2741" s="157">
        <v>15.5</v>
      </c>
      <c r="O2741" s="82">
        <f t="shared" si="542"/>
        <v>5.5703125</v>
      </c>
      <c r="P2741" s="160"/>
      <c r="Q2741" s="1071">
        <f t="shared" si="544"/>
        <v>0</v>
      </c>
    </row>
    <row r="2742" spans="9:17" ht="13.9" x14ac:dyDescent="0.4">
      <c r="I2742" s="1073">
        <f t="shared" si="543"/>
        <v>0</v>
      </c>
      <c r="J2742" s="159" t="str">
        <f>A4_Chem_Prices!K14</f>
        <v>Loyant</v>
      </c>
      <c r="K2742" s="165"/>
      <c r="L2742" s="160" t="str">
        <f>A4_Chem_Prices!L14</f>
        <v>oz</v>
      </c>
      <c r="M2742" s="159">
        <f>A4_Chem_Prices!M14</f>
        <v>2.1125781250000002</v>
      </c>
      <c r="N2742" s="157">
        <v>12</v>
      </c>
      <c r="O2742" s="82">
        <f t="shared" si="542"/>
        <v>25.350937500000001</v>
      </c>
      <c r="P2742" s="160"/>
      <c r="Q2742" s="1071">
        <f t="shared" si="544"/>
        <v>0</v>
      </c>
    </row>
    <row r="2743" spans="9:17" ht="13.9" x14ac:dyDescent="0.4">
      <c r="I2743" s="1073">
        <f t="shared" si="543"/>
        <v>0</v>
      </c>
      <c r="J2743" s="159" t="s">
        <v>19</v>
      </c>
      <c r="K2743" s="165"/>
      <c r="L2743" s="160"/>
      <c r="M2743" s="159">
        <v>0</v>
      </c>
      <c r="N2743" s="157">
        <v>0</v>
      </c>
      <c r="O2743" s="82">
        <f t="shared" si="542"/>
        <v>0</v>
      </c>
      <c r="P2743" s="160"/>
      <c r="Q2743" s="1071">
        <f t="shared" si="544"/>
        <v>0</v>
      </c>
    </row>
    <row r="2744" spans="9:17" ht="13.9" x14ac:dyDescent="0.4">
      <c r="I2744" s="1073">
        <f t="shared" si="543"/>
        <v>0</v>
      </c>
      <c r="J2744" s="159" t="s">
        <v>19</v>
      </c>
      <c r="K2744" s="160"/>
      <c r="L2744" s="160"/>
      <c r="M2744" s="159">
        <v>0</v>
      </c>
      <c r="N2744" s="157">
        <v>0</v>
      </c>
      <c r="O2744" s="82">
        <f t="shared" si="542"/>
        <v>0</v>
      </c>
      <c r="P2744" s="160"/>
      <c r="Q2744" s="1071">
        <f t="shared" si="544"/>
        <v>0</v>
      </c>
    </row>
    <row r="2745" spans="9:17" ht="13.9" x14ac:dyDescent="0.4">
      <c r="I2745" s="1073">
        <f t="shared" si="543"/>
        <v>0</v>
      </c>
      <c r="J2745" s="159" t="s">
        <v>19</v>
      </c>
      <c r="K2745" s="160"/>
      <c r="L2745" s="160"/>
      <c r="M2745" s="159">
        <v>0</v>
      </c>
      <c r="N2745" s="157">
        <v>0</v>
      </c>
      <c r="O2745" s="82">
        <f t="shared" si="542"/>
        <v>0</v>
      </c>
      <c r="P2745" s="160"/>
      <c r="Q2745" s="1071">
        <f t="shared" si="544"/>
        <v>0</v>
      </c>
    </row>
    <row r="2746" spans="9:17" ht="13.9" x14ac:dyDescent="0.4">
      <c r="I2746" s="1073">
        <f t="shared" si="543"/>
        <v>0</v>
      </c>
      <c r="J2746" s="159" t="s">
        <v>19</v>
      </c>
      <c r="K2746" s="160"/>
      <c r="L2746" s="160"/>
      <c r="M2746" s="159">
        <v>0</v>
      </c>
      <c r="N2746" s="157">
        <v>0</v>
      </c>
      <c r="O2746" s="82">
        <f t="shared" si="542"/>
        <v>0</v>
      </c>
      <c r="P2746" s="160"/>
      <c r="Q2746" s="1071">
        <f t="shared" si="544"/>
        <v>0</v>
      </c>
    </row>
    <row r="2747" spans="9:17" ht="13.9" x14ac:dyDescent="0.4">
      <c r="I2747" s="1073">
        <f t="shared" si="543"/>
        <v>0</v>
      </c>
      <c r="J2747" s="159" t="s">
        <v>19</v>
      </c>
      <c r="K2747" s="160"/>
      <c r="L2747" s="160"/>
      <c r="M2747" s="159">
        <v>0</v>
      </c>
      <c r="N2747" s="157">
        <v>0</v>
      </c>
      <c r="O2747" s="82">
        <f t="shared" si="542"/>
        <v>0</v>
      </c>
      <c r="P2747" s="160"/>
      <c r="Q2747" s="1071">
        <f t="shared" si="544"/>
        <v>0</v>
      </c>
    </row>
    <row r="2748" spans="9:17" ht="13.9" x14ac:dyDescent="0.4">
      <c r="I2748" s="1071"/>
      <c r="J2748" s="86" t="s">
        <v>22</v>
      </c>
      <c r="K2748" s="86"/>
      <c r="L2748" s="86"/>
      <c r="M2748" s="81"/>
      <c r="N2748" s="87"/>
      <c r="O2748" s="88">
        <f>SUM(O2734:O2747)</f>
        <v>106.3005625</v>
      </c>
      <c r="P2748" s="86"/>
      <c r="Q2748" s="1071"/>
    </row>
    <row r="2749" spans="9:17" ht="13.9" x14ac:dyDescent="0.4">
      <c r="I2749" s="1071"/>
      <c r="J2749" s="83"/>
      <c r="K2749" s="83"/>
      <c r="L2749" s="83"/>
      <c r="M2749" s="83"/>
      <c r="N2749" s="84"/>
      <c r="O2749" s="83"/>
      <c r="P2749" s="83"/>
      <c r="Q2749" s="1071"/>
    </row>
    <row r="2750" spans="9:17" ht="13.9" x14ac:dyDescent="0.4">
      <c r="I2750" s="1071"/>
      <c r="J2750" s="78" t="s">
        <v>20</v>
      </c>
      <c r="K2750" s="78"/>
      <c r="L2750" s="78"/>
      <c r="M2750" s="79"/>
      <c r="N2750" s="85"/>
      <c r="O2750" s="79"/>
      <c r="P2750" s="78"/>
      <c r="Q2750" s="1071"/>
    </row>
    <row r="2751" spans="9:17" ht="13.9" x14ac:dyDescent="0.4">
      <c r="I2751" s="1071"/>
      <c r="J2751" s="80" t="s">
        <v>212</v>
      </c>
      <c r="K2751" s="80" t="s">
        <v>838</v>
      </c>
      <c r="L2751" s="80" t="s">
        <v>2</v>
      </c>
      <c r="M2751" s="80" t="s">
        <v>21</v>
      </c>
      <c r="N2751" s="80" t="s">
        <v>174</v>
      </c>
      <c r="O2751" s="80" t="s">
        <v>14</v>
      </c>
      <c r="P2751" s="80" t="s">
        <v>890</v>
      </c>
      <c r="Q2751" s="1071"/>
    </row>
    <row r="2752" spans="9:17" ht="13.9" x14ac:dyDescent="0.4">
      <c r="I2752" s="1073">
        <f>IF($A$1=45,I2747+1,0)</f>
        <v>0</v>
      </c>
      <c r="J2752" s="159" t="str">
        <f>A4_Chem_Prices!H19</f>
        <v>Tenchu</v>
      </c>
      <c r="K2752" s="160"/>
      <c r="L2752" s="160" t="str">
        <f>A4_Chem_Prices!I19</f>
        <v>oz</v>
      </c>
      <c r="M2752" s="159">
        <f>A4_Chem_Prices!J19</f>
        <v>1.1299999999999999</v>
      </c>
      <c r="N2752" s="157">
        <v>8</v>
      </c>
      <c r="O2752" s="82">
        <f t="shared" ref="O2752:O2761" si="545">M2752*N2752</f>
        <v>9.0399999999999991</v>
      </c>
      <c r="P2752" s="160"/>
      <c r="Q2752" s="1071">
        <f>Q2734</f>
        <v>0</v>
      </c>
    </row>
    <row r="2753" spans="9:17" ht="13.9" x14ac:dyDescent="0.4">
      <c r="I2753" s="1073">
        <f t="shared" ref="I2753:I2761" si="546">IF($A$1=45,I2752+1,0)</f>
        <v>0</v>
      </c>
      <c r="J2753" s="159" t="s">
        <v>19</v>
      </c>
      <c r="K2753" s="160"/>
      <c r="L2753" s="160"/>
      <c r="M2753" s="159">
        <v>0</v>
      </c>
      <c r="N2753" s="157">
        <v>0</v>
      </c>
      <c r="O2753" s="82">
        <f t="shared" si="545"/>
        <v>0</v>
      </c>
      <c r="P2753" s="160"/>
      <c r="Q2753" s="1071">
        <f>Q2752</f>
        <v>0</v>
      </c>
    </row>
    <row r="2754" spans="9:17" ht="13.9" x14ac:dyDescent="0.4">
      <c r="I2754" s="1073">
        <f t="shared" si="546"/>
        <v>0</v>
      </c>
      <c r="J2754" s="159" t="s">
        <v>19</v>
      </c>
      <c r="K2754" s="160"/>
      <c r="L2754" s="160"/>
      <c r="M2754" s="159">
        <v>0</v>
      </c>
      <c r="N2754" s="157">
        <v>0</v>
      </c>
      <c r="O2754" s="82">
        <f t="shared" si="545"/>
        <v>0</v>
      </c>
      <c r="P2754" s="160"/>
      <c r="Q2754" s="1071">
        <f t="shared" ref="Q2754:Q2761" si="547">Q2753</f>
        <v>0</v>
      </c>
    </row>
    <row r="2755" spans="9:17" ht="13.9" x14ac:dyDescent="0.4">
      <c r="I2755" s="1073">
        <f t="shared" si="546"/>
        <v>0</v>
      </c>
      <c r="J2755" s="159" t="s">
        <v>19</v>
      </c>
      <c r="K2755" s="160"/>
      <c r="L2755" s="160"/>
      <c r="M2755" s="159">
        <v>0</v>
      </c>
      <c r="N2755" s="157">
        <v>0</v>
      </c>
      <c r="O2755" s="82">
        <f t="shared" si="545"/>
        <v>0</v>
      </c>
      <c r="P2755" s="160"/>
      <c r="Q2755" s="1071">
        <f t="shared" si="547"/>
        <v>0</v>
      </c>
    </row>
    <row r="2756" spans="9:17" ht="13.9" x14ac:dyDescent="0.4">
      <c r="I2756" s="1073">
        <f t="shared" si="546"/>
        <v>0</v>
      </c>
      <c r="J2756" s="159" t="s">
        <v>19</v>
      </c>
      <c r="K2756" s="160"/>
      <c r="L2756" s="160"/>
      <c r="M2756" s="159">
        <v>0</v>
      </c>
      <c r="N2756" s="157">
        <v>0</v>
      </c>
      <c r="O2756" s="82">
        <f t="shared" si="545"/>
        <v>0</v>
      </c>
      <c r="P2756" s="158"/>
      <c r="Q2756" s="1071">
        <f t="shared" si="547"/>
        <v>0</v>
      </c>
    </row>
    <row r="2757" spans="9:17" ht="13.9" x14ac:dyDescent="0.4">
      <c r="I2757" s="1073">
        <f t="shared" si="546"/>
        <v>0</v>
      </c>
      <c r="J2757" s="159" t="s">
        <v>19</v>
      </c>
      <c r="K2757" s="160"/>
      <c r="L2757" s="160"/>
      <c r="M2757" s="159">
        <v>0</v>
      </c>
      <c r="N2757" s="157">
        <v>0</v>
      </c>
      <c r="O2757" s="82">
        <f t="shared" si="545"/>
        <v>0</v>
      </c>
      <c r="P2757" s="158"/>
      <c r="Q2757" s="1071">
        <f t="shared" si="547"/>
        <v>0</v>
      </c>
    </row>
    <row r="2758" spans="9:17" ht="13.9" x14ac:dyDescent="0.4">
      <c r="I2758" s="1073">
        <f t="shared" si="546"/>
        <v>0</v>
      </c>
      <c r="J2758" s="159" t="s">
        <v>19</v>
      </c>
      <c r="K2758" s="160"/>
      <c r="L2758" s="160"/>
      <c r="M2758" s="159">
        <v>0</v>
      </c>
      <c r="N2758" s="157">
        <v>0</v>
      </c>
      <c r="O2758" s="82">
        <f t="shared" si="545"/>
        <v>0</v>
      </c>
      <c r="P2758" s="158"/>
      <c r="Q2758" s="1071">
        <f t="shared" si="547"/>
        <v>0</v>
      </c>
    </row>
    <row r="2759" spans="9:17" ht="13.9" x14ac:dyDescent="0.4">
      <c r="I2759" s="1073">
        <f t="shared" si="546"/>
        <v>0</v>
      </c>
      <c r="J2759" s="159" t="s">
        <v>19</v>
      </c>
      <c r="K2759" s="160"/>
      <c r="L2759" s="160"/>
      <c r="M2759" s="159">
        <v>0</v>
      </c>
      <c r="N2759" s="157">
        <v>0</v>
      </c>
      <c r="O2759" s="82">
        <f t="shared" si="545"/>
        <v>0</v>
      </c>
      <c r="P2759" s="158"/>
      <c r="Q2759" s="1071">
        <f t="shared" si="547"/>
        <v>0</v>
      </c>
    </row>
    <row r="2760" spans="9:17" ht="13.9" x14ac:dyDescent="0.4">
      <c r="I2760" s="1073">
        <f t="shared" si="546"/>
        <v>0</v>
      </c>
      <c r="J2760" s="159" t="s">
        <v>19</v>
      </c>
      <c r="K2760" s="160"/>
      <c r="L2760" s="160"/>
      <c r="M2760" s="159">
        <v>0</v>
      </c>
      <c r="N2760" s="157">
        <v>0</v>
      </c>
      <c r="O2760" s="82">
        <f t="shared" si="545"/>
        <v>0</v>
      </c>
      <c r="P2760" s="158"/>
      <c r="Q2760" s="1071">
        <f t="shared" si="547"/>
        <v>0</v>
      </c>
    </row>
    <row r="2761" spans="9:17" ht="13.9" x14ac:dyDescent="0.4">
      <c r="I2761" s="1073">
        <f t="shared" si="546"/>
        <v>0</v>
      </c>
      <c r="J2761" s="159" t="s">
        <v>19</v>
      </c>
      <c r="K2761" s="160"/>
      <c r="L2761" s="160"/>
      <c r="M2761" s="159">
        <v>0</v>
      </c>
      <c r="N2761" s="157">
        <v>0</v>
      </c>
      <c r="O2761" s="82">
        <f t="shared" si="545"/>
        <v>0</v>
      </c>
      <c r="P2761" s="158"/>
      <c r="Q2761" s="1071">
        <f t="shared" si="547"/>
        <v>0</v>
      </c>
    </row>
    <row r="2762" spans="9:17" ht="13.9" x14ac:dyDescent="0.4">
      <c r="I2762" s="1071"/>
      <c r="J2762" s="86" t="s">
        <v>22</v>
      </c>
      <c r="K2762" s="86"/>
      <c r="L2762" s="86"/>
      <c r="M2762" s="81"/>
      <c r="N2762" s="87"/>
      <c r="O2762" s="88">
        <f>SUM(O2752:O2761)</f>
        <v>9.0399999999999991</v>
      </c>
      <c r="P2762" s="86"/>
      <c r="Q2762" s="1071"/>
    </row>
    <row r="2763" spans="9:17" ht="13.9" x14ac:dyDescent="0.4">
      <c r="I2763" s="1071"/>
      <c r="J2763" s="83"/>
      <c r="K2763" s="83"/>
      <c r="L2763" s="83"/>
      <c r="M2763" s="83"/>
      <c r="N2763" s="84"/>
      <c r="O2763" s="83"/>
      <c r="P2763" s="83"/>
      <c r="Q2763" s="1071"/>
    </row>
    <row r="2764" spans="9:17" ht="13.9" x14ac:dyDescent="0.4">
      <c r="I2764" s="1071"/>
      <c r="J2764" s="78" t="str">
        <f>IF(OR(A2_Budget_Look_Up!$B$7=1,A2_Budget_Look_Up!$B$13=1),"Nematicide Detail", "Fungicide Detail")</f>
        <v>Fungicide Detail</v>
      </c>
      <c r="K2764" s="78"/>
      <c r="L2764" s="78"/>
      <c r="M2764" s="79"/>
      <c r="N2764" s="85"/>
      <c r="O2764" s="79"/>
      <c r="P2764" s="78"/>
      <c r="Q2764" s="1071"/>
    </row>
    <row r="2765" spans="9:17" ht="13.9" x14ac:dyDescent="0.4">
      <c r="I2765" s="1071"/>
      <c r="J2765" s="80" t="s">
        <v>212</v>
      </c>
      <c r="K2765" s="80" t="s">
        <v>838</v>
      </c>
      <c r="L2765" s="80" t="s">
        <v>2</v>
      </c>
      <c r="M2765" s="80" t="s">
        <v>21</v>
      </c>
      <c r="N2765" s="80" t="s">
        <v>174</v>
      </c>
      <c r="O2765" s="80" t="s">
        <v>14</v>
      </c>
      <c r="P2765" s="80" t="s">
        <v>890</v>
      </c>
      <c r="Q2765" s="1071"/>
    </row>
    <row r="2766" spans="9:17" ht="13.9" x14ac:dyDescent="0.4">
      <c r="I2766" s="1073">
        <f>IF($A$1=45,I2761+1,0)</f>
        <v>0</v>
      </c>
      <c r="J2766" s="156" t="str">
        <f>A4_Chem_Prices!H33</f>
        <v>Aframe Plus</v>
      </c>
      <c r="K2766" s="158"/>
      <c r="L2766" s="158" t="str">
        <f>A4_Chem_Prices!I33</f>
        <v>oz</v>
      </c>
      <c r="M2766" s="159">
        <f>A4_Chem_Prices!J33</f>
        <v>0.5390625</v>
      </c>
      <c r="N2766" s="157">
        <v>21</v>
      </c>
      <c r="O2766" s="82">
        <f>M2766*N2766</f>
        <v>11.3203125</v>
      </c>
      <c r="P2766" s="158"/>
      <c r="Q2766" s="1071">
        <f>Q2761</f>
        <v>0</v>
      </c>
    </row>
    <row r="2767" spans="9:17" ht="13.9" x14ac:dyDescent="0.4">
      <c r="I2767" s="1073">
        <f>IF($A$1=45,I2766+1,0)</f>
        <v>0</v>
      </c>
      <c r="J2767" s="156" t="s">
        <v>19</v>
      </c>
      <c r="K2767" s="158"/>
      <c r="L2767" s="158"/>
      <c r="M2767" s="159">
        <v>0</v>
      </c>
      <c r="N2767" s="157">
        <v>0</v>
      </c>
      <c r="O2767" s="82">
        <f>M2767*N2767</f>
        <v>0</v>
      </c>
      <c r="P2767" s="158"/>
      <c r="Q2767" s="1071">
        <f>Q2766</f>
        <v>0</v>
      </c>
    </row>
    <row r="2768" spans="9:17" ht="13.9" x14ac:dyDescent="0.4">
      <c r="I2768" s="1071"/>
      <c r="J2768" s="86" t="s">
        <v>22</v>
      </c>
      <c r="K2768" s="86"/>
      <c r="L2768" s="86"/>
      <c r="M2768" s="81"/>
      <c r="N2768" s="87"/>
      <c r="O2768" s="88">
        <f>SUM(O2766:O2767)</f>
        <v>11.3203125</v>
      </c>
      <c r="P2768" s="86"/>
      <c r="Q2768" s="1071"/>
    </row>
    <row r="2770" spans="9:17" ht="13.9" x14ac:dyDescent="0.4">
      <c r="I2770" s="1071"/>
      <c r="J2770" s="78" t="str">
        <f>IF(A2_Budget_Look_Up!$B$7=1,"Growth Regulator Detail", IF(A2_Budget_Look_Up!$B$13=1,"Fungicide Detail","Other Chemical Detail"))</f>
        <v>Other Chemical Detail</v>
      </c>
      <c r="K2770" s="78"/>
      <c r="L2770" s="78"/>
      <c r="M2770" s="79"/>
      <c r="N2770" s="85"/>
      <c r="O2770" s="79"/>
      <c r="P2770" s="78"/>
      <c r="Q2770" s="1071"/>
    </row>
    <row r="2771" spans="9:17" ht="13.9" x14ac:dyDescent="0.4">
      <c r="I2771" s="1071"/>
      <c r="J2771" s="80" t="s">
        <v>212</v>
      </c>
      <c r="K2771" s="80" t="s">
        <v>838</v>
      </c>
      <c r="L2771" s="80" t="s">
        <v>2</v>
      </c>
      <c r="M2771" s="80" t="s">
        <v>21</v>
      </c>
      <c r="N2771" s="80" t="s">
        <v>174</v>
      </c>
      <c r="O2771" s="80" t="s">
        <v>14</v>
      </c>
      <c r="P2771" s="80" t="s">
        <v>890</v>
      </c>
      <c r="Q2771" s="1071"/>
    </row>
    <row r="2772" spans="9:17" ht="13.9" x14ac:dyDescent="0.4">
      <c r="I2772" s="1073">
        <f>IF($A$1=45,I2767+1,0)</f>
        <v>0</v>
      </c>
      <c r="J2772" s="156" t="s">
        <v>19</v>
      </c>
      <c r="K2772" s="158"/>
      <c r="L2772" s="158"/>
      <c r="M2772" s="159">
        <v>0</v>
      </c>
      <c r="N2772" s="157">
        <v>0</v>
      </c>
      <c r="O2772" s="82">
        <f t="shared" ref="O2772:O2778" si="548">M2772*N2772</f>
        <v>0</v>
      </c>
      <c r="P2772" s="160"/>
      <c r="Q2772" s="1071">
        <f>Q2767</f>
        <v>0</v>
      </c>
    </row>
    <row r="2773" spans="9:17" ht="13.9" x14ac:dyDescent="0.4">
      <c r="I2773" s="1073">
        <f t="shared" ref="I2773:I2778" si="549">IF($A$1=45,I2772+1,0)</f>
        <v>0</v>
      </c>
      <c r="J2773" s="156" t="s">
        <v>19</v>
      </c>
      <c r="K2773" s="158"/>
      <c r="L2773" s="158"/>
      <c r="M2773" s="159">
        <v>0</v>
      </c>
      <c r="N2773" s="157">
        <v>0</v>
      </c>
      <c r="O2773" s="82">
        <f t="shared" si="548"/>
        <v>0</v>
      </c>
      <c r="P2773" s="160"/>
      <c r="Q2773" s="1071">
        <f t="shared" ref="Q2773:Q2778" si="550">Q2772</f>
        <v>0</v>
      </c>
    </row>
    <row r="2774" spans="9:17" ht="13.9" x14ac:dyDescent="0.4">
      <c r="I2774" s="1073">
        <f t="shared" si="549"/>
        <v>0</v>
      </c>
      <c r="J2774" s="156" t="s">
        <v>19</v>
      </c>
      <c r="K2774" s="158"/>
      <c r="L2774" s="158"/>
      <c r="M2774" s="159">
        <v>0</v>
      </c>
      <c r="N2774" s="157">
        <v>0</v>
      </c>
      <c r="O2774" s="82">
        <f t="shared" si="548"/>
        <v>0</v>
      </c>
      <c r="P2774" s="160"/>
      <c r="Q2774" s="1071">
        <f t="shared" si="550"/>
        <v>0</v>
      </c>
    </row>
    <row r="2775" spans="9:17" ht="13.9" x14ac:dyDescent="0.4">
      <c r="I2775" s="1073">
        <f t="shared" si="549"/>
        <v>0</v>
      </c>
      <c r="J2775" s="156" t="s">
        <v>19</v>
      </c>
      <c r="K2775" s="158"/>
      <c r="L2775" s="158"/>
      <c r="M2775" s="159">
        <v>0</v>
      </c>
      <c r="N2775" s="157">
        <v>0</v>
      </c>
      <c r="O2775" s="82">
        <f t="shared" si="548"/>
        <v>0</v>
      </c>
      <c r="P2775" s="158"/>
      <c r="Q2775" s="1071">
        <f t="shared" si="550"/>
        <v>0</v>
      </c>
    </row>
    <row r="2776" spans="9:17" ht="13.9" x14ac:dyDescent="0.4">
      <c r="I2776" s="1073">
        <f t="shared" si="549"/>
        <v>0</v>
      </c>
      <c r="J2776" s="156" t="s">
        <v>19</v>
      </c>
      <c r="K2776" s="158"/>
      <c r="L2776" s="158"/>
      <c r="M2776" s="159">
        <v>0</v>
      </c>
      <c r="N2776" s="157">
        <v>0</v>
      </c>
      <c r="O2776" s="82">
        <f t="shared" si="548"/>
        <v>0</v>
      </c>
      <c r="P2776" s="158"/>
      <c r="Q2776" s="1071">
        <f t="shared" si="550"/>
        <v>0</v>
      </c>
    </row>
    <row r="2777" spans="9:17" ht="13.9" x14ac:dyDescent="0.4">
      <c r="I2777" s="1073">
        <f t="shared" si="549"/>
        <v>0</v>
      </c>
      <c r="J2777" s="156" t="s">
        <v>19</v>
      </c>
      <c r="K2777" s="158"/>
      <c r="L2777" s="158"/>
      <c r="M2777" s="159">
        <v>0</v>
      </c>
      <c r="N2777" s="157">
        <v>0</v>
      </c>
      <c r="O2777" s="82">
        <f t="shared" si="548"/>
        <v>0</v>
      </c>
      <c r="P2777" s="158"/>
      <c r="Q2777" s="1071">
        <f t="shared" si="550"/>
        <v>0</v>
      </c>
    </row>
    <row r="2778" spans="9:17" ht="13.9" x14ac:dyDescent="0.4">
      <c r="I2778" s="1073">
        <f t="shared" si="549"/>
        <v>0</v>
      </c>
      <c r="J2778" s="156" t="s">
        <v>19</v>
      </c>
      <c r="K2778" s="158"/>
      <c r="L2778" s="158"/>
      <c r="M2778" s="159">
        <v>0</v>
      </c>
      <c r="N2778" s="157">
        <v>0</v>
      </c>
      <c r="O2778" s="82">
        <f t="shared" si="548"/>
        <v>0</v>
      </c>
      <c r="P2778" s="158"/>
      <c r="Q2778" s="1071">
        <f t="shared" si="550"/>
        <v>0</v>
      </c>
    </row>
    <row r="2779" spans="9:17" ht="13.9" x14ac:dyDescent="0.4">
      <c r="I2779" s="1071"/>
      <c r="J2779" s="86" t="s">
        <v>22</v>
      </c>
      <c r="K2779" s="86"/>
      <c r="L2779" s="86"/>
      <c r="M2779" s="81"/>
      <c r="N2779" s="87"/>
      <c r="O2779" s="88">
        <f>SUM(O2772:O2778)</f>
        <v>0</v>
      </c>
      <c r="P2779" s="86"/>
      <c r="Q2779" s="1071"/>
    </row>
    <row r="2780" spans="9:17" ht="13.9" x14ac:dyDescent="0.4">
      <c r="I2780" s="1071"/>
      <c r="J2780" s="83"/>
      <c r="K2780" s="83"/>
      <c r="L2780" s="83"/>
      <c r="M2780" s="83"/>
      <c r="N2780" s="84"/>
      <c r="O2780" s="83"/>
      <c r="P2780" s="83"/>
      <c r="Q2780" s="1071"/>
    </row>
    <row r="2781" spans="9:17" ht="13.9" x14ac:dyDescent="0.4">
      <c r="I2781" s="1071"/>
      <c r="J2781" s="78" t="str">
        <f>IF(A2_Budget_Look_Up!$B$7=1,"Defoliant Detail", "Other Chemical Detail")</f>
        <v>Other Chemical Detail</v>
      </c>
      <c r="K2781" s="78"/>
      <c r="L2781" s="78"/>
      <c r="M2781" s="79"/>
      <c r="N2781" s="85"/>
      <c r="O2781" s="79"/>
      <c r="P2781" s="78"/>
      <c r="Q2781" s="1071"/>
    </row>
    <row r="2782" spans="9:17" ht="13.9" x14ac:dyDescent="0.4">
      <c r="I2782" s="1071"/>
      <c r="J2782" s="80" t="s">
        <v>212</v>
      </c>
      <c r="K2782" s="80" t="s">
        <v>838</v>
      </c>
      <c r="L2782" s="80" t="s">
        <v>2</v>
      </c>
      <c r="M2782" s="80" t="s">
        <v>21</v>
      </c>
      <c r="N2782" s="80" t="s">
        <v>174</v>
      </c>
      <c r="O2782" s="80" t="s">
        <v>14</v>
      </c>
      <c r="P2782" s="80" t="s">
        <v>890</v>
      </c>
      <c r="Q2782" s="1071"/>
    </row>
    <row r="2783" spans="9:17" ht="13.9" x14ac:dyDescent="0.4">
      <c r="I2783" s="1073">
        <f>IF($A$1=45,I2778+1,0)</f>
        <v>0</v>
      </c>
      <c r="J2783" s="156" t="s">
        <v>19</v>
      </c>
      <c r="K2783" s="158"/>
      <c r="L2783" s="158"/>
      <c r="M2783" s="159">
        <v>0</v>
      </c>
      <c r="N2783" s="157">
        <v>0</v>
      </c>
      <c r="O2783" s="82">
        <f t="shared" ref="O2783:O2789" si="551">M2783*N2783</f>
        <v>0</v>
      </c>
      <c r="P2783" s="160"/>
      <c r="Q2783" s="1071">
        <f>Q2778</f>
        <v>0</v>
      </c>
    </row>
    <row r="2784" spans="9:17" ht="13.9" x14ac:dyDescent="0.4">
      <c r="I2784" s="1073">
        <f t="shared" ref="I2784:I2789" si="552">IF($A$1=45,I2783+1,0)</f>
        <v>0</v>
      </c>
      <c r="J2784" s="156" t="s">
        <v>19</v>
      </c>
      <c r="K2784" s="158"/>
      <c r="L2784" s="158"/>
      <c r="M2784" s="159">
        <v>0</v>
      </c>
      <c r="N2784" s="157">
        <v>0</v>
      </c>
      <c r="O2784" s="82">
        <f t="shared" si="551"/>
        <v>0</v>
      </c>
      <c r="P2784" s="160"/>
      <c r="Q2784" s="1071">
        <f t="shared" ref="Q2784:Q2789" si="553">Q2783</f>
        <v>0</v>
      </c>
    </row>
    <row r="2785" spans="9:17" ht="13.9" x14ac:dyDescent="0.4">
      <c r="I2785" s="1073">
        <f t="shared" si="552"/>
        <v>0</v>
      </c>
      <c r="J2785" s="156" t="s">
        <v>19</v>
      </c>
      <c r="K2785" s="158"/>
      <c r="L2785" s="158"/>
      <c r="M2785" s="159">
        <v>0</v>
      </c>
      <c r="N2785" s="157">
        <v>0</v>
      </c>
      <c r="O2785" s="82">
        <f t="shared" si="551"/>
        <v>0</v>
      </c>
      <c r="P2785" s="160"/>
      <c r="Q2785" s="1071">
        <f t="shared" si="553"/>
        <v>0</v>
      </c>
    </row>
    <row r="2786" spans="9:17" ht="13.9" x14ac:dyDescent="0.4">
      <c r="I2786" s="1073">
        <f t="shared" si="552"/>
        <v>0</v>
      </c>
      <c r="J2786" s="156" t="s">
        <v>19</v>
      </c>
      <c r="K2786" s="158"/>
      <c r="L2786" s="158"/>
      <c r="M2786" s="159">
        <v>0</v>
      </c>
      <c r="N2786" s="157">
        <v>0</v>
      </c>
      <c r="O2786" s="82">
        <f t="shared" si="551"/>
        <v>0</v>
      </c>
      <c r="P2786" s="160"/>
      <c r="Q2786" s="1071">
        <f t="shared" si="553"/>
        <v>0</v>
      </c>
    </row>
    <row r="2787" spans="9:17" ht="13.9" x14ac:dyDescent="0.4">
      <c r="I2787" s="1073">
        <f t="shared" si="552"/>
        <v>0</v>
      </c>
      <c r="J2787" s="156" t="s">
        <v>19</v>
      </c>
      <c r="K2787" s="158"/>
      <c r="L2787" s="158"/>
      <c r="M2787" s="159">
        <v>0</v>
      </c>
      <c r="N2787" s="157">
        <v>0</v>
      </c>
      <c r="O2787" s="82">
        <f t="shared" si="551"/>
        <v>0</v>
      </c>
      <c r="P2787" s="160"/>
      <c r="Q2787" s="1071">
        <f t="shared" si="553"/>
        <v>0</v>
      </c>
    </row>
    <row r="2788" spans="9:17" ht="13.9" x14ac:dyDescent="0.4">
      <c r="I2788" s="1073">
        <f t="shared" si="552"/>
        <v>0</v>
      </c>
      <c r="J2788" s="156" t="s">
        <v>19</v>
      </c>
      <c r="K2788" s="158"/>
      <c r="L2788" s="158"/>
      <c r="M2788" s="159">
        <v>0</v>
      </c>
      <c r="N2788" s="157">
        <v>0</v>
      </c>
      <c r="O2788" s="82">
        <f t="shared" si="551"/>
        <v>0</v>
      </c>
      <c r="P2788" s="158"/>
      <c r="Q2788" s="1071">
        <f t="shared" si="553"/>
        <v>0</v>
      </c>
    </row>
    <row r="2789" spans="9:17" ht="13.9" x14ac:dyDescent="0.4">
      <c r="I2789" s="1073">
        <f t="shared" si="552"/>
        <v>0</v>
      </c>
      <c r="J2789" s="156" t="s">
        <v>19</v>
      </c>
      <c r="K2789" s="158"/>
      <c r="L2789" s="158"/>
      <c r="M2789" s="159">
        <v>0</v>
      </c>
      <c r="N2789" s="157">
        <v>0</v>
      </c>
      <c r="O2789" s="82">
        <f t="shared" si="551"/>
        <v>0</v>
      </c>
      <c r="P2789" s="158"/>
      <c r="Q2789" s="1071">
        <f t="shared" si="553"/>
        <v>0</v>
      </c>
    </row>
    <row r="2790" spans="9:17" ht="13.9" x14ac:dyDescent="0.4">
      <c r="I2790" s="1071"/>
      <c r="J2790" s="86" t="s">
        <v>22</v>
      </c>
      <c r="K2790" s="86"/>
      <c r="L2790" s="86"/>
      <c r="M2790" s="81"/>
      <c r="N2790" s="87"/>
      <c r="O2790" s="88">
        <f>SUM(O2783:O2789)</f>
        <v>0</v>
      </c>
      <c r="P2790" s="86"/>
      <c r="Q2790" s="1071"/>
    </row>
    <row r="2791" spans="9:17" ht="13.9" x14ac:dyDescent="0.4">
      <c r="I2791" s="1071"/>
      <c r="J2791" s="83"/>
      <c r="K2791" s="83"/>
      <c r="L2791" s="83"/>
      <c r="M2791" s="89"/>
      <c r="N2791" s="84"/>
      <c r="O2791" s="89"/>
      <c r="P2791" s="83"/>
      <c r="Q2791" s="1071"/>
    </row>
    <row r="2792" spans="9:17" ht="13.9" x14ac:dyDescent="0.4">
      <c r="I2792" s="1071"/>
      <c r="J2792" s="1168" t="str">
        <f>A2_Budget_Look_Up!H48</f>
        <v>Other3</v>
      </c>
      <c r="K2792" s="1168"/>
      <c r="L2792" s="1168">
        <f>A2_Budget_Look_Up!F48</f>
        <v>46</v>
      </c>
      <c r="M2792" s="1168"/>
      <c r="N2792" s="1168"/>
      <c r="O2792" s="1168"/>
      <c r="P2792" s="1168"/>
      <c r="Q2792" s="1071"/>
    </row>
    <row r="2793" spans="9:17" ht="13.9" x14ac:dyDescent="0.4">
      <c r="I2793" s="1071"/>
      <c r="J2793" s="83"/>
      <c r="K2793" s="83"/>
      <c r="L2793" s="83"/>
      <c r="M2793" s="83"/>
      <c r="N2793" s="84"/>
      <c r="O2793" s="83"/>
      <c r="P2793" s="83"/>
      <c r="Q2793" s="1071"/>
    </row>
    <row r="2794" spans="9:17" ht="13.9" x14ac:dyDescent="0.4">
      <c r="I2794" s="1071"/>
      <c r="J2794" s="78" t="s">
        <v>18</v>
      </c>
      <c r="K2794" s="78"/>
      <c r="L2794" s="78"/>
      <c r="M2794" s="79"/>
      <c r="N2794" s="85"/>
      <c r="O2794" s="79"/>
      <c r="P2794" s="78"/>
      <c r="Q2794" s="1071"/>
    </row>
    <row r="2795" spans="9:17" ht="13.9" x14ac:dyDescent="0.4">
      <c r="I2795" s="1071"/>
      <c r="J2795" s="80" t="s">
        <v>212</v>
      </c>
      <c r="K2795" s="80" t="s">
        <v>838</v>
      </c>
      <c r="L2795" s="80" t="s">
        <v>2</v>
      </c>
      <c r="M2795" s="80" t="s">
        <v>21</v>
      </c>
      <c r="N2795" s="80" t="s">
        <v>174</v>
      </c>
      <c r="O2795" s="80" t="s">
        <v>14</v>
      </c>
      <c r="P2795" s="80" t="s">
        <v>890</v>
      </c>
      <c r="Q2795" s="1071"/>
    </row>
    <row r="2796" spans="9:17" ht="13.9" x14ac:dyDescent="0.4">
      <c r="I2796" s="1073">
        <f>IF($A$1=46,1,0)</f>
        <v>0</v>
      </c>
      <c r="J2796" s="159" t="s">
        <v>19</v>
      </c>
      <c r="K2796" s="165"/>
      <c r="L2796" s="158"/>
      <c r="M2796" s="159">
        <v>0</v>
      </c>
      <c r="N2796" s="159">
        <v>0</v>
      </c>
      <c r="O2796" s="82">
        <f t="shared" ref="O2796:O2809" si="554">M2796*N2796</f>
        <v>0</v>
      </c>
      <c r="P2796" s="160"/>
      <c r="Q2796" s="1171">
        <f>IF(SUM(I2796:I2851)=820,L2792,0)</f>
        <v>0</v>
      </c>
    </row>
    <row r="2797" spans="9:17" ht="13.9" x14ac:dyDescent="0.4">
      <c r="I2797" s="1073">
        <f t="shared" ref="I2797:I2809" si="555">IF($A$1=46,I2796+1,0)</f>
        <v>0</v>
      </c>
      <c r="J2797" s="159" t="s">
        <v>19</v>
      </c>
      <c r="K2797" s="165"/>
      <c r="L2797" s="158"/>
      <c r="M2797" s="159">
        <v>0</v>
      </c>
      <c r="N2797" s="159">
        <v>0</v>
      </c>
      <c r="O2797" s="82">
        <f t="shared" si="554"/>
        <v>0</v>
      </c>
      <c r="P2797" s="160"/>
      <c r="Q2797" s="1071">
        <f>Q2796</f>
        <v>0</v>
      </c>
    </row>
    <row r="2798" spans="9:17" ht="13.9" x14ac:dyDescent="0.4">
      <c r="I2798" s="1073">
        <f t="shared" si="555"/>
        <v>0</v>
      </c>
      <c r="J2798" s="159" t="s">
        <v>19</v>
      </c>
      <c r="K2798" s="165"/>
      <c r="L2798" s="160"/>
      <c r="M2798" s="159">
        <v>0</v>
      </c>
      <c r="N2798" s="157">
        <v>0</v>
      </c>
      <c r="O2798" s="82">
        <f t="shared" si="554"/>
        <v>0</v>
      </c>
      <c r="P2798" s="160"/>
      <c r="Q2798" s="1071">
        <f t="shared" ref="Q2798:Q2809" si="556">Q2797</f>
        <v>0</v>
      </c>
    </row>
    <row r="2799" spans="9:17" ht="13.9" x14ac:dyDescent="0.4">
      <c r="I2799" s="1073">
        <f t="shared" si="555"/>
        <v>0</v>
      </c>
      <c r="J2799" s="159" t="s">
        <v>19</v>
      </c>
      <c r="K2799" s="165"/>
      <c r="L2799" s="158"/>
      <c r="M2799" s="159">
        <v>0</v>
      </c>
      <c r="N2799" s="157">
        <v>0</v>
      </c>
      <c r="O2799" s="82">
        <f t="shared" si="554"/>
        <v>0</v>
      </c>
      <c r="P2799" s="160"/>
      <c r="Q2799" s="1071">
        <f t="shared" si="556"/>
        <v>0</v>
      </c>
    </row>
    <row r="2800" spans="9:17" ht="13.9" x14ac:dyDescent="0.4">
      <c r="I2800" s="1073">
        <f t="shared" si="555"/>
        <v>0</v>
      </c>
      <c r="J2800" s="159" t="s">
        <v>19</v>
      </c>
      <c r="K2800" s="165"/>
      <c r="L2800" s="160"/>
      <c r="M2800" s="159">
        <v>0</v>
      </c>
      <c r="N2800" s="157">
        <v>0</v>
      </c>
      <c r="O2800" s="82">
        <f t="shared" si="554"/>
        <v>0</v>
      </c>
      <c r="P2800" s="160"/>
      <c r="Q2800" s="1071">
        <f t="shared" si="556"/>
        <v>0</v>
      </c>
    </row>
    <row r="2801" spans="9:17" ht="13.9" x14ac:dyDescent="0.4">
      <c r="I2801" s="1073">
        <f t="shared" si="555"/>
        <v>0</v>
      </c>
      <c r="J2801" s="159" t="s">
        <v>19</v>
      </c>
      <c r="K2801" s="165"/>
      <c r="L2801" s="160"/>
      <c r="M2801" s="159">
        <v>0</v>
      </c>
      <c r="N2801" s="157">
        <v>0</v>
      </c>
      <c r="O2801" s="82">
        <f t="shared" si="554"/>
        <v>0</v>
      </c>
      <c r="P2801" s="160"/>
      <c r="Q2801" s="1071">
        <f t="shared" si="556"/>
        <v>0</v>
      </c>
    </row>
    <row r="2802" spans="9:17" ht="13.9" x14ac:dyDescent="0.4">
      <c r="I2802" s="1073">
        <f t="shared" si="555"/>
        <v>0</v>
      </c>
      <c r="J2802" s="159" t="s">
        <v>19</v>
      </c>
      <c r="K2802" s="165"/>
      <c r="L2802" s="160"/>
      <c r="M2802" s="159">
        <v>0</v>
      </c>
      <c r="N2802" s="157">
        <v>0</v>
      </c>
      <c r="O2802" s="82">
        <f t="shared" si="554"/>
        <v>0</v>
      </c>
      <c r="P2802" s="160"/>
      <c r="Q2802" s="1071">
        <f t="shared" si="556"/>
        <v>0</v>
      </c>
    </row>
    <row r="2803" spans="9:17" ht="13.9" x14ac:dyDescent="0.4">
      <c r="I2803" s="1073">
        <f t="shared" si="555"/>
        <v>0</v>
      </c>
      <c r="J2803" s="159" t="s">
        <v>19</v>
      </c>
      <c r="K2803" s="165"/>
      <c r="L2803" s="160"/>
      <c r="M2803" s="159">
        <v>0</v>
      </c>
      <c r="N2803" s="157">
        <v>0</v>
      </c>
      <c r="O2803" s="82">
        <f t="shared" si="554"/>
        <v>0</v>
      </c>
      <c r="P2803" s="160"/>
      <c r="Q2803" s="1071">
        <f t="shared" si="556"/>
        <v>0</v>
      </c>
    </row>
    <row r="2804" spans="9:17" ht="13.9" x14ac:dyDescent="0.4">
      <c r="I2804" s="1073">
        <f t="shared" si="555"/>
        <v>0</v>
      </c>
      <c r="J2804" s="159" t="s">
        <v>19</v>
      </c>
      <c r="K2804" s="165"/>
      <c r="L2804" s="160"/>
      <c r="M2804" s="159">
        <v>0</v>
      </c>
      <c r="N2804" s="157">
        <v>0</v>
      </c>
      <c r="O2804" s="82">
        <f t="shared" si="554"/>
        <v>0</v>
      </c>
      <c r="P2804" s="160"/>
      <c r="Q2804" s="1071">
        <f t="shared" si="556"/>
        <v>0</v>
      </c>
    </row>
    <row r="2805" spans="9:17" ht="13.9" x14ac:dyDescent="0.4">
      <c r="I2805" s="1073">
        <f t="shared" si="555"/>
        <v>0</v>
      </c>
      <c r="J2805" s="159" t="s">
        <v>19</v>
      </c>
      <c r="K2805" s="165"/>
      <c r="L2805" s="160"/>
      <c r="M2805" s="159">
        <v>0</v>
      </c>
      <c r="N2805" s="157">
        <v>0</v>
      </c>
      <c r="O2805" s="82">
        <f t="shared" si="554"/>
        <v>0</v>
      </c>
      <c r="P2805" s="160"/>
      <c r="Q2805" s="1071">
        <f t="shared" si="556"/>
        <v>0</v>
      </c>
    </row>
    <row r="2806" spans="9:17" ht="13.9" x14ac:dyDescent="0.4">
      <c r="I2806" s="1073">
        <f t="shared" si="555"/>
        <v>0</v>
      </c>
      <c r="J2806" s="159" t="s">
        <v>19</v>
      </c>
      <c r="K2806" s="160"/>
      <c r="L2806" s="160"/>
      <c r="M2806" s="159">
        <v>0</v>
      </c>
      <c r="N2806" s="157">
        <v>0</v>
      </c>
      <c r="O2806" s="82">
        <f t="shared" si="554"/>
        <v>0</v>
      </c>
      <c r="P2806" s="160"/>
      <c r="Q2806" s="1071">
        <f t="shared" si="556"/>
        <v>0</v>
      </c>
    </row>
    <row r="2807" spans="9:17" ht="13.9" x14ac:dyDescent="0.4">
      <c r="I2807" s="1073">
        <f t="shared" si="555"/>
        <v>0</v>
      </c>
      <c r="J2807" s="159" t="s">
        <v>19</v>
      </c>
      <c r="K2807" s="160"/>
      <c r="L2807" s="160"/>
      <c r="M2807" s="159">
        <v>0</v>
      </c>
      <c r="N2807" s="157">
        <v>0</v>
      </c>
      <c r="O2807" s="82">
        <f t="shared" si="554"/>
        <v>0</v>
      </c>
      <c r="P2807" s="160"/>
      <c r="Q2807" s="1071">
        <f t="shared" si="556"/>
        <v>0</v>
      </c>
    </row>
    <row r="2808" spans="9:17" ht="13.9" x14ac:dyDescent="0.4">
      <c r="I2808" s="1073">
        <f t="shared" si="555"/>
        <v>0</v>
      </c>
      <c r="J2808" s="159" t="s">
        <v>19</v>
      </c>
      <c r="K2808" s="160"/>
      <c r="L2808" s="160"/>
      <c r="M2808" s="159">
        <v>0</v>
      </c>
      <c r="N2808" s="157">
        <v>0</v>
      </c>
      <c r="O2808" s="82">
        <f t="shared" si="554"/>
        <v>0</v>
      </c>
      <c r="P2808" s="160"/>
      <c r="Q2808" s="1071">
        <f t="shared" si="556"/>
        <v>0</v>
      </c>
    </row>
    <row r="2809" spans="9:17" ht="13.9" x14ac:dyDescent="0.4">
      <c r="I2809" s="1073">
        <f t="shared" si="555"/>
        <v>0</v>
      </c>
      <c r="J2809" s="159" t="s">
        <v>19</v>
      </c>
      <c r="K2809" s="160"/>
      <c r="L2809" s="160"/>
      <c r="M2809" s="159">
        <v>0</v>
      </c>
      <c r="N2809" s="157">
        <v>0</v>
      </c>
      <c r="O2809" s="82">
        <f t="shared" si="554"/>
        <v>0</v>
      </c>
      <c r="P2809" s="160"/>
      <c r="Q2809" s="1071">
        <f t="shared" si="556"/>
        <v>0</v>
      </c>
    </row>
    <row r="2810" spans="9:17" ht="13.9" x14ac:dyDescent="0.4">
      <c r="I2810" s="1071"/>
      <c r="J2810" s="86" t="s">
        <v>22</v>
      </c>
      <c r="K2810" s="86"/>
      <c r="L2810" s="86"/>
      <c r="M2810" s="81"/>
      <c r="N2810" s="87"/>
      <c r="O2810" s="88">
        <f>SUM(O2796:O2809)</f>
        <v>0</v>
      </c>
      <c r="P2810" s="86"/>
      <c r="Q2810" s="1071"/>
    </row>
    <row r="2811" spans="9:17" ht="13.9" x14ac:dyDescent="0.4">
      <c r="I2811" s="1071"/>
      <c r="J2811" s="83"/>
      <c r="K2811" s="83"/>
      <c r="L2811" s="83"/>
      <c r="M2811" s="83"/>
      <c r="N2811" s="84"/>
      <c r="O2811" s="83"/>
      <c r="P2811" s="83"/>
      <c r="Q2811" s="1071"/>
    </row>
    <row r="2812" spans="9:17" ht="13.9" x14ac:dyDescent="0.4">
      <c r="I2812" s="1071"/>
      <c r="J2812" s="78" t="s">
        <v>20</v>
      </c>
      <c r="K2812" s="78"/>
      <c r="L2812" s="78"/>
      <c r="M2812" s="79"/>
      <c r="N2812" s="85"/>
      <c r="O2812" s="79"/>
      <c r="P2812" s="78"/>
      <c r="Q2812" s="1071"/>
    </row>
    <row r="2813" spans="9:17" ht="13.9" x14ac:dyDescent="0.4">
      <c r="I2813" s="1071"/>
      <c r="J2813" s="80" t="s">
        <v>212</v>
      </c>
      <c r="K2813" s="80" t="s">
        <v>838</v>
      </c>
      <c r="L2813" s="80" t="s">
        <v>2</v>
      </c>
      <c r="M2813" s="80" t="s">
        <v>21</v>
      </c>
      <c r="N2813" s="80" t="s">
        <v>174</v>
      </c>
      <c r="O2813" s="80" t="s">
        <v>14</v>
      </c>
      <c r="P2813" s="80" t="s">
        <v>890</v>
      </c>
      <c r="Q2813" s="1071"/>
    </row>
    <row r="2814" spans="9:17" ht="13.9" x14ac:dyDescent="0.4">
      <c r="I2814" s="1073">
        <f>IF($A$1=46,I2809+1,0)</f>
        <v>0</v>
      </c>
      <c r="J2814" s="159" t="s">
        <v>19</v>
      </c>
      <c r="K2814" s="160"/>
      <c r="L2814" s="160"/>
      <c r="M2814" s="159">
        <v>0</v>
      </c>
      <c r="N2814" s="157">
        <v>0</v>
      </c>
      <c r="O2814" s="82">
        <f t="shared" ref="O2814:O2823" si="557">M2814*N2814</f>
        <v>0</v>
      </c>
      <c r="P2814" s="160"/>
      <c r="Q2814" s="1071">
        <f>Q2796</f>
        <v>0</v>
      </c>
    </row>
    <row r="2815" spans="9:17" ht="13.9" x14ac:dyDescent="0.4">
      <c r="I2815" s="1073">
        <f t="shared" ref="I2815:I2823" si="558">IF($A$1=46,I2814+1,0)</f>
        <v>0</v>
      </c>
      <c r="J2815" s="159" t="s">
        <v>19</v>
      </c>
      <c r="K2815" s="160"/>
      <c r="L2815" s="160"/>
      <c r="M2815" s="159">
        <v>0</v>
      </c>
      <c r="N2815" s="157">
        <v>0</v>
      </c>
      <c r="O2815" s="82">
        <f t="shared" si="557"/>
        <v>0</v>
      </c>
      <c r="P2815" s="160"/>
      <c r="Q2815" s="1071">
        <f>Q2814</f>
        <v>0</v>
      </c>
    </row>
    <row r="2816" spans="9:17" ht="13.9" x14ac:dyDescent="0.4">
      <c r="I2816" s="1073">
        <f t="shared" si="558"/>
        <v>0</v>
      </c>
      <c r="J2816" s="159" t="s">
        <v>19</v>
      </c>
      <c r="K2816" s="160"/>
      <c r="L2816" s="160"/>
      <c r="M2816" s="159">
        <v>0</v>
      </c>
      <c r="N2816" s="157">
        <v>0</v>
      </c>
      <c r="O2816" s="82">
        <f t="shared" si="557"/>
        <v>0</v>
      </c>
      <c r="P2816" s="160"/>
      <c r="Q2816" s="1071">
        <f t="shared" ref="Q2816:Q2823" si="559">Q2815</f>
        <v>0</v>
      </c>
    </row>
    <row r="2817" spans="9:17" ht="13.9" x14ac:dyDescent="0.4">
      <c r="I2817" s="1073">
        <f t="shared" si="558"/>
        <v>0</v>
      </c>
      <c r="J2817" s="159" t="s">
        <v>19</v>
      </c>
      <c r="K2817" s="160"/>
      <c r="L2817" s="160"/>
      <c r="M2817" s="159">
        <v>0</v>
      </c>
      <c r="N2817" s="157">
        <v>0</v>
      </c>
      <c r="O2817" s="82">
        <f t="shared" si="557"/>
        <v>0</v>
      </c>
      <c r="P2817" s="160"/>
      <c r="Q2817" s="1071">
        <f t="shared" si="559"/>
        <v>0</v>
      </c>
    </row>
    <row r="2818" spans="9:17" ht="13.9" x14ac:dyDescent="0.4">
      <c r="I2818" s="1073">
        <f t="shared" si="558"/>
        <v>0</v>
      </c>
      <c r="J2818" s="159" t="s">
        <v>19</v>
      </c>
      <c r="K2818" s="160"/>
      <c r="L2818" s="160"/>
      <c r="M2818" s="159">
        <v>0</v>
      </c>
      <c r="N2818" s="157">
        <v>0</v>
      </c>
      <c r="O2818" s="82">
        <f t="shared" si="557"/>
        <v>0</v>
      </c>
      <c r="P2818" s="158"/>
      <c r="Q2818" s="1071">
        <f t="shared" si="559"/>
        <v>0</v>
      </c>
    </row>
    <row r="2819" spans="9:17" ht="13.9" x14ac:dyDescent="0.4">
      <c r="I2819" s="1073">
        <f t="shared" si="558"/>
        <v>0</v>
      </c>
      <c r="J2819" s="159" t="s">
        <v>19</v>
      </c>
      <c r="K2819" s="160"/>
      <c r="L2819" s="160"/>
      <c r="M2819" s="159">
        <v>0</v>
      </c>
      <c r="N2819" s="157">
        <v>0</v>
      </c>
      <c r="O2819" s="82">
        <f t="shared" si="557"/>
        <v>0</v>
      </c>
      <c r="P2819" s="158"/>
      <c r="Q2819" s="1071">
        <f t="shared" si="559"/>
        <v>0</v>
      </c>
    </row>
    <row r="2820" spans="9:17" ht="13.9" x14ac:dyDescent="0.4">
      <c r="I2820" s="1073">
        <f t="shared" si="558"/>
        <v>0</v>
      </c>
      <c r="J2820" s="159" t="s">
        <v>19</v>
      </c>
      <c r="K2820" s="160"/>
      <c r="L2820" s="160"/>
      <c r="M2820" s="159">
        <v>0</v>
      </c>
      <c r="N2820" s="157">
        <v>0</v>
      </c>
      <c r="O2820" s="82">
        <f t="shared" si="557"/>
        <v>0</v>
      </c>
      <c r="P2820" s="158"/>
      <c r="Q2820" s="1071">
        <f t="shared" si="559"/>
        <v>0</v>
      </c>
    </row>
    <row r="2821" spans="9:17" ht="13.9" x14ac:dyDescent="0.4">
      <c r="I2821" s="1073">
        <f t="shared" si="558"/>
        <v>0</v>
      </c>
      <c r="J2821" s="159" t="s">
        <v>19</v>
      </c>
      <c r="K2821" s="160"/>
      <c r="L2821" s="160"/>
      <c r="M2821" s="159">
        <v>0</v>
      </c>
      <c r="N2821" s="157">
        <v>0</v>
      </c>
      <c r="O2821" s="82">
        <f t="shared" si="557"/>
        <v>0</v>
      </c>
      <c r="P2821" s="158"/>
      <c r="Q2821" s="1071">
        <f t="shared" si="559"/>
        <v>0</v>
      </c>
    </row>
    <row r="2822" spans="9:17" ht="13.9" x14ac:dyDescent="0.4">
      <c r="I2822" s="1073">
        <f t="shared" si="558"/>
        <v>0</v>
      </c>
      <c r="J2822" s="159" t="s">
        <v>19</v>
      </c>
      <c r="K2822" s="160"/>
      <c r="L2822" s="160"/>
      <c r="M2822" s="159">
        <v>0</v>
      </c>
      <c r="N2822" s="157">
        <v>0</v>
      </c>
      <c r="O2822" s="82">
        <f t="shared" si="557"/>
        <v>0</v>
      </c>
      <c r="P2822" s="158"/>
      <c r="Q2822" s="1071">
        <f t="shared" si="559"/>
        <v>0</v>
      </c>
    </row>
    <row r="2823" spans="9:17" ht="13.9" x14ac:dyDescent="0.4">
      <c r="I2823" s="1073">
        <f t="shared" si="558"/>
        <v>0</v>
      </c>
      <c r="J2823" s="159" t="s">
        <v>19</v>
      </c>
      <c r="K2823" s="160"/>
      <c r="L2823" s="160"/>
      <c r="M2823" s="159">
        <v>0</v>
      </c>
      <c r="N2823" s="157">
        <v>0</v>
      </c>
      <c r="O2823" s="82">
        <f t="shared" si="557"/>
        <v>0</v>
      </c>
      <c r="P2823" s="158"/>
      <c r="Q2823" s="1071">
        <f t="shared" si="559"/>
        <v>0</v>
      </c>
    </row>
    <row r="2824" spans="9:17" ht="13.9" x14ac:dyDescent="0.4">
      <c r="I2824" s="1071"/>
      <c r="J2824" s="86" t="s">
        <v>22</v>
      </c>
      <c r="K2824" s="86"/>
      <c r="L2824" s="86"/>
      <c r="M2824" s="81"/>
      <c r="N2824" s="87"/>
      <c r="O2824" s="88">
        <f>SUM(O2814:O2823)</f>
        <v>0</v>
      </c>
      <c r="P2824" s="86"/>
      <c r="Q2824" s="1071"/>
    </row>
    <row r="2825" spans="9:17" ht="13.9" x14ac:dyDescent="0.4">
      <c r="I2825" s="1071"/>
      <c r="J2825" s="83"/>
      <c r="K2825" s="83"/>
      <c r="L2825" s="83"/>
      <c r="M2825" s="83"/>
      <c r="N2825" s="84"/>
      <c r="O2825" s="83"/>
      <c r="P2825" s="83"/>
      <c r="Q2825" s="1071"/>
    </row>
    <row r="2826" spans="9:17" ht="13.9" x14ac:dyDescent="0.4">
      <c r="I2826" s="1071"/>
      <c r="J2826" s="78" t="str">
        <f>IF(OR(A2_Budget_Look_Up!$B$7=1,A2_Budget_Look_Up!$B$13=1),"Nematicide Detail", "Fungicide Detail")</f>
        <v>Fungicide Detail</v>
      </c>
      <c r="K2826" s="78"/>
      <c r="L2826" s="78"/>
      <c r="M2826" s="79"/>
      <c r="N2826" s="85"/>
      <c r="O2826" s="79"/>
      <c r="P2826" s="78"/>
      <c r="Q2826" s="1071"/>
    </row>
    <row r="2827" spans="9:17" ht="13.9" x14ac:dyDescent="0.4">
      <c r="I2827" s="1071"/>
      <c r="J2827" s="80" t="s">
        <v>212</v>
      </c>
      <c r="K2827" s="80" t="s">
        <v>838</v>
      </c>
      <c r="L2827" s="80" t="s">
        <v>2</v>
      </c>
      <c r="M2827" s="80" t="s">
        <v>21</v>
      </c>
      <c r="N2827" s="80" t="s">
        <v>174</v>
      </c>
      <c r="O2827" s="80" t="s">
        <v>14</v>
      </c>
      <c r="P2827" s="80" t="s">
        <v>890</v>
      </c>
      <c r="Q2827" s="1071"/>
    </row>
    <row r="2828" spans="9:17" ht="13.9" x14ac:dyDescent="0.4">
      <c r="I2828" s="1073">
        <f>IF($A$1=46,I2823+1,0)</f>
        <v>0</v>
      </c>
      <c r="J2828" s="156" t="s">
        <v>19</v>
      </c>
      <c r="K2828" s="158"/>
      <c r="L2828" s="158"/>
      <c r="M2828" s="159">
        <v>0</v>
      </c>
      <c r="N2828" s="157">
        <v>0</v>
      </c>
      <c r="O2828" s="82">
        <f>M2828*N2828</f>
        <v>0</v>
      </c>
      <c r="P2828" s="158"/>
      <c r="Q2828" s="1071">
        <f>Q2823</f>
        <v>0</v>
      </c>
    </row>
    <row r="2829" spans="9:17" ht="13.9" x14ac:dyDescent="0.4">
      <c r="I2829" s="1073">
        <f>IF($A$1=46,I2828+1,0)</f>
        <v>0</v>
      </c>
      <c r="J2829" s="156" t="s">
        <v>19</v>
      </c>
      <c r="K2829" s="158"/>
      <c r="L2829" s="158"/>
      <c r="M2829" s="159">
        <v>0</v>
      </c>
      <c r="N2829" s="157">
        <v>0</v>
      </c>
      <c r="O2829" s="82">
        <f>M2829*N2829</f>
        <v>0</v>
      </c>
      <c r="P2829" s="158"/>
      <c r="Q2829" s="1071">
        <f>Q2828</f>
        <v>0</v>
      </c>
    </row>
    <row r="2830" spans="9:17" ht="13.9" x14ac:dyDescent="0.4">
      <c r="I2830" s="1071"/>
      <c r="J2830" s="86" t="s">
        <v>22</v>
      </c>
      <c r="K2830" s="86"/>
      <c r="L2830" s="86"/>
      <c r="M2830" s="81"/>
      <c r="N2830" s="87"/>
      <c r="O2830" s="88">
        <f>SUM(O2828:O2829)</f>
        <v>0</v>
      </c>
      <c r="P2830" s="86"/>
      <c r="Q2830" s="1071"/>
    </row>
    <row r="2831" spans="9:17" ht="13.9" x14ac:dyDescent="0.4">
      <c r="I2831" s="1071"/>
      <c r="J2831" s="83"/>
      <c r="K2831" s="83"/>
      <c r="L2831" s="83"/>
      <c r="M2831" s="83"/>
      <c r="N2831" s="84"/>
      <c r="O2831" s="83"/>
      <c r="P2831" s="83"/>
      <c r="Q2831" s="1071"/>
    </row>
    <row r="2832" spans="9:17" ht="13.9" x14ac:dyDescent="0.4">
      <c r="I2832" s="1071"/>
      <c r="J2832" s="78" t="str">
        <f>IF(A2_Budget_Look_Up!$B$7=1,"Growth Regulator Detail", IF(A2_Budget_Look_Up!$B$13=1,"Fungicide Detail","Other Chemical Detail"))</f>
        <v>Other Chemical Detail</v>
      </c>
      <c r="K2832" s="78"/>
      <c r="L2832" s="78"/>
      <c r="M2832" s="79"/>
      <c r="N2832" s="85"/>
      <c r="O2832" s="79"/>
      <c r="P2832" s="78"/>
      <c r="Q2832" s="1071"/>
    </row>
    <row r="2833" spans="9:17" ht="13.9" x14ac:dyDescent="0.4">
      <c r="I2833" s="1071"/>
      <c r="J2833" s="80" t="s">
        <v>212</v>
      </c>
      <c r="K2833" s="80" t="s">
        <v>838</v>
      </c>
      <c r="L2833" s="80" t="s">
        <v>2</v>
      </c>
      <c r="M2833" s="80" t="s">
        <v>21</v>
      </c>
      <c r="N2833" s="80" t="s">
        <v>174</v>
      </c>
      <c r="O2833" s="80" t="s">
        <v>14</v>
      </c>
      <c r="P2833" s="80" t="s">
        <v>890</v>
      </c>
      <c r="Q2833" s="1071"/>
    </row>
    <row r="2834" spans="9:17" ht="13.9" x14ac:dyDescent="0.4">
      <c r="I2834" s="1073">
        <f>IF($A$1=46,I2829+1,0)</f>
        <v>0</v>
      </c>
      <c r="J2834" s="156" t="s">
        <v>19</v>
      </c>
      <c r="K2834" s="158"/>
      <c r="L2834" s="158"/>
      <c r="M2834" s="159">
        <v>0</v>
      </c>
      <c r="N2834" s="157">
        <v>0</v>
      </c>
      <c r="O2834" s="82">
        <f t="shared" ref="O2834:O2840" si="560">M2834*N2834</f>
        <v>0</v>
      </c>
      <c r="P2834" s="160"/>
      <c r="Q2834" s="1071">
        <f>Q2829</f>
        <v>0</v>
      </c>
    </row>
    <row r="2835" spans="9:17" ht="13.9" x14ac:dyDescent="0.4">
      <c r="I2835" s="1073">
        <f t="shared" ref="I2835:I2840" si="561">IF($A$1=46,I2834+1,0)</f>
        <v>0</v>
      </c>
      <c r="J2835" s="156" t="s">
        <v>19</v>
      </c>
      <c r="K2835" s="158"/>
      <c r="L2835" s="158"/>
      <c r="M2835" s="159">
        <v>0</v>
      </c>
      <c r="N2835" s="157">
        <v>0</v>
      </c>
      <c r="O2835" s="82">
        <f t="shared" si="560"/>
        <v>0</v>
      </c>
      <c r="P2835" s="160"/>
      <c r="Q2835" s="1071">
        <f t="shared" ref="Q2835:Q2840" si="562">Q2834</f>
        <v>0</v>
      </c>
    </row>
    <row r="2836" spans="9:17" ht="13.9" x14ac:dyDescent="0.4">
      <c r="I2836" s="1073">
        <f t="shared" si="561"/>
        <v>0</v>
      </c>
      <c r="J2836" s="156" t="s">
        <v>19</v>
      </c>
      <c r="K2836" s="158"/>
      <c r="L2836" s="158"/>
      <c r="M2836" s="159">
        <v>0</v>
      </c>
      <c r="N2836" s="157">
        <v>0</v>
      </c>
      <c r="O2836" s="82">
        <f t="shared" si="560"/>
        <v>0</v>
      </c>
      <c r="P2836" s="160"/>
      <c r="Q2836" s="1071">
        <f t="shared" si="562"/>
        <v>0</v>
      </c>
    </row>
    <row r="2837" spans="9:17" ht="13.9" x14ac:dyDescent="0.4">
      <c r="I2837" s="1073">
        <f t="shared" si="561"/>
        <v>0</v>
      </c>
      <c r="J2837" s="156" t="s">
        <v>19</v>
      </c>
      <c r="K2837" s="158"/>
      <c r="L2837" s="158"/>
      <c r="M2837" s="159">
        <v>0</v>
      </c>
      <c r="N2837" s="157">
        <v>0</v>
      </c>
      <c r="O2837" s="82">
        <f t="shared" si="560"/>
        <v>0</v>
      </c>
      <c r="P2837" s="158"/>
      <c r="Q2837" s="1071">
        <f t="shared" si="562"/>
        <v>0</v>
      </c>
    </row>
    <row r="2838" spans="9:17" ht="13.9" x14ac:dyDescent="0.4">
      <c r="I2838" s="1073">
        <f t="shared" si="561"/>
        <v>0</v>
      </c>
      <c r="J2838" s="156" t="s">
        <v>19</v>
      </c>
      <c r="K2838" s="158"/>
      <c r="L2838" s="158"/>
      <c r="M2838" s="159">
        <v>0</v>
      </c>
      <c r="N2838" s="157">
        <v>0</v>
      </c>
      <c r="O2838" s="82">
        <f t="shared" si="560"/>
        <v>0</v>
      </c>
      <c r="P2838" s="158"/>
      <c r="Q2838" s="1071">
        <f t="shared" si="562"/>
        <v>0</v>
      </c>
    </row>
    <row r="2839" spans="9:17" ht="13.9" x14ac:dyDescent="0.4">
      <c r="I2839" s="1073">
        <f t="shared" si="561"/>
        <v>0</v>
      </c>
      <c r="J2839" s="156" t="s">
        <v>19</v>
      </c>
      <c r="K2839" s="158"/>
      <c r="L2839" s="158"/>
      <c r="M2839" s="159">
        <v>0</v>
      </c>
      <c r="N2839" s="157">
        <v>0</v>
      </c>
      <c r="O2839" s="82">
        <f t="shared" si="560"/>
        <v>0</v>
      </c>
      <c r="P2839" s="158"/>
      <c r="Q2839" s="1071">
        <f t="shared" si="562"/>
        <v>0</v>
      </c>
    </row>
    <row r="2840" spans="9:17" ht="13.9" x14ac:dyDescent="0.4">
      <c r="I2840" s="1073">
        <f t="shared" si="561"/>
        <v>0</v>
      </c>
      <c r="J2840" s="156" t="s">
        <v>19</v>
      </c>
      <c r="K2840" s="158"/>
      <c r="L2840" s="158"/>
      <c r="M2840" s="159">
        <v>0</v>
      </c>
      <c r="N2840" s="157">
        <v>0</v>
      </c>
      <c r="O2840" s="82">
        <f t="shared" si="560"/>
        <v>0</v>
      </c>
      <c r="P2840" s="158"/>
      <c r="Q2840" s="1071">
        <f t="shared" si="562"/>
        <v>0</v>
      </c>
    </row>
    <row r="2841" spans="9:17" ht="13.9" x14ac:dyDescent="0.4">
      <c r="I2841" s="1071"/>
      <c r="J2841" s="86" t="s">
        <v>22</v>
      </c>
      <c r="K2841" s="86"/>
      <c r="L2841" s="86"/>
      <c r="M2841" s="81"/>
      <c r="N2841" s="87"/>
      <c r="O2841" s="88">
        <f>SUM(O2834:O2840)</f>
        <v>0</v>
      </c>
      <c r="P2841" s="86"/>
      <c r="Q2841" s="1071"/>
    </row>
    <row r="2842" spans="9:17" ht="13.9" x14ac:dyDescent="0.4">
      <c r="I2842" s="1071"/>
      <c r="J2842" s="83"/>
      <c r="K2842" s="83"/>
      <c r="L2842" s="83"/>
      <c r="M2842" s="83"/>
      <c r="N2842" s="84"/>
      <c r="O2842" s="83"/>
      <c r="P2842" s="83"/>
      <c r="Q2842" s="1071"/>
    </row>
    <row r="2843" spans="9:17" ht="13.9" x14ac:dyDescent="0.4">
      <c r="I2843" s="1071"/>
      <c r="J2843" s="78" t="str">
        <f>IF(A2_Budget_Look_Up!$B$7=1,"Defoliant Detail", "Other Chemical Detail")</f>
        <v>Other Chemical Detail</v>
      </c>
      <c r="K2843" s="78"/>
      <c r="L2843" s="78"/>
      <c r="M2843" s="79"/>
      <c r="N2843" s="85"/>
      <c r="O2843" s="79"/>
      <c r="P2843" s="78"/>
      <c r="Q2843" s="1071"/>
    </row>
    <row r="2844" spans="9:17" ht="13.9" x14ac:dyDescent="0.4">
      <c r="I2844" s="1071"/>
      <c r="J2844" s="80" t="s">
        <v>212</v>
      </c>
      <c r="K2844" s="80" t="s">
        <v>838</v>
      </c>
      <c r="L2844" s="80" t="s">
        <v>2</v>
      </c>
      <c r="M2844" s="80" t="s">
        <v>21</v>
      </c>
      <c r="N2844" s="80" t="s">
        <v>174</v>
      </c>
      <c r="O2844" s="80" t="s">
        <v>14</v>
      </c>
      <c r="P2844" s="80" t="s">
        <v>890</v>
      </c>
      <c r="Q2844" s="1071"/>
    </row>
    <row r="2845" spans="9:17" ht="13.9" x14ac:dyDescent="0.4">
      <c r="I2845" s="1073">
        <f>IF($A$1=46,I2840+1,0)</f>
        <v>0</v>
      </c>
      <c r="J2845" s="156" t="s">
        <v>19</v>
      </c>
      <c r="K2845" s="158"/>
      <c r="L2845" s="158"/>
      <c r="M2845" s="159">
        <v>0</v>
      </c>
      <c r="N2845" s="157">
        <v>0</v>
      </c>
      <c r="O2845" s="82">
        <f t="shared" ref="O2845:O2851" si="563">M2845*N2845</f>
        <v>0</v>
      </c>
      <c r="P2845" s="160"/>
      <c r="Q2845" s="1071">
        <f>Q2840</f>
        <v>0</v>
      </c>
    </row>
    <row r="2846" spans="9:17" ht="13.9" x14ac:dyDescent="0.4">
      <c r="I2846" s="1073">
        <f t="shared" ref="I2846:I2851" si="564">IF($A$1=46,I2845+1,0)</f>
        <v>0</v>
      </c>
      <c r="J2846" s="156" t="s">
        <v>19</v>
      </c>
      <c r="K2846" s="158"/>
      <c r="L2846" s="158"/>
      <c r="M2846" s="159">
        <v>0</v>
      </c>
      <c r="N2846" s="157">
        <v>0</v>
      </c>
      <c r="O2846" s="82">
        <f t="shared" si="563"/>
        <v>0</v>
      </c>
      <c r="P2846" s="160"/>
      <c r="Q2846" s="1071">
        <f t="shared" ref="Q2846:Q2851" si="565">Q2845</f>
        <v>0</v>
      </c>
    </row>
    <row r="2847" spans="9:17" ht="13.9" x14ac:dyDescent="0.4">
      <c r="I2847" s="1073">
        <f t="shared" si="564"/>
        <v>0</v>
      </c>
      <c r="J2847" s="156" t="s">
        <v>19</v>
      </c>
      <c r="K2847" s="158"/>
      <c r="L2847" s="158"/>
      <c r="M2847" s="159">
        <v>0</v>
      </c>
      <c r="N2847" s="157">
        <v>0</v>
      </c>
      <c r="O2847" s="82">
        <f t="shared" si="563"/>
        <v>0</v>
      </c>
      <c r="P2847" s="160"/>
      <c r="Q2847" s="1071">
        <f t="shared" si="565"/>
        <v>0</v>
      </c>
    </row>
    <row r="2848" spans="9:17" ht="13.9" x14ac:dyDescent="0.4">
      <c r="I2848" s="1073">
        <f t="shared" si="564"/>
        <v>0</v>
      </c>
      <c r="J2848" s="156" t="s">
        <v>19</v>
      </c>
      <c r="K2848" s="158"/>
      <c r="L2848" s="158"/>
      <c r="M2848" s="159">
        <v>0</v>
      </c>
      <c r="N2848" s="157">
        <v>0</v>
      </c>
      <c r="O2848" s="82">
        <f t="shared" si="563"/>
        <v>0</v>
      </c>
      <c r="P2848" s="160"/>
      <c r="Q2848" s="1071">
        <f t="shared" si="565"/>
        <v>0</v>
      </c>
    </row>
    <row r="2849" spans="9:17" ht="13.9" x14ac:dyDescent="0.4">
      <c r="I2849" s="1073">
        <f t="shared" si="564"/>
        <v>0</v>
      </c>
      <c r="J2849" s="156" t="s">
        <v>19</v>
      </c>
      <c r="K2849" s="158"/>
      <c r="L2849" s="158"/>
      <c r="M2849" s="159">
        <v>0</v>
      </c>
      <c r="N2849" s="157">
        <v>0</v>
      </c>
      <c r="O2849" s="82">
        <f t="shared" si="563"/>
        <v>0</v>
      </c>
      <c r="P2849" s="160"/>
      <c r="Q2849" s="1071">
        <f t="shared" si="565"/>
        <v>0</v>
      </c>
    </row>
    <row r="2850" spans="9:17" ht="13.9" x14ac:dyDescent="0.4">
      <c r="I2850" s="1073">
        <f t="shared" si="564"/>
        <v>0</v>
      </c>
      <c r="J2850" s="156" t="s">
        <v>19</v>
      </c>
      <c r="K2850" s="158"/>
      <c r="L2850" s="158"/>
      <c r="M2850" s="159">
        <v>0</v>
      </c>
      <c r="N2850" s="157">
        <v>0</v>
      </c>
      <c r="O2850" s="82">
        <f t="shared" si="563"/>
        <v>0</v>
      </c>
      <c r="P2850" s="158"/>
      <c r="Q2850" s="1071">
        <f t="shared" si="565"/>
        <v>0</v>
      </c>
    </row>
    <row r="2851" spans="9:17" ht="13.9" x14ac:dyDescent="0.4">
      <c r="I2851" s="1073">
        <f t="shared" si="564"/>
        <v>0</v>
      </c>
      <c r="J2851" s="156" t="s">
        <v>19</v>
      </c>
      <c r="K2851" s="158"/>
      <c r="L2851" s="158"/>
      <c r="M2851" s="159">
        <v>0</v>
      </c>
      <c r="N2851" s="157">
        <v>0</v>
      </c>
      <c r="O2851" s="82">
        <f t="shared" si="563"/>
        <v>0</v>
      </c>
      <c r="P2851" s="158"/>
      <c r="Q2851" s="1071">
        <f t="shared" si="565"/>
        <v>0</v>
      </c>
    </row>
    <row r="2852" spans="9:17" ht="13.9" x14ac:dyDescent="0.4">
      <c r="I2852" s="1071"/>
      <c r="J2852" s="86" t="s">
        <v>22</v>
      </c>
      <c r="K2852" s="86"/>
      <c r="L2852" s="86"/>
      <c r="M2852" s="81"/>
      <c r="N2852" s="87"/>
      <c r="O2852" s="88">
        <f>SUM(O2845:O2851)</f>
        <v>0</v>
      </c>
      <c r="P2852" s="86"/>
      <c r="Q2852" s="1071"/>
    </row>
    <row r="2853" spans="9:17" ht="13.9" x14ac:dyDescent="0.4">
      <c r="I2853" s="1071"/>
      <c r="J2853" s="83"/>
      <c r="K2853" s="83"/>
      <c r="L2853" s="83"/>
      <c r="M2853" s="89"/>
      <c r="N2853" s="84"/>
      <c r="O2853" s="89"/>
      <c r="P2853" s="83"/>
      <c r="Q2853" s="1071"/>
    </row>
    <row r="2854" spans="9:17" ht="13.9" x14ac:dyDescent="0.4">
      <c r="I2854" s="1071"/>
      <c r="J2854" s="1168" t="str">
        <f>A2_Budget_Look_Up!H49</f>
        <v>Other4</v>
      </c>
      <c r="K2854" s="1168"/>
      <c r="L2854" s="1168">
        <f>A2_Budget_Look_Up!F49</f>
        <v>47</v>
      </c>
      <c r="M2854" s="1168"/>
      <c r="N2854" s="1168"/>
      <c r="O2854" s="1168"/>
      <c r="P2854" s="1168"/>
      <c r="Q2854" s="1071"/>
    </row>
    <row r="2855" spans="9:17" ht="13.9" x14ac:dyDescent="0.4">
      <c r="I2855" s="1071"/>
      <c r="J2855" s="83"/>
      <c r="K2855" s="83"/>
      <c r="L2855" s="83"/>
      <c r="M2855" s="83"/>
      <c r="N2855" s="84"/>
      <c r="O2855" s="83"/>
      <c r="P2855" s="83"/>
      <c r="Q2855" s="1071"/>
    </row>
    <row r="2856" spans="9:17" ht="13.9" x14ac:dyDescent="0.4">
      <c r="I2856" s="1071"/>
      <c r="J2856" s="78" t="s">
        <v>18</v>
      </c>
      <c r="K2856" s="78"/>
      <c r="L2856" s="78"/>
      <c r="M2856" s="79"/>
      <c r="N2856" s="85"/>
      <c r="O2856" s="79"/>
      <c r="P2856" s="78"/>
      <c r="Q2856" s="1071"/>
    </row>
    <row r="2857" spans="9:17" ht="13.9" x14ac:dyDescent="0.4">
      <c r="I2857" s="1071"/>
      <c r="J2857" s="80" t="s">
        <v>212</v>
      </c>
      <c r="K2857" s="80" t="s">
        <v>838</v>
      </c>
      <c r="L2857" s="80" t="s">
        <v>2</v>
      </c>
      <c r="M2857" s="80" t="s">
        <v>21</v>
      </c>
      <c r="N2857" s="80" t="s">
        <v>174</v>
      </c>
      <c r="O2857" s="80" t="s">
        <v>14</v>
      </c>
      <c r="P2857" s="80" t="s">
        <v>890</v>
      </c>
      <c r="Q2857" s="1071"/>
    </row>
    <row r="2858" spans="9:17" ht="13.9" x14ac:dyDescent="0.4">
      <c r="I2858" s="1073">
        <f>IF($A$1=47,1,0)</f>
        <v>0</v>
      </c>
      <c r="J2858" s="159" t="s">
        <v>19</v>
      </c>
      <c r="K2858" s="165"/>
      <c r="L2858" s="158"/>
      <c r="M2858" s="159">
        <v>0</v>
      </c>
      <c r="N2858" s="159">
        <v>0</v>
      </c>
      <c r="O2858" s="82">
        <f t="shared" ref="O2858:O2871" si="566">M2858*N2858</f>
        <v>0</v>
      </c>
      <c r="P2858" s="160"/>
      <c r="Q2858" s="1171">
        <f>IF(SUM(I2858:I2913)=820,L2854,0)</f>
        <v>0</v>
      </c>
    </row>
    <row r="2859" spans="9:17" ht="13.9" x14ac:dyDescent="0.4">
      <c r="I2859" s="1073">
        <f t="shared" ref="I2859:I2871" si="567">IF($A$1=47,I2858+1,0)</f>
        <v>0</v>
      </c>
      <c r="J2859" s="159" t="s">
        <v>19</v>
      </c>
      <c r="K2859" s="165"/>
      <c r="L2859" s="158"/>
      <c r="M2859" s="159">
        <v>0</v>
      </c>
      <c r="N2859" s="159">
        <v>0</v>
      </c>
      <c r="O2859" s="82">
        <f t="shared" si="566"/>
        <v>0</v>
      </c>
      <c r="P2859" s="160"/>
      <c r="Q2859" s="1071">
        <f>Q2858</f>
        <v>0</v>
      </c>
    </row>
    <row r="2860" spans="9:17" ht="13.9" x14ac:dyDescent="0.4">
      <c r="I2860" s="1073">
        <f t="shared" si="567"/>
        <v>0</v>
      </c>
      <c r="J2860" s="159" t="s">
        <v>19</v>
      </c>
      <c r="K2860" s="165"/>
      <c r="L2860" s="160"/>
      <c r="M2860" s="159">
        <v>0</v>
      </c>
      <c r="N2860" s="157">
        <v>0</v>
      </c>
      <c r="O2860" s="82">
        <f t="shared" si="566"/>
        <v>0</v>
      </c>
      <c r="P2860" s="160"/>
      <c r="Q2860" s="1071">
        <f t="shared" ref="Q2860:Q2871" si="568">Q2859</f>
        <v>0</v>
      </c>
    </row>
    <row r="2861" spans="9:17" ht="13.9" x14ac:dyDescent="0.4">
      <c r="I2861" s="1073">
        <f t="shared" si="567"/>
        <v>0</v>
      </c>
      <c r="J2861" s="159" t="s">
        <v>19</v>
      </c>
      <c r="K2861" s="165"/>
      <c r="L2861" s="158"/>
      <c r="M2861" s="159">
        <v>0</v>
      </c>
      <c r="N2861" s="157">
        <v>0</v>
      </c>
      <c r="O2861" s="82">
        <f t="shared" si="566"/>
        <v>0</v>
      </c>
      <c r="P2861" s="160"/>
      <c r="Q2861" s="1071">
        <f t="shared" si="568"/>
        <v>0</v>
      </c>
    </row>
    <row r="2862" spans="9:17" ht="13.9" x14ac:dyDescent="0.4">
      <c r="I2862" s="1073">
        <f t="shared" si="567"/>
        <v>0</v>
      </c>
      <c r="J2862" s="159" t="s">
        <v>19</v>
      </c>
      <c r="K2862" s="165"/>
      <c r="L2862" s="160"/>
      <c r="M2862" s="159">
        <v>0</v>
      </c>
      <c r="N2862" s="157">
        <v>0</v>
      </c>
      <c r="O2862" s="82">
        <f t="shared" si="566"/>
        <v>0</v>
      </c>
      <c r="P2862" s="160"/>
      <c r="Q2862" s="1071">
        <f t="shared" si="568"/>
        <v>0</v>
      </c>
    </row>
    <row r="2863" spans="9:17" ht="13.9" x14ac:dyDescent="0.4">
      <c r="I2863" s="1073">
        <f t="shared" si="567"/>
        <v>0</v>
      </c>
      <c r="J2863" s="159" t="s">
        <v>19</v>
      </c>
      <c r="K2863" s="165"/>
      <c r="L2863" s="160"/>
      <c r="M2863" s="159">
        <v>0</v>
      </c>
      <c r="N2863" s="157">
        <v>0</v>
      </c>
      <c r="O2863" s="82">
        <f t="shared" si="566"/>
        <v>0</v>
      </c>
      <c r="P2863" s="160"/>
      <c r="Q2863" s="1071">
        <f t="shared" si="568"/>
        <v>0</v>
      </c>
    </row>
    <row r="2864" spans="9:17" ht="13.9" x14ac:dyDescent="0.4">
      <c r="I2864" s="1073">
        <f t="shared" si="567"/>
        <v>0</v>
      </c>
      <c r="J2864" s="159" t="s">
        <v>19</v>
      </c>
      <c r="K2864" s="165"/>
      <c r="L2864" s="160"/>
      <c r="M2864" s="159">
        <v>0</v>
      </c>
      <c r="N2864" s="157">
        <v>0</v>
      </c>
      <c r="O2864" s="82">
        <f t="shared" si="566"/>
        <v>0</v>
      </c>
      <c r="P2864" s="160"/>
      <c r="Q2864" s="1071">
        <f t="shared" si="568"/>
        <v>0</v>
      </c>
    </row>
    <row r="2865" spans="9:17" ht="13.9" x14ac:dyDescent="0.4">
      <c r="I2865" s="1073">
        <f t="shared" si="567"/>
        <v>0</v>
      </c>
      <c r="J2865" s="159" t="s">
        <v>19</v>
      </c>
      <c r="K2865" s="165"/>
      <c r="L2865" s="160"/>
      <c r="M2865" s="159">
        <v>0</v>
      </c>
      <c r="N2865" s="157">
        <v>0</v>
      </c>
      <c r="O2865" s="82">
        <f t="shared" si="566"/>
        <v>0</v>
      </c>
      <c r="P2865" s="160"/>
      <c r="Q2865" s="1071">
        <f t="shared" si="568"/>
        <v>0</v>
      </c>
    </row>
    <row r="2866" spans="9:17" ht="13.9" x14ac:dyDescent="0.4">
      <c r="I2866" s="1073">
        <f t="shared" si="567"/>
        <v>0</v>
      </c>
      <c r="J2866" s="159" t="s">
        <v>19</v>
      </c>
      <c r="K2866" s="165"/>
      <c r="L2866" s="160"/>
      <c r="M2866" s="159">
        <v>0</v>
      </c>
      <c r="N2866" s="157">
        <v>0</v>
      </c>
      <c r="O2866" s="82">
        <f t="shared" si="566"/>
        <v>0</v>
      </c>
      <c r="P2866" s="160"/>
      <c r="Q2866" s="1071">
        <f t="shared" si="568"/>
        <v>0</v>
      </c>
    </row>
    <row r="2867" spans="9:17" ht="13.9" x14ac:dyDescent="0.4">
      <c r="I2867" s="1073">
        <f t="shared" si="567"/>
        <v>0</v>
      </c>
      <c r="J2867" s="159" t="s">
        <v>19</v>
      </c>
      <c r="K2867" s="165"/>
      <c r="L2867" s="160"/>
      <c r="M2867" s="159">
        <v>0</v>
      </c>
      <c r="N2867" s="157">
        <v>0</v>
      </c>
      <c r="O2867" s="82">
        <f t="shared" si="566"/>
        <v>0</v>
      </c>
      <c r="P2867" s="160"/>
      <c r="Q2867" s="1071">
        <f t="shared" si="568"/>
        <v>0</v>
      </c>
    </row>
    <row r="2868" spans="9:17" ht="13.9" x14ac:dyDescent="0.4">
      <c r="I2868" s="1073">
        <f t="shared" si="567"/>
        <v>0</v>
      </c>
      <c r="J2868" s="159" t="s">
        <v>19</v>
      </c>
      <c r="K2868" s="160"/>
      <c r="L2868" s="160"/>
      <c r="M2868" s="159">
        <v>0</v>
      </c>
      <c r="N2868" s="157">
        <v>0</v>
      </c>
      <c r="O2868" s="82">
        <f t="shared" si="566"/>
        <v>0</v>
      </c>
      <c r="P2868" s="160"/>
      <c r="Q2868" s="1071">
        <f t="shared" si="568"/>
        <v>0</v>
      </c>
    </row>
    <row r="2869" spans="9:17" ht="13.9" x14ac:dyDescent="0.4">
      <c r="I2869" s="1073">
        <f t="shared" si="567"/>
        <v>0</v>
      </c>
      <c r="J2869" s="159" t="s">
        <v>19</v>
      </c>
      <c r="K2869" s="160"/>
      <c r="L2869" s="160"/>
      <c r="M2869" s="159">
        <v>0</v>
      </c>
      <c r="N2869" s="157">
        <v>0</v>
      </c>
      <c r="O2869" s="82">
        <f t="shared" si="566"/>
        <v>0</v>
      </c>
      <c r="P2869" s="160"/>
      <c r="Q2869" s="1071">
        <f t="shared" si="568"/>
        <v>0</v>
      </c>
    </row>
    <row r="2870" spans="9:17" ht="13.9" x14ac:dyDescent="0.4">
      <c r="I2870" s="1073">
        <f t="shared" si="567"/>
        <v>0</v>
      </c>
      <c r="J2870" s="159" t="s">
        <v>19</v>
      </c>
      <c r="K2870" s="160"/>
      <c r="L2870" s="160"/>
      <c r="M2870" s="159">
        <v>0</v>
      </c>
      <c r="N2870" s="157">
        <v>0</v>
      </c>
      <c r="O2870" s="82">
        <f t="shared" si="566"/>
        <v>0</v>
      </c>
      <c r="P2870" s="160"/>
      <c r="Q2870" s="1071">
        <f t="shared" si="568"/>
        <v>0</v>
      </c>
    </row>
    <row r="2871" spans="9:17" ht="13.9" x14ac:dyDescent="0.4">
      <c r="I2871" s="1073">
        <f t="shared" si="567"/>
        <v>0</v>
      </c>
      <c r="J2871" s="159" t="s">
        <v>19</v>
      </c>
      <c r="K2871" s="160"/>
      <c r="L2871" s="160"/>
      <c r="M2871" s="159">
        <v>0</v>
      </c>
      <c r="N2871" s="157">
        <v>0</v>
      </c>
      <c r="O2871" s="82">
        <f t="shared" si="566"/>
        <v>0</v>
      </c>
      <c r="P2871" s="160"/>
      <c r="Q2871" s="1071">
        <f t="shared" si="568"/>
        <v>0</v>
      </c>
    </row>
    <row r="2872" spans="9:17" ht="13.9" x14ac:dyDescent="0.4">
      <c r="I2872" s="1071"/>
      <c r="J2872" s="86" t="s">
        <v>22</v>
      </c>
      <c r="K2872" s="86"/>
      <c r="L2872" s="86"/>
      <c r="M2872" s="81"/>
      <c r="N2872" s="87"/>
      <c r="O2872" s="88">
        <f>SUM(O2858:O2871)</f>
        <v>0</v>
      </c>
      <c r="P2872" s="86"/>
      <c r="Q2872" s="1071"/>
    </row>
    <row r="2873" spans="9:17" ht="13.9" x14ac:dyDescent="0.4">
      <c r="I2873" s="1071"/>
      <c r="J2873" s="83"/>
      <c r="K2873" s="83"/>
      <c r="L2873" s="83"/>
      <c r="M2873" s="83"/>
      <c r="N2873" s="84"/>
      <c r="O2873" s="83"/>
      <c r="P2873" s="83"/>
      <c r="Q2873" s="1071"/>
    </row>
    <row r="2874" spans="9:17" ht="13.9" x14ac:dyDescent="0.4">
      <c r="I2874" s="1071"/>
      <c r="J2874" s="78" t="s">
        <v>20</v>
      </c>
      <c r="K2874" s="78"/>
      <c r="L2874" s="78"/>
      <c r="M2874" s="79"/>
      <c r="N2874" s="85"/>
      <c r="O2874" s="79"/>
      <c r="P2874" s="78"/>
      <c r="Q2874" s="1071"/>
    </row>
    <row r="2875" spans="9:17" ht="13.9" x14ac:dyDescent="0.4">
      <c r="I2875" s="1071"/>
      <c r="J2875" s="80" t="s">
        <v>212</v>
      </c>
      <c r="K2875" s="80" t="s">
        <v>838</v>
      </c>
      <c r="L2875" s="80" t="s">
        <v>2</v>
      </c>
      <c r="M2875" s="80" t="s">
        <v>21</v>
      </c>
      <c r="N2875" s="80" t="s">
        <v>174</v>
      </c>
      <c r="O2875" s="80" t="s">
        <v>14</v>
      </c>
      <c r="P2875" s="80" t="s">
        <v>890</v>
      </c>
      <c r="Q2875" s="1071"/>
    </row>
    <row r="2876" spans="9:17" ht="13.9" x14ac:dyDescent="0.4">
      <c r="I2876" s="1073">
        <f>IF($A$1=47,I2871+1,0)</f>
        <v>0</v>
      </c>
      <c r="J2876" s="159" t="s">
        <v>19</v>
      </c>
      <c r="K2876" s="160"/>
      <c r="L2876" s="160"/>
      <c r="M2876" s="159">
        <v>0</v>
      </c>
      <c r="N2876" s="157">
        <v>0</v>
      </c>
      <c r="O2876" s="82">
        <f t="shared" ref="O2876:O2885" si="569">M2876*N2876</f>
        <v>0</v>
      </c>
      <c r="P2876" s="160"/>
      <c r="Q2876" s="1071">
        <f>Q2858</f>
        <v>0</v>
      </c>
    </row>
    <row r="2877" spans="9:17" ht="13.9" x14ac:dyDescent="0.4">
      <c r="I2877" s="1073">
        <f t="shared" ref="I2877:I2885" si="570">IF($A$1=47,I2876+1,0)</f>
        <v>0</v>
      </c>
      <c r="J2877" s="159" t="s">
        <v>19</v>
      </c>
      <c r="K2877" s="160"/>
      <c r="L2877" s="160"/>
      <c r="M2877" s="159">
        <v>0</v>
      </c>
      <c r="N2877" s="157">
        <v>0</v>
      </c>
      <c r="O2877" s="82">
        <f t="shared" si="569"/>
        <v>0</v>
      </c>
      <c r="P2877" s="160"/>
      <c r="Q2877" s="1071">
        <f>Q2876</f>
        <v>0</v>
      </c>
    </row>
    <row r="2878" spans="9:17" ht="13.9" x14ac:dyDescent="0.4">
      <c r="I2878" s="1073">
        <f t="shared" si="570"/>
        <v>0</v>
      </c>
      <c r="J2878" s="159" t="s">
        <v>19</v>
      </c>
      <c r="K2878" s="160"/>
      <c r="L2878" s="160"/>
      <c r="M2878" s="159">
        <v>0</v>
      </c>
      <c r="N2878" s="157">
        <v>0</v>
      </c>
      <c r="O2878" s="82">
        <f t="shared" si="569"/>
        <v>0</v>
      </c>
      <c r="P2878" s="160"/>
      <c r="Q2878" s="1071">
        <f t="shared" ref="Q2878:Q2885" si="571">Q2877</f>
        <v>0</v>
      </c>
    </row>
    <row r="2879" spans="9:17" ht="13.9" x14ac:dyDescent="0.4">
      <c r="I2879" s="1073">
        <f t="shared" si="570"/>
        <v>0</v>
      </c>
      <c r="J2879" s="159" t="s">
        <v>19</v>
      </c>
      <c r="K2879" s="160"/>
      <c r="L2879" s="160"/>
      <c r="M2879" s="159">
        <v>0</v>
      </c>
      <c r="N2879" s="157">
        <v>0</v>
      </c>
      <c r="O2879" s="82">
        <f t="shared" si="569"/>
        <v>0</v>
      </c>
      <c r="P2879" s="160"/>
      <c r="Q2879" s="1071">
        <f t="shared" si="571"/>
        <v>0</v>
      </c>
    </row>
    <row r="2880" spans="9:17" ht="13.9" x14ac:dyDescent="0.4">
      <c r="I2880" s="1073">
        <f t="shared" si="570"/>
        <v>0</v>
      </c>
      <c r="J2880" s="159" t="s">
        <v>19</v>
      </c>
      <c r="K2880" s="160"/>
      <c r="L2880" s="160"/>
      <c r="M2880" s="159">
        <v>0</v>
      </c>
      <c r="N2880" s="157">
        <v>0</v>
      </c>
      <c r="O2880" s="82">
        <f t="shared" si="569"/>
        <v>0</v>
      </c>
      <c r="P2880" s="158"/>
      <c r="Q2880" s="1071">
        <f t="shared" si="571"/>
        <v>0</v>
      </c>
    </row>
    <row r="2881" spans="9:17" ht="13.9" x14ac:dyDescent="0.4">
      <c r="I2881" s="1073">
        <f t="shared" si="570"/>
        <v>0</v>
      </c>
      <c r="J2881" s="159" t="s">
        <v>19</v>
      </c>
      <c r="K2881" s="160"/>
      <c r="L2881" s="160"/>
      <c r="M2881" s="159">
        <v>0</v>
      </c>
      <c r="N2881" s="157">
        <v>0</v>
      </c>
      <c r="O2881" s="82">
        <f t="shared" si="569"/>
        <v>0</v>
      </c>
      <c r="P2881" s="158"/>
      <c r="Q2881" s="1071">
        <f t="shared" si="571"/>
        <v>0</v>
      </c>
    </row>
    <row r="2882" spans="9:17" ht="13.9" x14ac:dyDescent="0.4">
      <c r="I2882" s="1073">
        <f t="shared" si="570"/>
        <v>0</v>
      </c>
      <c r="J2882" s="159" t="s">
        <v>19</v>
      </c>
      <c r="K2882" s="160"/>
      <c r="L2882" s="160"/>
      <c r="M2882" s="159">
        <v>0</v>
      </c>
      <c r="N2882" s="157">
        <v>0</v>
      </c>
      <c r="O2882" s="82">
        <f t="shared" si="569"/>
        <v>0</v>
      </c>
      <c r="P2882" s="158"/>
      <c r="Q2882" s="1071">
        <f t="shared" si="571"/>
        <v>0</v>
      </c>
    </row>
    <row r="2883" spans="9:17" ht="13.9" x14ac:dyDescent="0.4">
      <c r="I2883" s="1073">
        <f t="shared" si="570"/>
        <v>0</v>
      </c>
      <c r="J2883" s="159" t="s">
        <v>19</v>
      </c>
      <c r="K2883" s="160"/>
      <c r="L2883" s="160"/>
      <c r="M2883" s="159">
        <v>0</v>
      </c>
      <c r="N2883" s="157">
        <v>0</v>
      </c>
      <c r="O2883" s="82">
        <f t="shared" si="569"/>
        <v>0</v>
      </c>
      <c r="P2883" s="158"/>
      <c r="Q2883" s="1071">
        <f t="shared" si="571"/>
        <v>0</v>
      </c>
    </row>
    <row r="2884" spans="9:17" ht="13.9" x14ac:dyDescent="0.4">
      <c r="I2884" s="1073">
        <f t="shared" si="570"/>
        <v>0</v>
      </c>
      <c r="J2884" s="159" t="s">
        <v>19</v>
      </c>
      <c r="K2884" s="160"/>
      <c r="L2884" s="160"/>
      <c r="M2884" s="159">
        <v>0</v>
      </c>
      <c r="N2884" s="157">
        <v>0</v>
      </c>
      <c r="O2884" s="82">
        <f t="shared" si="569"/>
        <v>0</v>
      </c>
      <c r="P2884" s="158"/>
      <c r="Q2884" s="1071">
        <f t="shared" si="571"/>
        <v>0</v>
      </c>
    </row>
    <row r="2885" spans="9:17" ht="13.9" x14ac:dyDescent="0.4">
      <c r="I2885" s="1073">
        <f t="shared" si="570"/>
        <v>0</v>
      </c>
      <c r="J2885" s="159" t="s">
        <v>19</v>
      </c>
      <c r="K2885" s="160"/>
      <c r="L2885" s="160"/>
      <c r="M2885" s="159">
        <v>0</v>
      </c>
      <c r="N2885" s="157">
        <v>0</v>
      </c>
      <c r="O2885" s="82">
        <f t="shared" si="569"/>
        <v>0</v>
      </c>
      <c r="P2885" s="158"/>
      <c r="Q2885" s="1071">
        <f t="shared" si="571"/>
        <v>0</v>
      </c>
    </row>
    <row r="2886" spans="9:17" ht="13.9" x14ac:dyDescent="0.4">
      <c r="I2886" s="1071"/>
      <c r="J2886" s="86" t="s">
        <v>22</v>
      </c>
      <c r="K2886" s="86"/>
      <c r="L2886" s="86"/>
      <c r="M2886" s="81"/>
      <c r="N2886" s="87"/>
      <c r="O2886" s="88">
        <f>SUM(O2876:O2885)</f>
        <v>0</v>
      </c>
      <c r="P2886" s="86"/>
      <c r="Q2886" s="1071"/>
    </row>
    <row r="2887" spans="9:17" ht="13.9" x14ac:dyDescent="0.4">
      <c r="I2887" s="1071"/>
      <c r="J2887" s="83"/>
      <c r="K2887" s="83"/>
      <c r="L2887" s="83"/>
      <c r="M2887" s="83"/>
      <c r="N2887" s="84"/>
      <c r="O2887" s="83"/>
      <c r="P2887" s="83"/>
      <c r="Q2887" s="1071"/>
    </row>
    <row r="2888" spans="9:17" ht="13.9" x14ac:dyDescent="0.4">
      <c r="I2888" s="1071"/>
      <c r="J2888" s="78" t="str">
        <f>IF(OR(A2_Budget_Look_Up!$B$7=1,A2_Budget_Look_Up!$B$13=1),"Nematicide Detail", "Fungicide Detail")</f>
        <v>Fungicide Detail</v>
      </c>
      <c r="K2888" s="78"/>
      <c r="L2888" s="78"/>
      <c r="M2888" s="79"/>
      <c r="N2888" s="85"/>
      <c r="O2888" s="79"/>
      <c r="P2888" s="78"/>
      <c r="Q2888" s="1071"/>
    </row>
    <row r="2889" spans="9:17" ht="13.9" x14ac:dyDescent="0.4">
      <c r="I2889" s="1071"/>
      <c r="J2889" s="80" t="s">
        <v>212</v>
      </c>
      <c r="K2889" s="80" t="s">
        <v>838</v>
      </c>
      <c r="L2889" s="80" t="s">
        <v>2</v>
      </c>
      <c r="M2889" s="80" t="s">
        <v>21</v>
      </c>
      <c r="N2889" s="80" t="s">
        <v>174</v>
      </c>
      <c r="O2889" s="80" t="s">
        <v>14</v>
      </c>
      <c r="P2889" s="80" t="s">
        <v>890</v>
      </c>
      <c r="Q2889" s="1071"/>
    </row>
    <row r="2890" spans="9:17" ht="13.9" x14ac:dyDescent="0.4">
      <c r="I2890" s="1073">
        <f>IF($A$1=47,I2885+1,0)</f>
        <v>0</v>
      </c>
      <c r="J2890" s="156" t="s">
        <v>19</v>
      </c>
      <c r="K2890" s="158"/>
      <c r="L2890" s="158"/>
      <c r="M2890" s="159">
        <v>0</v>
      </c>
      <c r="N2890" s="157">
        <v>0</v>
      </c>
      <c r="O2890" s="82">
        <f>M2890*N2890</f>
        <v>0</v>
      </c>
      <c r="P2890" s="158"/>
      <c r="Q2890" s="1071">
        <f>Q2885</f>
        <v>0</v>
      </c>
    </row>
    <row r="2891" spans="9:17" ht="13.9" x14ac:dyDescent="0.4">
      <c r="I2891" s="1073">
        <f>IF($A$1=47,I2890+1,0)</f>
        <v>0</v>
      </c>
      <c r="J2891" s="156" t="s">
        <v>19</v>
      </c>
      <c r="K2891" s="158"/>
      <c r="L2891" s="158"/>
      <c r="M2891" s="159">
        <v>0</v>
      </c>
      <c r="N2891" s="157">
        <v>0</v>
      </c>
      <c r="O2891" s="82">
        <f>M2891*N2891</f>
        <v>0</v>
      </c>
      <c r="P2891" s="158"/>
      <c r="Q2891" s="1071">
        <f>Q2890</f>
        <v>0</v>
      </c>
    </row>
    <row r="2892" spans="9:17" ht="13.9" x14ac:dyDescent="0.4">
      <c r="I2892" s="1071"/>
      <c r="J2892" s="86" t="s">
        <v>22</v>
      </c>
      <c r="K2892" s="86"/>
      <c r="L2892" s="86"/>
      <c r="M2892" s="81"/>
      <c r="N2892" s="87"/>
      <c r="O2892" s="88">
        <f>SUM(O2890:O2891)</f>
        <v>0</v>
      </c>
      <c r="P2892" s="86"/>
      <c r="Q2892" s="1071"/>
    </row>
    <row r="2893" spans="9:17" ht="13.9" x14ac:dyDescent="0.4">
      <c r="I2893" s="1071"/>
      <c r="J2893" s="83"/>
      <c r="K2893" s="83"/>
      <c r="L2893" s="83"/>
      <c r="M2893" s="83"/>
      <c r="N2893" s="84"/>
      <c r="O2893" s="83"/>
      <c r="P2893" s="83"/>
      <c r="Q2893" s="1071"/>
    </row>
    <row r="2894" spans="9:17" ht="13.9" x14ac:dyDescent="0.4">
      <c r="I2894" s="1071"/>
      <c r="J2894" s="78" t="str">
        <f>IF(A2_Budget_Look_Up!$B$7=1,"Growth Regulator Detail", IF(A2_Budget_Look_Up!$B$13=1,"Fungicide Detail","Other Chemical Detail"))</f>
        <v>Other Chemical Detail</v>
      </c>
      <c r="K2894" s="78"/>
      <c r="L2894" s="78"/>
      <c r="M2894" s="79"/>
      <c r="N2894" s="85"/>
      <c r="O2894" s="79"/>
      <c r="P2894" s="78"/>
      <c r="Q2894" s="1071"/>
    </row>
    <row r="2895" spans="9:17" ht="13.9" x14ac:dyDescent="0.4">
      <c r="I2895" s="1071"/>
      <c r="J2895" s="80" t="s">
        <v>212</v>
      </c>
      <c r="K2895" s="80" t="s">
        <v>838</v>
      </c>
      <c r="L2895" s="80" t="s">
        <v>2</v>
      </c>
      <c r="M2895" s="80" t="s">
        <v>21</v>
      </c>
      <c r="N2895" s="80" t="s">
        <v>174</v>
      </c>
      <c r="O2895" s="80" t="s">
        <v>14</v>
      </c>
      <c r="P2895" s="80" t="s">
        <v>890</v>
      </c>
      <c r="Q2895" s="1071"/>
    </row>
    <row r="2896" spans="9:17" ht="13.9" x14ac:dyDescent="0.4">
      <c r="I2896" s="1073">
        <f>IF($A$1=47,I2891+1,0)</f>
        <v>0</v>
      </c>
      <c r="J2896" s="156" t="s">
        <v>19</v>
      </c>
      <c r="K2896" s="158"/>
      <c r="L2896" s="158"/>
      <c r="M2896" s="159">
        <v>0</v>
      </c>
      <c r="N2896" s="157">
        <v>0</v>
      </c>
      <c r="O2896" s="82">
        <f t="shared" ref="O2896:O2902" si="572">M2896*N2896</f>
        <v>0</v>
      </c>
      <c r="P2896" s="160"/>
      <c r="Q2896" s="1071">
        <f>Q2891</f>
        <v>0</v>
      </c>
    </row>
    <row r="2897" spans="9:17" ht="13.9" x14ac:dyDescent="0.4">
      <c r="I2897" s="1073">
        <f t="shared" ref="I2897:I2902" si="573">IF($A$1=47,I2896+1,0)</f>
        <v>0</v>
      </c>
      <c r="J2897" s="156" t="s">
        <v>19</v>
      </c>
      <c r="K2897" s="158"/>
      <c r="L2897" s="158"/>
      <c r="M2897" s="159">
        <v>0</v>
      </c>
      <c r="N2897" s="157">
        <v>0</v>
      </c>
      <c r="O2897" s="82">
        <f t="shared" si="572"/>
        <v>0</v>
      </c>
      <c r="P2897" s="160"/>
      <c r="Q2897" s="1071">
        <f t="shared" ref="Q2897:Q2902" si="574">Q2896</f>
        <v>0</v>
      </c>
    </row>
    <row r="2898" spans="9:17" ht="13.9" x14ac:dyDescent="0.4">
      <c r="I2898" s="1073">
        <f t="shared" si="573"/>
        <v>0</v>
      </c>
      <c r="J2898" s="156" t="s">
        <v>19</v>
      </c>
      <c r="K2898" s="158"/>
      <c r="L2898" s="158"/>
      <c r="M2898" s="159">
        <v>0</v>
      </c>
      <c r="N2898" s="157">
        <v>0</v>
      </c>
      <c r="O2898" s="82">
        <f t="shared" si="572"/>
        <v>0</v>
      </c>
      <c r="P2898" s="160"/>
      <c r="Q2898" s="1071">
        <f t="shared" si="574"/>
        <v>0</v>
      </c>
    </row>
    <row r="2899" spans="9:17" ht="13.9" x14ac:dyDescent="0.4">
      <c r="I2899" s="1073">
        <f t="shared" si="573"/>
        <v>0</v>
      </c>
      <c r="J2899" s="156" t="s">
        <v>19</v>
      </c>
      <c r="K2899" s="158"/>
      <c r="L2899" s="158"/>
      <c r="M2899" s="159">
        <v>0</v>
      </c>
      <c r="N2899" s="157">
        <v>0</v>
      </c>
      <c r="O2899" s="82">
        <f t="shared" si="572"/>
        <v>0</v>
      </c>
      <c r="P2899" s="158"/>
      <c r="Q2899" s="1071">
        <f t="shared" si="574"/>
        <v>0</v>
      </c>
    </row>
    <row r="2900" spans="9:17" ht="13.9" x14ac:dyDescent="0.4">
      <c r="I2900" s="1073">
        <f t="shared" si="573"/>
        <v>0</v>
      </c>
      <c r="J2900" s="156" t="s">
        <v>19</v>
      </c>
      <c r="K2900" s="158"/>
      <c r="L2900" s="158"/>
      <c r="M2900" s="159">
        <v>0</v>
      </c>
      <c r="N2900" s="157">
        <v>0</v>
      </c>
      <c r="O2900" s="82">
        <f t="shared" si="572"/>
        <v>0</v>
      </c>
      <c r="P2900" s="158"/>
      <c r="Q2900" s="1071">
        <f t="shared" si="574"/>
        <v>0</v>
      </c>
    </row>
    <row r="2901" spans="9:17" ht="13.9" x14ac:dyDescent="0.4">
      <c r="I2901" s="1073">
        <f t="shared" si="573"/>
        <v>0</v>
      </c>
      <c r="J2901" s="156" t="s">
        <v>19</v>
      </c>
      <c r="K2901" s="158"/>
      <c r="L2901" s="158"/>
      <c r="M2901" s="159">
        <v>0</v>
      </c>
      <c r="N2901" s="157">
        <v>0</v>
      </c>
      <c r="O2901" s="82">
        <f t="shared" si="572"/>
        <v>0</v>
      </c>
      <c r="P2901" s="158"/>
      <c r="Q2901" s="1071">
        <f t="shared" si="574"/>
        <v>0</v>
      </c>
    </row>
    <row r="2902" spans="9:17" ht="13.9" x14ac:dyDescent="0.4">
      <c r="I2902" s="1073">
        <f t="shared" si="573"/>
        <v>0</v>
      </c>
      <c r="J2902" s="156" t="s">
        <v>19</v>
      </c>
      <c r="K2902" s="158"/>
      <c r="L2902" s="158"/>
      <c r="M2902" s="159">
        <v>0</v>
      </c>
      <c r="N2902" s="157">
        <v>0</v>
      </c>
      <c r="O2902" s="82">
        <f t="shared" si="572"/>
        <v>0</v>
      </c>
      <c r="P2902" s="158"/>
      <c r="Q2902" s="1071">
        <f t="shared" si="574"/>
        <v>0</v>
      </c>
    </row>
    <row r="2903" spans="9:17" ht="13.9" x14ac:dyDescent="0.4">
      <c r="I2903" s="1071"/>
      <c r="J2903" s="86" t="s">
        <v>22</v>
      </c>
      <c r="K2903" s="86"/>
      <c r="L2903" s="86"/>
      <c r="M2903" s="81"/>
      <c r="N2903" s="87"/>
      <c r="O2903" s="88">
        <f>SUM(O2896:O2902)</f>
        <v>0</v>
      </c>
      <c r="P2903" s="86"/>
      <c r="Q2903" s="1071"/>
    </row>
    <row r="2904" spans="9:17" ht="13.9" x14ac:dyDescent="0.4">
      <c r="I2904" s="1071"/>
      <c r="J2904" s="83"/>
      <c r="K2904" s="83"/>
      <c r="L2904" s="83"/>
      <c r="M2904" s="83"/>
      <c r="N2904" s="84"/>
      <c r="O2904" s="83"/>
      <c r="P2904" s="83"/>
      <c r="Q2904" s="1071"/>
    </row>
    <row r="2905" spans="9:17" ht="13.9" x14ac:dyDescent="0.4">
      <c r="I2905" s="1071"/>
      <c r="J2905" s="78" t="str">
        <f>IF(A2_Budget_Look_Up!$B$7=1,"Defoliant Detail", "Other Chemical Detail")</f>
        <v>Other Chemical Detail</v>
      </c>
      <c r="K2905" s="78"/>
      <c r="L2905" s="78"/>
      <c r="M2905" s="79"/>
      <c r="N2905" s="85"/>
      <c r="O2905" s="79"/>
      <c r="P2905" s="78"/>
      <c r="Q2905" s="1071"/>
    </row>
    <row r="2906" spans="9:17" ht="13.9" x14ac:dyDescent="0.4">
      <c r="I2906" s="1071"/>
      <c r="J2906" s="80" t="s">
        <v>212</v>
      </c>
      <c r="K2906" s="80" t="s">
        <v>838</v>
      </c>
      <c r="L2906" s="80" t="s">
        <v>2</v>
      </c>
      <c r="M2906" s="80" t="s">
        <v>21</v>
      </c>
      <c r="N2906" s="80" t="s">
        <v>174</v>
      </c>
      <c r="O2906" s="80" t="s">
        <v>14</v>
      </c>
      <c r="P2906" s="80" t="s">
        <v>890</v>
      </c>
      <c r="Q2906" s="1071"/>
    </row>
    <row r="2907" spans="9:17" ht="13.9" x14ac:dyDescent="0.4">
      <c r="I2907" s="1073">
        <f>IF($A$1=47,I2902+1,0)</f>
        <v>0</v>
      </c>
      <c r="J2907" s="156" t="s">
        <v>19</v>
      </c>
      <c r="K2907" s="158"/>
      <c r="L2907" s="158"/>
      <c r="M2907" s="159">
        <v>0</v>
      </c>
      <c r="N2907" s="157">
        <v>0</v>
      </c>
      <c r="O2907" s="82">
        <f t="shared" ref="O2907:O2913" si="575">M2907*N2907</f>
        <v>0</v>
      </c>
      <c r="P2907" s="160"/>
      <c r="Q2907" s="1071">
        <f>Q2902</f>
        <v>0</v>
      </c>
    </row>
    <row r="2908" spans="9:17" ht="13.9" x14ac:dyDescent="0.4">
      <c r="I2908" s="1073">
        <f t="shared" ref="I2908:I2913" si="576">IF($A$1=47,I2907+1,0)</f>
        <v>0</v>
      </c>
      <c r="J2908" s="156" t="s">
        <v>19</v>
      </c>
      <c r="K2908" s="158"/>
      <c r="L2908" s="158"/>
      <c r="M2908" s="159">
        <v>0</v>
      </c>
      <c r="N2908" s="157">
        <v>0</v>
      </c>
      <c r="O2908" s="82">
        <f t="shared" si="575"/>
        <v>0</v>
      </c>
      <c r="P2908" s="160"/>
      <c r="Q2908" s="1071">
        <f t="shared" ref="Q2908:Q2913" si="577">Q2907</f>
        <v>0</v>
      </c>
    </row>
    <row r="2909" spans="9:17" ht="13.9" x14ac:dyDescent="0.4">
      <c r="I2909" s="1073">
        <f t="shared" si="576"/>
        <v>0</v>
      </c>
      <c r="J2909" s="156" t="s">
        <v>19</v>
      </c>
      <c r="K2909" s="158"/>
      <c r="L2909" s="158"/>
      <c r="M2909" s="159">
        <v>0</v>
      </c>
      <c r="N2909" s="157">
        <v>0</v>
      </c>
      <c r="O2909" s="82">
        <f t="shared" si="575"/>
        <v>0</v>
      </c>
      <c r="P2909" s="160"/>
      <c r="Q2909" s="1071">
        <f t="shared" si="577"/>
        <v>0</v>
      </c>
    </row>
    <row r="2910" spans="9:17" ht="13.9" x14ac:dyDescent="0.4">
      <c r="I2910" s="1073">
        <f t="shared" si="576"/>
        <v>0</v>
      </c>
      <c r="J2910" s="156" t="s">
        <v>19</v>
      </c>
      <c r="K2910" s="158"/>
      <c r="L2910" s="158"/>
      <c r="M2910" s="159">
        <v>0</v>
      </c>
      <c r="N2910" s="157">
        <v>0</v>
      </c>
      <c r="O2910" s="82">
        <f t="shared" si="575"/>
        <v>0</v>
      </c>
      <c r="P2910" s="160"/>
      <c r="Q2910" s="1071">
        <f t="shared" si="577"/>
        <v>0</v>
      </c>
    </row>
    <row r="2911" spans="9:17" ht="13.9" x14ac:dyDescent="0.4">
      <c r="I2911" s="1073">
        <f t="shared" si="576"/>
        <v>0</v>
      </c>
      <c r="J2911" s="156" t="s">
        <v>19</v>
      </c>
      <c r="K2911" s="158"/>
      <c r="L2911" s="158"/>
      <c r="M2911" s="159">
        <v>0</v>
      </c>
      <c r="N2911" s="157">
        <v>0</v>
      </c>
      <c r="O2911" s="82">
        <f t="shared" si="575"/>
        <v>0</v>
      </c>
      <c r="P2911" s="160"/>
      <c r="Q2911" s="1071">
        <f t="shared" si="577"/>
        <v>0</v>
      </c>
    </row>
    <row r="2912" spans="9:17" ht="13.9" x14ac:dyDescent="0.4">
      <c r="I2912" s="1073">
        <f t="shared" si="576"/>
        <v>0</v>
      </c>
      <c r="J2912" s="156" t="s">
        <v>19</v>
      </c>
      <c r="K2912" s="158"/>
      <c r="L2912" s="158"/>
      <c r="M2912" s="159">
        <v>0</v>
      </c>
      <c r="N2912" s="157">
        <v>0</v>
      </c>
      <c r="O2912" s="82">
        <f t="shared" si="575"/>
        <v>0</v>
      </c>
      <c r="P2912" s="158"/>
      <c r="Q2912" s="1071">
        <f t="shared" si="577"/>
        <v>0</v>
      </c>
    </row>
    <row r="2913" spans="9:17" ht="13.9" x14ac:dyDescent="0.4">
      <c r="I2913" s="1073">
        <f t="shared" si="576"/>
        <v>0</v>
      </c>
      <c r="J2913" s="156" t="s">
        <v>19</v>
      </c>
      <c r="K2913" s="158"/>
      <c r="L2913" s="158"/>
      <c r="M2913" s="159">
        <v>0</v>
      </c>
      <c r="N2913" s="157">
        <v>0</v>
      </c>
      <c r="O2913" s="82">
        <f t="shared" si="575"/>
        <v>0</v>
      </c>
      <c r="P2913" s="158"/>
      <c r="Q2913" s="1071">
        <f t="shared" si="577"/>
        <v>0</v>
      </c>
    </row>
    <row r="2914" spans="9:17" ht="13.9" x14ac:dyDescent="0.4">
      <c r="I2914" s="1071"/>
      <c r="J2914" s="86" t="s">
        <v>22</v>
      </c>
      <c r="K2914" s="86"/>
      <c r="L2914" s="86"/>
      <c r="M2914" s="81"/>
      <c r="N2914" s="87"/>
      <c r="O2914" s="88">
        <f>SUM(O2907:O2913)</f>
        <v>0</v>
      </c>
      <c r="P2914" s="86"/>
      <c r="Q2914" s="1071"/>
    </row>
    <row r="2915" spans="9:17" ht="13.9" x14ac:dyDescent="0.4">
      <c r="I2915" s="1071"/>
      <c r="J2915" s="83"/>
      <c r="K2915" s="83"/>
      <c r="L2915" s="83"/>
      <c r="M2915" s="89"/>
      <c r="N2915" s="84"/>
      <c r="O2915" s="89"/>
      <c r="P2915" s="83"/>
      <c r="Q2915" s="1071"/>
    </row>
    <row r="2916" spans="9:17" ht="13.9" x14ac:dyDescent="0.4">
      <c r="I2916" s="1071"/>
      <c r="J2916" s="1168" t="str">
        <f>A2_Budget_Look_Up!H50</f>
        <v>Other5</v>
      </c>
      <c r="K2916" s="1168"/>
      <c r="L2916" s="1168">
        <f>A2_Budget_Look_Up!F50</f>
        <v>48</v>
      </c>
      <c r="M2916" s="1168"/>
      <c r="N2916" s="1168"/>
      <c r="O2916" s="1168"/>
      <c r="P2916" s="1168"/>
      <c r="Q2916" s="1071"/>
    </row>
    <row r="2917" spans="9:17" ht="13.9" x14ac:dyDescent="0.4">
      <c r="I2917" s="1071"/>
      <c r="J2917" s="83"/>
      <c r="K2917" s="83"/>
      <c r="L2917" s="83"/>
      <c r="M2917" s="83"/>
      <c r="N2917" s="84"/>
      <c r="O2917" s="83"/>
      <c r="P2917" s="83"/>
      <c r="Q2917" s="1071"/>
    </row>
    <row r="2918" spans="9:17" ht="13.9" x14ac:dyDescent="0.4">
      <c r="I2918" s="1071"/>
      <c r="J2918" s="78" t="s">
        <v>18</v>
      </c>
      <c r="K2918" s="78"/>
      <c r="L2918" s="78"/>
      <c r="M2918" s="79"/>
      <c r="N2918" s="85"/>
      <c r="O2918" s="79"/>
      <c r="P2918" s="78"/>
      <c r="Q2918" s="1071"/>
    </row>
    <row r="2919" spans="9:17" ht="13.9" x14ac:dyDescent="0.4">
      <c r="I2919" s="1071"/>
      <c r="J2919" s="80" t="s">
        <v>212</v>
      </c>
      <c r="K2919" s="80" t="s">
        <v>838</v>
      </c>
      <c r="L2919" s="80" t="s">
        <v>2</v>
      </c>
      <c r="M2919" s="80" t="s">
        <v>21</v>
      </c>
      <c r="N2919" s="80" t="s">
        <v>174</v>
      </c>
      <c r="O2919" s="80" t="s">
        <v>14</v>
      </c>
      <c r="P2919" s="80" t="s">
        <v>890</v>
      </c>
      <c r="Q2919" s="1071"/>
    </row>
    <row r="2920" spans="9:17" ht="13.9" x14ac:dyDescent="0.4">
      <c r="I2920" s="1073">
        <f>IF($A$1=48,1,0)</f>
        <v>0</v>
      </c>
      <c r="J2920" s="159" t="s">
        <v>19</v>
      </c>
      <c r="K2920" s="165"/>
      <c r="L2920" s="158"/>
      <c r="M2920" s="159">
        <v>0</v>
      </c>
      <c r="N2920" s="159">
        <v>0</v>
      </c>
      <c r="O2920" s="82">
        <f t="shared" ref="O2920:O2933" si="578">M2920*N2920</f>
        <v>0</v>
      </c>
      <c r="P2920" s="160"/>
      <c r="Q2920" s="1171">
        <f>IF(SUM(I2920:I2975)=820,L2916,0)</f>
        <v>0</v>
      </c>
    </row>
    <row r="2921" spans="9:17" ht="13.9" x14ac:dyDescent="0.4">
      <c r="I2921" s="1073">
        <f t="shared" ref="I2921:I2933" si="579">IF($A$1=48,I2920+1,0)</f>
        <v>0</v>
      </c>
      <c r="J2921" s="159" t="s">
        <v>19</v>
      </c>
      <c r="K2921" s="165"/>
      <c r="L2921" s="158"/>
      <c r="M2921" s="159">
        <v>0</v>
      </c>
      <c r="N2921" s="159">
        <v>0</v>
      </c>
      <c r="O2921" s="82">
        <f t="shared" si="578"/>
        <v>0</v>
      </c>
      <c r="P2921" s="160"/>
      <c r="Q2921" s="1071">
        <f>Q2920</f>
        <v>0</v>
      </c>
    </row>
    <row r="2922" spans="9:17" ht="13.9" x14ac:dyDescent="0.4">
      <c r="I2922" s="1073">
        <f t="shared" si="579"/>
        <v>0</v>
      </c>
      <c r="J2922" s="159" t="s">
        <v>19</v>
      </c>
      <c r="K2922" s="165"/>
      <c r="L2922" s="160"/>
      <c r="M2922" s="159">
        <v>0</v>
      </c>
      <c r="N2922" s="157">
        <v>0</v>
      </c>
      <c r="O2922" s="82">
        <f t="shared" si="578"/>
        <v>0</v>
      </c>
      <c r="P2922" s="160"/>
      <c r="Q2922" s="1071">
        <f t="shared" ref="Q2922:Q2933" si="580">Q2921</f>
        <v>0</v>
      </c>
    </row>
    <row r="2923" spans="9:17" ht="13.9" x14ac:dyDescent="0.4">
      <c r="I2923" s="1073">
        <f t="shared" si="579"/>
        <v>0</v>
      </c>
      <c r="J2923" s="159" t="s">
        <v>19</v>
      </c>
      <c r="K2923" s="165"/>
      <c r="L2923" s="158"/>
      <c r="M2923" s="159">
        <v>0</v>
      </c>
      <c r="N2923" s="157">
        <v>0</v>
      </c>
      <c r="O2923" s="82">
        <f t="shared" si="578"/>
        <v>0</v>
      </c>
      <c r="P2923" s="160"/>
      <c r="Q2923" s="1071">
        <f t="shared" si="580"/>
        <v>0</v>
      </c>
    </row>
    <row r="2924" spans="9:17" ht="13.9" x14ac:dyDescent="0.4">
      <c r="I2924" s="1073">
        <f t="shared" si="579"/>
        <v>0</v>
      </c>
      <c r="J2924" s="159" t="s">
        <v>19</v>
      </c>
      <c r="K2924" s="165"/>
      <c r="L2924" s="160"/>
      <c r="M2924" s="159">
        <v>0</v>
      </c>
      <c r="N2924" s="157">
        <v>0</v>
      </c>
      <c r="O2924" s="82">
        <f t="shared" si="578"/>
        <v>0</v>
      </c>
      <c r="P2924" s="160"/>
      <c r="Q2924" s="1071">
        <f t="shared" si="580"/>
        <v>0</v>
      </c>
    </row>
    <row r="2925" spans="9:17" ht="13.9" x14ac:dyDescent="0.4">
      <c r="I2925" s="1073">
        <f t="shared" si="579"/>
        <v>0</v>
      </c>
      <c r="J2925" s="159" t="s">
        <v>19</v>
      </c>
      <c r="K2925" s="165"/>
      <c r="L2925" s="160"/>
      <c r="M2925" s="159">
        <v>0</v>
      </c>
      <c r="N2925" s="157">
        <v>0</v>
      </c>
      <c r="O2925" s="82">
        <f t="shared" si="578"/>
        <v>0</v>
      </c>
      <c r="P2925" s="160"/>
      <c r="Q2925" s="1071">
        <f t="shared" si="580"/>
        <v>0</v>
      </c>
    </row>
    <row r="2926" spans="9:17" ht="13.9" x14ac:dyDescent="0.4">
      <c r="I2926" s="1073">
        <f t="shared" si="579"/>
        <v>0</v>
      </c>
      <c r="J2926" s="159" t="s">
        <v>19</v>
      </c>
      <c r="K2926" s="165"/>
      <c r="L2926" s="160"/>
      <c r="M2926" s="159">
        <v>0</v>
      </c>
      <c r="N2926" s="157">
        <v>0</v>
      </c>
      <c r="O2926" s="82">
        <f t="shared" si="578"/>
        <v>0</v>
      </c>
      <c r="P2926" s="160"/>
      <c r="Q2926" s="1071">
        <f t="shared" si="580"/>
        <v>0</v>
      </c>
    </row>
    <row r="2927" spans="9:17" ht="13.9" x14ac:dyDescent="0.4">
      <c r="I2927" s="1073">
        <f t="shared" si="579"/>
        <v>0</v>
      </c>
      <c r="J2927" s="159" t="s">
        <v>19</v>
      </c>
      <c r="K2927" s="165"/>
      <c r="L2927" s="160"/>
      <c r="M2927" s="159">
        <v>0</v>
      </c>
      <c r="N2927" s="157">
        <v>0</v>
      </c>
      <c r="O2927" s="82">
        <f t="shared" si="578"/>
        <v>0</v>
      </c>
      <c r="P2927" s="160"/>
      <c r="Q2927" s="1071">
        <f t="shared" si="580"/>
        <v>0</v>
      </c>
    </row>
    <row r="2928" spans="9:17" ht="13.9" x14ac:dyDescent="0.4">
      <c r="I2928" s="1073">
        <f t="shared" si="579"/>
        <v>0</v>
      </c>
      <c r="J2928" s="159" t="s">
        <v>19</v>
      </c>
      <c r="K2928" s="165"/>
      <c r="L2928" s="160"/>
      <c r="M2928" s="159">
        <v>0</v>
      </c>
      <c r="N2928" s="157">
        <v>0</v>
      </c>
      <c r="O2928" s="82">
        <f t="shared" si="578"/>
        <v>0</v>
      </c>
      <c r="P2928" s="160"/>
      <c r="Q2928" s="1071">
        <f t="shared" si="580"/>
        <v>0</v>
      </c>
    </row>
    <row r="2929" spans="9:17" ht="13.9" x14ac:dyDescent="0.4">
      <c r="I2929" s="1073">
        <f t="shared" si="579"/>
        <v>0</v>
      </c>
      <c r="J2929" s="159" t="s">
        <v>19</v>
      </c>
      <c r="K2929" s="165"/>
      <c r="L2929" s="160"/>
      <c r="M2929" s="159">
        <v>0</v>
      </c>
      <c r="N2929" s="157">
        <v>0</v>
      </c>
      <c r="O2929" s="82">
        <f t="shared" si="578"/>
        <v>0</v>
      </c>
      <c r="P2929" s="160"/>
      <c r="Q2929" s="1071">
        <f t="shared" si="580"/>
        <v>0</v>
      </c>
    </row>
    <row r="2930" spans="9:17" ht="13.9" x14ac:dyDescent="0.4">
      <c r="I2930" s="1073">
        <f t="shared" si="579"/>
        <v>0</v>
      </c>
      <c r="J2930" s="159" t="s">
        <v>19</v>
      </c>
      <c r="K2930" s="160"/>
      <c r="L2930" s="160"/>
      <c r="M2930" s="159">
        <v>0</v>
      </c>
      <c r="N2930" s="157">
        <v>0</v>
      </c>
      <c r="O2930" s="82">
        <f t="shared" si="578"/>
        <v>0</v>
      </c>
      <c r="P2930" s="160"/>
      <c r="Q2930" s="1071">
        <f t="shared" si="580"/>
        <v>0</v>
      </c>
    </row>
    <row r="2931" spans="9:17" ht="13.9" x14ac:dyDescent="0.4">
      <c r="I2931" s="1073">
        <f t="shared" si="579"/>
        <v>0</v>
      </c>
      <c r="J2931" s="159" t="s">
        <v>19</v>
      </c>
      <c r="K2931" s="160"/>
      <c r="L2931" s="160"/>
      <c r="M2931" s="159">
        <v>0</v>
      </c>
      <c r="N2931" s="157">
        <v>0</v>
      </c>
      <c r="O2931" s="82">
        <f t="shared" si="578"/>
        <v>0</v>
      </c>
      <c r="P2931" s="160"/>
      <c r="Q2931" s="1071">
        <f t="shared" si="580"/>
        <v>0</v>
      </c>
    </row>
    <row r="2932" spans="9:17" ht="13.9" x14ac:dyDescent="0.4">
      <c r="I2932" s="1073">
        <f t="shared" si="579"/>
        <v>0</v>
      </c>
      <c r="J2932" s="159" t="s">
        <v>19</v>
      </c>
      <c r="K2932" s="160"/>
      <c r="L2932" s="160"/>
      <c r="M2932" s="159">
        <v>0</v>
      </c>
      <c r="N2932" s="157">
        <v>0</v>
      </c>
      <c r="O2932" s="82">
        <f t="shared" si="578"/>
        <v>0</v>
      </c>
      <c r="P2932" s="160"/>
      <c r="Q2932" s="1071">
        <f t="shared" si="580"/>
        <v>0</v>
      </c>
    </row>
    <row r="2933" spans="9:17" ht="13.9" x14ac:dyDescent="0.4">
      <c r="I2933" s="1073">
        <f t="shared" si="579"/>
        <v>0</v>
      </c>
      <c r="J2933" s="159" t="s">
        <v>19</v>
      </c>
      <c r="K2933" s="160"/>
      <c r="L2933" s="160"/>
      <c r="M2933" s="159">
        <v>0</v>
      </c>
      <c r="N2933" s="157">
        <v>0</v>
      </c>
      <c r="O2933" s="82">
        <f t="shared" si="578"/>
        <v>0</v>
      </c>
      <c r="P2933" s="160"/>
      <c r="Q2933" s="1071">
        <f t="shared" si="580"/>
        <v>0</v>
      </c>
    </row>
    <row r="2934" spans="9:17" ht="13.9" x14ac:dyDescent="0.4">
      <c r="I2934" s="1071"/>
      <c r="J2934" s="86" t="s">
        <v>22</v>
      </c>
      <c r="K2934" s="86"/>
      <c r="L2934" s="86"/>
      <c r="M2934" s="81"/>
      <c r="N2934" s="87"/>
      <c r="O2934" s="88">
        <f>SUM(O2920:O2933)</f>
        <v>0</v>
      </c>
      <c r="P2934" s="86"/>
      <c r="Q2934" s="1071"/>
    </row>
    <row r="2935" spans="9:17" ht="13.9" x14ac:dyDescent="0.4">
      <c r="I2935" s="1071"/>
      <c r="J2935" s="83"/>
      <c r="K2935" s="83"/>
      <c r="L2935" s="83"/>
      <c r="M2935" s="83"/>
      <c r="N2935" s="84"/>
      <c r="O2935" s="83"/>
      <c r="P2935" s="83"/>
      <c r="Q2935" s="1071"/>
    </row>
    <row r="2936" spans="9:17" ht="13.9" x14ac:dyDescent="0.4">
      <c r="I2936" s="1071"/>
      <c r="J2936" s="78" t="s">
        <v>20</v>
      </c>
      <c r="K2936" s="78"/>
      <c r="L2936" s="78"/>
      <c r="M2936" s="79"/>
      <c r="N2936" s="85"/>
      <c r="O2936" s="79"/>
      <c r="P2936" s="78"/>
      <c r="Q2936" s="1071"/>
    </row>
    <row r="2937" spans="9:17" ht="13.9" x14ac:dyDescent="0.4">
      <c r="I2937" s="1071"/>
      <c r="J2937" s="80" t="s">
        <v>212</v>
      </c>
      <c r="K2937" s="80" t="s">
        <v>838</v>
      </c>
      <c r="L2937" s="80" t="s">
        <v>2</v>
      </c>
      <c r="M2937" s="80" t="s">
        <v>21</v>
      </c>
      <c r="N2937" s="80" t="s">
        <v>174</v>
      </c>
      <c r="O2937" s="80" t="s">
        <v>14</v>
      </c>
      <c r="P2937" s="80" t="s">
        <v>890</v>
      </c>
      <c r="Q2937" s="1071"/>
    </row>
    <row r="2938" spans="9:17" ht="13.9" x14ac:dyDescent="0.4">
      <c r="I2938" s="1073">
        <f>IF($A$1=48,I2933+1,0)</f>
        <v>0</v>
      </c>
      <c r="J2938" s="159" t="s">
        <v>19</v>
      </c>
      <c r="K2938" s="160"/>
      <c r="L2938" s="160"/>
      <c r="M2938" s="159">
        <v>0</v>
      </c>
      <c r="N2938" s="157">
        <v>0</v>
      </c>
      <c r="O2938" s="82">
        <f t="shared" ref="O2938:O2947" si="581">M2938*N2938</f>
        <v>0</v>
      </c>
      <c r="P2938" s="160"/>
      <c r="Q2938" s="1071">
        <f>Q2920</f>
        <v>0</v>
      </c>
    </row>
    <row r="2939" spans="9:17" ht="13.9" x14ac:dyDescent="0.4">
      <c r="I2939" s="1073">
        <f t="shared" ref="I2939:I2947" si="582">IF($A$1=48,I2938+1,0)</f>
        <v>0</v>
      </c>
      <c r="J2939" s="159" t="s">
        <v>19</v>
      </c>
      <c r="K2939" s="160"/>
      <c r="L2939" s="160"/>
      <c r="M2939" s="159">
        <v>0</v>
      </c>
      <c r="N2939" s="157">
        <v>0</v>
      </c>
      <c r="O2939" s="82">
        <f t="shared" si="581"/>
        <v>0</v>
      </c>
      <c r="P2939" s="160"/>
      <c r="Q2939" s="1071">
        <f>Q2938</f>
        <v>0</v>
      </c>
    </row>
    <row r="2940" spans="9:17" ht="13.9" x14ac:dyDescent="0.4">
      <c r="I2940" s="1073">
        <f t="shared" si="582"/>
        <v>0</v>
      </c>
      <c r="J2940" s="159" t="s">
        <v>19</v>
      </c>
      <c r="K2940" s="160"/>
      <c r="L2940" s="160"/>
      <c r="M2940" s="159">
        <v>0</v>
      </c>
      <c r="N2940" s="157">
        <v>0</v>
      </c>
      <c r="O2940" s="82">
        <f t="shared" si="581"/>
        <v>0</v>
      </c>
      <c r="P2940" s="160"/>
      <c r="Q2940" s="1071">
        <f t="shared" ref="Q2940:Q2947" si="583">Q2939</f>
        <v>0</v>
      </c>
    </row>
    <row r="2941" spans="9:17" ht="13.9" x14ac:dyDescent="0.4">
      <c r="I2941" s="1073">
        <f t="shared" si="582"/>
        <v>0</v>
      </c>
      <c r="J2941" s="159" t="s">
        <v>19</v>
      </c>
      <c r="K2941" s="160"/>
      <c r="L2941" s="160"/>
      <c r="M2941" s="159">
        <v>0</v>
      </c>
      <c r="N2941" s="157">
        <v>0</v>
      </c>
      <c r="O2941" s="82">
        <f t="shared" si="581"/>
        <v>0</v>
      </c>
      <c r="P2941" s="160"/>
      <c r="Q2941" s="1071">
        <f t="shared" si="583"/>
        <v>0</v>
      </c>
    </row>
    <row r="2942" spans="9:17" ht="13.9" x14ac:dyDescent="0.4">
      <c r="I2942" s="1073">
        <f t="shared" si="582"/>
        <v>0</v>
      </c>
      <c r="J2942" s="159" t="s">
        <v>19</v>
      </c>
      <c r="K2942" s="160"/>
      <c r="L2942" s="160"/>
      <c r="M2942" s="159">
        <v>0</v>
      </c>
      <c r="N2942" s="157">
        <v>0</v>
      </c>
      <c r="O2942" s="82">
        <f t="shared" si="581"/>
        <v>0</v>
      </c>
      <c r="P2942" s="158"/>
      <c r="Q2942" s="1071">
        <f t="shared" si="583"/>
        <v>0</v>
      </c>
    </row>
    <row r="2943" spans="9:17" ht="13.9" x14ac:dyDescent="0.4">
      <c r="I2943" s="1073">
        <f t="shared" si="582"/>
        <v>0</v>
      </c>
      <c r="J2943" s="159" t="s">
        <v>19</v>
      </c>
      <c r="K2943" s="160"/>
      <c r="L2943" s="160"/>
      <c r="M2943" s="159">
        <v>0</v>
      </c>
      <c r="N2943" s="157">
        <v>0</v>
      </c>
      <c r="O2943" s="82">
        <f t="shared" si="581"/>
        <v>0</v>
      </c>
      <c r="P2943" s="158"/>
      <c r="Q2943" s="1071">
        <f t="shared" si="583"/>
        <v>0</v>
      </c>
    </row>
    <row r="2944" spans="9:17" ht="13.9" x14ac:dyDescent="0.4">
      <c r="I2944" s="1073">
        <f t="shared" si="582"/>
        <v>0</v>
      </c>
      <c r="J2944" s="159" t="s">
        <v>19</v>
      </c>
      <c r="K2944" s="160"/>
      <c r="L2944" s="160"/>
      <c r="M2944" s="159">
        <v>0</v>
      </c>
      <c r="N2944" s="157">
        <v>0</v>
      </c>
      <c r="O2944" s="82">
        <f t="shared" si="581"/>
        <v>0</v>
      </c>
      <c r="P2944" s="158"/>
      <c r="Q2944" s="1071">
        <f t="shared" si="583"/>
        <v>0</v>
      </c>
    </row>
    <row r="2945" spans="9:17" ht="13.9" x14ac:dyDescent="0.4">
      <c r="I2945" s="1073">
        <f t="shared" si="582"/>
        <v>0</v>
      </c>
      <c r="J2945" s="159" t="s">
        <v>19</v>
      </c>
      <c r="K2945" s="160"/>
      <c r="L2945" s="160"/>
      <c r="M2945" s="159">
        <v>0</v>
      </c>
      <c r="N2945" s="157">
        <v>0</v>
      </c>
      <c r="O2945" s="82">
        <f t="shared" si="581"/>
        <v>0</v>
      </c>
      <c r="P2945" s="158"/>
      <c r="Q2945" s="1071">
        <f t="shared" si="583"/>
        <v>0</v>
      </c>
    </row>
    <row r="2946" spans="9:17" ht="13.9" x14ac:dyDescent="0.4">
      <c r="I2946" s="1073">
        <f t="shared" si="582"/>
        <v>0</v>
      </c>
      <c r="J2946" s="159" t="s">
        <v>19</v>
      </c>
      <c r="K2946" s="160"/>
      <c r="L2946" s="160"/>
      <c r="M2946" s="159">
        <v>0</v>
      </c>
      <c r="N2946" s="157">
        <v>0</v>
      </c>
      <c r="O2946" s="82">
        <f t="shared" si="581"/>
        <v>0</v>
      </c>
      <c r="P2946" s="158"/>
      <c r="Q2946" s="1071">
        <f t="shared" si="583"/>
        <v>0</v>
      </c>
    </row>
    <row r="2947" spans="9:17" ht="13.9" x14ac:dyDescent="0.4">
      <c r="I2947" s="1073">
        <f t="shared" si="582"/>
        <v>0</v>
      </c>
      <c r="J2947" s="159" t="s">
        <v>19</v>
      </c>
      <c r="K2947" s="160"/>
      <c r="L2947" s="160"/>
      <c r="M2947" s="159">
        <v>0</v>
      </c>
      <c r="N2947" s="157">
        <v>0</v>
      </c>
      <c r="O2947" s="82">
        <f t="shared" si="581"/>
        <v>0</v>
      </c>
      <c r="P2947" s="158"/>
      <c r="Q2947" s="1071">
        <f t="shared" si="583"/>
        <v>0</v>
      </c>
    </row>
    <row r="2948" spans="9:17" ht="13.9" x14ac:dyDescent="0.4">
      <c r="I2948" s="1071"/>
      <c r="J2948" s="86" t="s">
        <v>22</v>
      </c>
      <c r="K2948" s="86"/>
      <c r="L2948" s="86"/>
      <c r="M2948" s="81"/>
      <c r="N2948" s="87"/>
      <c r="O2948" s="88">
        <f>SUM(O2938:O2947)</f>
        <v>0</v>
      </c>
      <c r="P2948" s="86"/>
      <c r="Q2948" s="1071"/>
    </row>
    <row r="2949" spans="9:17" ht="13.9" x14ac:dyDescent="0.4">
      <c r="I2949" s="1071"/>
      <c r="J2949" s="83"/>
      <c r="K2949" s="83"/>
      <c r="L2949" s="83"/>
      <c r="M2949" s="83"/>
      <c r="N2949" s="84"/>
      <c r="O2949" s="83"/>
      <c r="P2949" s="83"/>
      <c r="Q2949" s="1071"/>
    </row>
    <row r="2950" spans="9:17" ht="13.9" x14ac:dyDescent="0.4">
      <c r="I2950" s="1071"/>
      <c r="J2950" s="78" t="str">
        <f>IF(OR(A2_Budget_Look_Up!$B$7=1,A2_Budget_Look_Up!$B$13=1),"Nematicide Detail", "Fungicide Detail")</f>
        <v>Fungicide Detail</v>
      </c>
      <c r="K2950" s="78"/>
      <c r="L2950" s="78"/>
      <c r="M2950" s="79"/>
      <c r="N2950" s="85"/>
      <c r="O2950" s="79"/>
      <c r="P2950" s="78"/>
      <c r="Q2950" s="1071"/>
    </row>
    <row r="2951" spans="9:17" ht="13.9" x14ac:dyDescent="0.4">
      <c r="I2951" s="1071"/>
      <c r="J2951" s="80" t="s">
        <v>212</v>
      </c>
      <c r="K2951" s="80" t="s">
        <v>838</v>
      </c>
      <c r="L2951" s="80" t="s">
        <v>2</v>
      </c>
      <c r="M2951" s="80" t="s">
        <v>21</v>
      </c>
      <c r="N2951" s="80" t="s">
        <v>174</v>
      </c>
      <c r="O2951" s="80" t="s">
        <v>14</v>
      </c>
      <c r="P2951" s="80" t="s">
        <v>890</v>
      </c>
      <c r="Q2951" s="1071"/>
    </row>
    <row r="2952" spans="9:17" ht="13.9" x14ac:dyDescent="0.4">
      <c r="I2952" s="1073">
        <f>IF($A$1=48,I2947+1,0)</f>
        <v>0</v>
      </c>
      <c r="J2952" s="156" t="s">
        <v>19</v>
      </c>
      <c r="K2952" s="158"/>
      <c r="L2952" s="158"/>
      <c r="M2952" s="159">
        <v>0</v>
      </c>
      <c r="N2952" s="157">
        <v>0</v>
      </c>
      <c r="O2952" s="82">
        <f>M2952*N2952</f>
        <v>0</v>
      </c>
      <c r="P2952" s="158"/>
      <c r="Q2952" s="1071">
        <f>Q2947</f>
        <v>0</v>
      </c>
    </row>
    <row r="2953" spans="9:17" ht="13.9" x14ac:dyDescent="0.4">
      <c r="I2953" s="1073">
        <f>IF($A$1=48,I2952+1,0)</f>
        <v>0</v>
      </c>
      <c r="J2953" s="156" t="s">
        <v>19</v>
      </c>
      <c r="K2953" s="158"/>
      <c r="L2953" s="158"/>
      <c r="M2953" s="159">
        <v>0</v>
      </c>
      <c r="N2953" s="157">
        <v>0</v>
      </c>
      <c r="O2953" s="82">
        <f>M2953*N2953</f>
        <v>0</v>
      </c>
      <c r="P2953" s="158"/>
      <c r="Q2953" s="1071">
        <f>Q2952</f>
        <v>0</v>
      </c>
    </row>
    <row r="2954" spans="9:17" ht="13.9" x14ac:dyDescent="0.4">
      <c r="I2954" s="1071"/>
      <c r="J2954" s="86" t="s">
        <v>22</v>
      </c>
      <c r="K2954" s="86"/>
      <c r="L2954" s="86"/>
      <c r="M2954" s="81"/>
      <c r="N2954" s="87"/>
      <c r="O2954" s="88">
        <f>SUM(O2952:O2953)</f>
        <v>0</v>
      </c>
      <c r="P2954" s="86"/>
      <c r="Q2954" s="1071"/>
    </row>
    <row r="2955" spans="9:17" ht="13.9" x14ac:dyDescent="0.4">
      <c r="I2955" s="1071"/>
      <c r="J2955" s="83"/>
      <c r="K2955" s="83"/>
      <c r="L2955" s="83"/>
      <c r="M2955" s="83"/>
      <c r="N2955" s="84"/>
      <c r="O2955" s="83"/>
      <c r="P2955" s="83"/>
      <c r="Q2955" s="1071"/>
    </row>
    <row r="2956" spans="9:17" ht="13.9" x14ac:dyDescent="0.4">
      <c r="I2956" s="1071"/>
      <c r="J2956" s="78" t="str">
        <f>IF(A2_Budget_Look_Up!$B$7=1,"Growth Regulator Detail", IF(A2_Budget_Look_Up!$B$13=1,"Fungicide Detail","Other Chemical Detail"))</f>
        <v>Other Chemical Detail</v>
      </c>
      <c r="K2956" s="78"/>
      <c r="L2956" s="78"/>
      <c r="M2956" s="79"/>
      <c r="N2956" s="85"/>
      <c r="O2956" s="79"/>
      <c r="P2956" s="78"/>
      <c r="Q2956" s="1071"/>
    </row>
    <row r="2957" spans="9:17" ht="13.9" x14ac:dyDescent="0.4">
      <c r="I2957" s="1071"/>
      <c r="J2957" s="80" t="s">
        <v>212</v>
      </c>
      <c r="K2957" s="80" t="s">
        <v>838</v>
      </c>
      <c r="L2957" s="80" t="s">
        <v>2</v>
      </c>
      <c r="M2957" s="80" t="s">
        <v>21</v>
      </c>
      <c r="N2957" s="80" t="s">
        <v>174</v>
      </c>
      <c r="O2957" s="80" t="s">
        <v>14</v>
      </c>
      <c r="P2957" s="80" t="s">
        <v>890</v>
      </c>
      <c r="Q2957" s="1071"/>
    </row>
    <row r="2958" spans="9:17" ht="13.9" x14ac:dyDescent="0.4">
      <c r="I2958" s="1073">
        <f>IF($A$1=48,I2953+1,0)</f>
        <v>0</v>
      </c>
      <c r="J2958" s="156" t="s">
        <v>19</v>
      </c>
      <c r="K2958" s="158"/>
      <c r="L2958" s="158"/>
      <c r="M2958" s="159">
        <v>0</v>
      </c>
      <c r="N2958" s="157">
        <v>0</v>
      </c>
      <c r="O2958" s="82">
        <f t="shared" ref="O2958:O2964" si="584">M2958*N2958</f>
        <v>0</v>
      </c>
      <c r="P2958" s="160"/>
      <c r="Q2958" s="1071">
        <f>Q2953</f>
        <v>0</v>
      </c>
    </row>
    <row r="2959" spans="9:17" ht="13.9" x14ac:dyDescent="0.4">
      <c r="I2959" s="1073">
        <f t="shared" ref="I2959:I2964" si="585">IF($A$1=48,I2958+1,0)</f>
        <v>0</v>
      </c>
      <c r="J2959" s="156" t="s">
        <v>19</v>
      </c>
      <c r="K2959" s="158"/>
      <c r="L2959" s="158"/>
      <c r="M2959" s="159">
        <v>0</v>
      </c>
      <c r="N2959" s="157">
        <v>0</v>
      </c>
      <c r="O2959" s="82">
        <f t="shared" si="584"/>
        <v>0</v>
      </c>
      <c r="P2959" s="160"/>
      <c r="Q2959" s="1071">
        <f t="shared" ref="Q2959:Q2964" si="586">Q2958</f>
        <v>0</v>
      </c>
    </row>
    <row r="2960" spans="9:17" ht="13.9" x14ac:dyDescent="0.4">
      <c r="I2960" s="1073">
        <f t="shared" si="585"/>
        <v>0</v>
      </c>
      <c r="J2960" s="156" t="s">
        <v>19</v>
      </c>
      <c r="K2960" s="158"/>
      <c r="L2960" s="158"/>
      <c r="M2960" s="159">
        <v>0</v>
      </c>
      <c r="N2960" s="157">
        <v>0</v>
      </c>
      <c r="O2960" s="82">
        <f t="shared" si="584"/>
        <v>0</v>
      </c>
      <c r="P2960" s="160"/>
      <c r="Q2960" s="1071">
        <f t="shared" si="586"/>
        <v>0</v>
      </c>
    </row>
    <row r="2961" spans="9:17" ht="13.9" x14ac:dyDescent="0.4">
      <c r="I2961" s="1073">
        <f t="shared" si="585"/>
        <v>0</v>
      </c>
      <c r="J2961" s="156" t="s">
        <v>19</v>
      </c>
      <c r="K2961" s="158"/>
      <c r="L2961" s="158"/>
      <c r="M2961" s="159">
        <v>0</v>
      </c>
      <c r="N2961" s="157">
        <v>0</v>
      </c>
      <c r="O2961" s="82">
        <f t="shared" si="584"/>
        <v>0</v>
      </c>
      <c r="P2961" s="158"/>
      <c r="Q2961" s="1071">
        <f t="shared" si="586"/>
        <v>0</v>
      </c>
    </row>
    <row r="2962" spans="9:17" ht="13.9" x14ac:dyDescent="0.4">
      <c r="I2962" s="1073">
        <f t="shared" si="585"/>
        <v>0</v>
      </c>
      <c r="J2962" s="156" t="s">
        <v>19</v>
      </c>
      <c r="K2962" s="158"/>
      <c r="L2962" s="158"/>
      <c r="M2962" s="159">
        <v>0</v>
      </c>
      <c r="N2962" s="157">
        <v>0</v>
      </c>
      <c r="O2962" s="82">
        <f t="shared" si="584"/>
        <v>0</v>
      </c>
      <c r="P2962" s="158"/>
      <c r="Q2962" s="1071">
        <f t="shared" si="586"/>
        <v>0</v>
      </c>
    </row>
    <row r="2963" spans="9:17" ht="13.9" x14ac:dyDescent="0.4">
      <c r="I2963" s="1073">
        <f t="shared" si="585"/>
        <v>0</v>
      </c>
      <c r="J2963" s="156" t="s">
        <v>19</v>
      </c>
      <c r="K2963" s="158"/>
      <c r="L2963" s="158"/>
      <c r="M2963" s="159">
        <v>0</v>
      </c>
      <c r="N2963" s="157">
        <v>0</v>
      </c>
      <c r="O2963" s="82">
        <f t="shared" si="584"/>
        <v>0</v>
      </c>
      <c r="P2963" s="158"/>
      <c r="Q2963" s="1071">
        <f t="shared" si="586"/>
        <v>0</v>
      </c>
    </row>
    <row r="2964" spans="9:17" ht="13.9" x14ac:dyDescent="0.4">
      <c r="I2964" s="1073">
        <f t="shared" si="585"/>
        <v>0</v>
      </c>
      <c r="J2964" s="156" t="s">
        <v>19</v>
      </c>
      <c r="K2964" s="158"/>
      <c r="L2964" s="158"/>
      <c r="M2964" s="159">
        <v>0</v>
      </c>
      <c r="N2964" s="157">
        <v>0</v>
      </c>
      <c r="O2964" s="82">
        <f t="shared" si="584"/>
        <v>0</v>
      </c>
      <c r="P2964" s="158"/>
      <c r="Q2964" s="1071">
        <f t="shared" si="586"/>
        <v>0</v>
      </c>
    </row>
    <row r="2965" spans="9:17" ht="13.9" x14ac:dyDescent="0.4">
      <c r="I2965" s="1071"/>
      <c r="J2965" s="86" t="s">
        <v>22</v>
      </c>
      <c r="K2965" s="86"/>
      <c r="L2965" s="86"/>
      <c r="M2965" s="81"/>
      <c r="N2965" s="87"/>
      <c r="O2965" s="88">
        <f>SUM(O2958:O2964)</f>
        <v>0</v>
      </c>
      <c r="P2965" s="86"/>
      <c r="Q2965" s="1071"/>
    </row>
    <row r="2966" spans="9:17" ht="13.9" x14ac:dyDescent="0.4">
      <c r="I2966" s="1071"/>
      <c r="J2966" s="83"/>
      <c r="K2966" s="83"/>
      <c r="L2966" s="83"/>
      <c r="M2966" s="83"/>
      <c r="N2966" s="84"/>
      <c r="O2966" s="83"/>
      <c r="P2966" s="83"/>
      <c r="Q2966" s="1071"/>
    </row>
    <row r="2967" spans="9:17" ht="13.9" x14ac:dyDescent="0.4">
      <c r="I2967" s="1071"/>
      <c r="J2967" s="78" t="str">
        <f>IF(A2_Budget_Look_Up!$B$7=1,"Defoliant Detail", "Other Chemical Detail")</f>
        <v>Other Chemical Detail</v>
      </c>
      <c r="K2967" s="78"/>
      <c r="L2967" s="78"/>
      <c r="M2967" s="79"/>
      <c r="N2967" s="85"/>
      <c r="O2967" s="79"/>
      <c r="P2967" s="78"/>
      <c r="Q2967" s="1071"/>
    </row>
    <row r="2968" spans="9:17" ht="13.9" x14ac:dyDescent="0.4">
      <c r="I2968" s="1071"/>
      <c r="J2968" s="80" t="s">
        <v>212</v>
      </c>
      <c r="K2968" s="80" t="s">
        <v>838</v>
      </c>
      <c r="L2968" s="80" t="s">
        <v>2</v>
      </c>
      <c r="M2968" s="80" t="s">
        <v>21</v>
      </c>
      <c r="N2968" s="80" t="s">
        <v>174</v>
      </c>
      <c r="O2968" s="80" t="s">
        <v>14</v>
      </c>
      <c r="P2968" s="80" t="s">
        <v>890</v>
      </c>
      <c r="Q2968" s="1071"/>
    </row>
    <row r="2969" spans="9:17" ht="13.9" x14ac:dyDescent="0.4">
      <c r="I2969" s="1073">
        <f>IF($A$1=48,I2964+1,0)</f>
        <v>0</v>
      </c>
      <c r="J2969" s="156" t="s">
        <v>19</v>
      </c>
      <c r="K2969" s="158"/>
      <c r="L2969" s="158"/>
      <c r="M2969" s="159">
        <v>0</v>
      </c>
      <c r="N2969" s="157">
        <v>0</v>
      </c>
      <c r="O2969" s="82">
        <f t="shared" ref="O2969:O2975" si="587">M2969*N2969</f>
        <v>0</v>
      </c>
      <c r="P2969" s="160"/>
      <c r="Q2969" s="1071">
        <f>Q2964</f>
        <v>0</v>
      </c>
    </row>
    <row r="2970" spans="9:17" ht="13.9" x14ac:dyDescent="0.4">
      <c r="I2970" s="1073">
        <f t="shared" ref="I2970:I2975" si="588">IF($A$1=48,I2969+1,0)</f>
        <v>0</v>
      </c>
      <c r="J2970" s="156" t="s">
        <v>19</v>
      </c>
      <c r="K2970" s="158"/>
      <c r="L2970" s="158"/>
      <c r="M2970" s="159">
        <v>0</v>
      </c>
      <c r="N2970" s="157">
        <v>0</v>
      </c>
      <c r="O2970" s="82">
        <f t="shared" si="587"/>
        <v>0</v>
      </c>
      <c r="P2970" s="160"/>
      <c r="Q2970" s="1071">
        <f t="shared" ref="Q2970:Q2975" si="589">Q2969</f>
        <v>0</v>
      </c>
    </row>
    <row r="2971" spans="9:17" ht="13.9" x14ac:dyDescent="0.4">
      <c r="I2971" s="1073">
        <f t="shared" si="588"/>
        <v>0</v>
      </c>
      <c r="J2971" s="156" t="s">
        <v>19</v>
      </c>
      <c r="K2971" s="158"/>
      <c r="L2971" s="158"/>
      <c r="M2971" s="159">
        <v>0</v>
      </c>
      <c r="N2971" s="157">
        <v>0</v>
      </c>
      <c r="O2971" s="82">
        <f t="shared" si="587"/>
        <v>0</v>
      </c>
      <c r="P2971" s="160"/>
      <c r="Q2971" s="1071">
        <f t="shared" si="589"/>
        <v>0</v>
      </c>
    </row>
    <row r="2972" spans="9:17" ht="13.9" x14ac:dyDescent="0.4">
      <c r="I2972" s="1073">
        <f t="shared" si="588"/>
        <v>0</v>
      </c>
      <c r="J2972" s="156" t="s">
        <v>19</v>
      </c>
      <c r="K2972" s="158"/>
      <c r="L2972" s="158"/>
      <c r="M2972" s="159">
        <v>0</v>
      </c>
      <c r="N2972" s="157">
        <v>0</v>
      </c>
      <c r="O2972" s="82">
        <f t="shared" si="587"/>
        <v>0</v>
      </c>
      <c r="P2972" s="160"/>
      <c r="Q2972" s="1071">
        <f t="shared" si="589"/>
        <v>0</v>
      </c>
    </row>
    <row r="2973" spans="9:17" ht="13.9" x14ac:dyDescent="0.4">
      <c r="I2973" s="1073">
        <f t="shared" si="588"/>
        <v>0</v>
      </c>
      <c r="J2973" s="156" t="s">
        <v>19</v>
      </c>
      <c r="K2973" s="158"/>
      <c r="L2973" s="158"/>
      <c r="M2973" s="159">
        <v>0</v>
      </c>
      <c r="N2973" s="157">
        <v>0</v>
      </c>
      <c r="O2973" s="82">
        <f t="shared" si="587"/>
        <v>0</v>
      </c>
      <c r="P2973" s="160"/>
      <c r="Q2973" s="1071">
        <f t="shared" si="589"/>
        <v>0</v>
      </c>
    </row>
    <row r="2974" spans="9:17" ht="13.9" x14ac:dyDescent="0.4">
      <c r="I2974" s="1073">
        <f t="shared" si="588"/>
        <v>0</v>
      </c>
      <c r="J2974" s="156" t="s">
        <v>19</v>
      </c>
      <c r="K2974" s="158"/>
      <c r="L2974" s="158"/>
      <c r="M2974" s="159">
        <v>0</v>
      </c>
      <c r="N2974" s="157">
        <v>0</v>
      </c>
      <c r="O2974" s="82">
        <f t="shared" si="587"/>
        <v>0</v>
      </c>
      <c r="P2974" s="158"/>
      <c r="Q2974" s="1071">
        <f t="shared" si="589"/>
        <v>0</v>
      </c>
    </row>
    <row r="2975" spans="9:17" ht="13.9" x14ac:dyDescent="0.4">
      <c r="I2975" s="1073">
        <f t="shared" si="588"/>
        <v>0</v>
      </c>
      <c r="J2975" s="156" t="s">
        <v>19</v>
      </c>
      <c r="K2975" s="158"/>
      <c r="L2975" s="158"/>
      <c r="M2975" s="159">
        <v>0</v>
      </c>
      <c r="N2975" s="157">
        <v>0</v>
      </c>
      <c r="O2975" s="82">
        <f t="shared" si="587"/>
        <v>0</v>
      </c>
      <c r="P2975" s="158"/>
      <c r="Q2975" s="1071">
        <f t="shared" si="589"/>
        <v>0</v>
      </c>
    </row>
    <row r="2976" spans="9:17" ht="13.9" x14ac:dyDescent="0.4">
      <c r="I2976" s="1071"/>
      <c r="J2976" s="86" t="s">
        <v>22</v>
      </c>
      <c r="K2976" s="86"/>
      <c r="L2976" s="86"/>
      <c r="M2976" s="81"/>
      <c r="N2976" s="87"/>
      <c r="O2976" s="88">
        <f>SUM(O2969:O2975)</f>
        <v>0</v>
      </c>
      <c r="P2976" s="86"/>
      <c r="Q2976" s="1071"/>
    </row>
    <row r="2978" spans="9:17" ht="13.9" x14ac:dyDescent="0.4">
      <c r="I2978" s="1071"/>
      <c r="J2978" s="1168" t="str">
        <f>A2_Budget_Look_Up!H51</f>
        <v>Other6</v>
      </c>
      <c r="K2978" s="1168"/>
      <c r="L2978" s="1168">
        <f>A2_Budget_Look_Up!F51</f>
        <v>49</v>
      </c>
      <c r="M2978" s="1168"/>
      <c r="N2978" s="1168"/>
      <c r="O2978" s="1168"/>
      <c r="P2978" s="1168"/>
      <c r="Q2978" s="1071"/>
    </row>
    <row r="2979" spans="9:17" ht="13.9" x14ac:dyDescent="0.4">
      <c r="I2979" s="1071"/>
      <c r="J2979" s="83"/>
      <c r="K2979" s="83"/>
      <c r="L2979" s="83"/>
      <c r="M2979" s="83"/>
      <c r="N2979" s="84"/>
      <c r="O2979" s="83"/>
      <c r="P2979" s="83"/>
      <c r="Q2979" s="1071"/>
    </row>
    <row r="2980" spans="9:17" ht="13.9" x14ac:dyDescent="0.4">
      <c r="I2980" s="1071"/>
      <c r="J2980" s="78" t="s">
        <v>18</v>
      </c>
      <c r="K2980" s="78"/>
      <c r="L2980" s="78"/>
      <c r="M2980" s="79"/>
      <c r="N2980" s="85"/>
      <c r="O2980" s="79"/>
      <c r="P2980" s="78"/>
      <c r="Q2980" s="1071"/>
    </row>
    <row r="2981" spans="9:17" ht="13.9" x14ac:dyDescent="0.4">
      <c r="I2981" s="1071"/>
      <c r="J2981" s="80" t="s">
        <v>212</v>
      </c>
      <c r="K2981" s="80" t="s">
        <v>838</v>
      </c>
      <c r="L2981" s="80" t="s">
        <v>2</v>
      </c>
      <c r="M2981" s="80" t="s">
        <v>21</v>
      </c>
      <c r="N2981" s="80" t="s">
        <v>174</v>
      </c>
      <c r="O2981" s="80" t="s">
        <v>14</v>
      </c>
      <c r="P2981" s="80" t="s">
        <v>890</v>
      </c>
      <c r="Q2981" s="1071"/>
    </row>
    <row r="2982" spans="9:17" ht="13.9" x14ac:dyDescent="0.4">
      <c r="I2982" s="1073">
        <f>IF($A$1=49,1,0)</f>
        <v>0</v>
      </c>
      <c r="J2982" s="159" t="s">
        <v>19</v>
      </c>
      <c r="K2982" s="165"/>
      <c r="L2982" s="158"/>
      <c r="M2982" s="159">
        <v>0</v>
      </c>
      <c r="N2982" s="159">
        <v>0</v>
      </c>
      <c r="O2982" s="82">
        <f t="shared" ref="O2982:O2995" si="590">M2982*N2982</f>
        <v>0</v>
      </c>
      <c r="P2982" s="160"/>
      <c r="Q2982" s="1171">
        <f>IF(SUM(I2982:I3037)=820,L2978,0)</f>
        <v>0</v>
      </c>
    </row>
    <row r="2983" spans="9:17" ht="13.9" x14ac:dyDescent="0.4">
      <c r="I2983" s="1073">
        <f t="shared" ref="I2983:I2995" si="591">IF($A$1=49,I2982+1,0)</f>
        <v>0</v>
      </c>
      <c r="J2983" s="159" t="s">
        <v>19</v>
      </c>
      <c r="K2983" s="165"/>
      <c r="L2983" s="158"/>
      <c r="M2983" s="159">
        <v>0</v>
      </c>
      <c r="N2983" s="159">
        <v>0</v>
      </c>
      <c r="O2983" s="82">
        <f t="shared" si="590"/>
        <v>0</v>
      </c>
      <c r="P2983" s="160"/>
      <c r="Q2983" s="1071">
        <f>Q2982</f>
        <v>0</v>
      </c>
    </row>
    <row r="2984" spans="9:17" ht="13.9" x14ac:dyDescent="0.4">
      <c r="I2984" s="1073">
        <f t="shared" si="591"/>
        <v>0</v>
      </c>
      <c r="J2984" s="159" t="s">
        <v>19</v>
      </c>
      <c r="K2984" s="165"/>
      <c r="L2984" s="160"/>
      <c r="M2984" s="159">
        <v>0</v>
      </c>
      <c r="N2984" s="157">
        <v>0</v>
      </c>
      <c r="O2984" s="82">
        <f t="shared" si="590"/>
        <v>0</v>
      </c>
      <c r="P2984" s="160"/>
      <c r="Q2984" s="1071">
        <f t="shared" ref="Q2984:Q2995" si="592">Q2983</f>
        <v>0</v>
      </c>
    </row>
    <row r="2985" spans="9:17" ht="13.9" x14ac:dyDescent="0.4">
      <c r="I2985" s="1073">
        <f t="shared" si="591"/>
        <v>0</v>
      </c>
      <c r="J2985" s="159" t="s">
        <v>19</v>
      </c>
      <c r="K2985" s="165"/>
      <c r="L2985" s="158"/>
      <c r="M2985" s="159">
        <v>0</v>
      </c>
      <c r="N2985" s="157">
        <v>0</v>
      </c>
      <c r="O2985" s="82">
        <f t="shared" si="590"/>
        <v>0</v>
      </c>
      <c r="P2985" s="160"/>
      <c r="Q2985" s="1071">
        <f t="shared" si="592"/>
        <v>0</v>
      </c>
    </row>
    <row r="2986" spans="9:17" ht="13.9" x14ac:dyDescent="0.4">
      <c r="I2986" s="1073">
        <f t="shared" si="591"/>
        <v>0</v>
      </c>
      <c r="J2986" s="159" t="s">
        <v>19</v>
      </c>
      <c r="K2986" s="165"/>
      <c r="L2986" s="160"/>
      <c r="M2986" s="159">
        <v>0</v>
      </c>
      <c r="N2986" s="157">
        <v>0</v>
      </c>
      <c r="O2986" s="82">
        <f t="shared" si="590"/>
        <v>0</v>
      </c>
      <c r="P2986" s="160"/>
      <c r="Q2986" s="1071">
        <f t="shared" si="592"/>
        <v>0</v>
      </c>
    </row>
    <row r="2987" spans="9:17" ht="13.9" x14ac:dyDescent="0.4">
      <c r="I2987" s="1073">
        <f t="shared" si="591"/>
        <v>0</v>
      </c>
      <c r="J2987" s="159" t="s">
        <v>19</v>
      </c>
      <c r="K2987" s="165"/>
      <c r="L2987" s="160"/>
      <c r="M2987" s="159">
        <v>0</v>
      </c>
      <c r="N2987" s="157">
        <v>0</v>
      </c>
      <c r="O2987" s="82">
        <f t="shared" si="590"/>
        <v>0</v>
      </c>
      <c r="P2987" s="160"/>
      <c r="Q2987" s="1071">
        <f t="shared" si="592"/>
        <v>0</v>
      </c>
    </row>
    <row r="2988" spans="9:17" ht="13.9" x14ac:dyDescent="0.4">
      <c r="I2988" s="1073">
        <f t="shared" si="591"/>
        <v>0</v>
      </c>
      <c r="J2988" s="159" t="s">
        <v>19</v>
      </c>
      <c r="K2988" s="165"/>
      <c r="L2988" s="160"/>
      <c r="M2988" s="159">
        <v>0</v>
      </c>
      <c r="N2988" s="157">
        <v>0</v>
      </c>
      <c r="O2988" s="82">
        <f t="shared" si="590"/>
        <v>0</v>
      </c>
      <c r="P2988" s="160"/>
      <c r="Q2988" s="1071">
        <f t="shared" si="592"/>
        <v>0</v>
      </c>
    </row>
    <row r="2989" spans="9:17" ht="13.9" x14ac:dyDescent="0.4">
      <c r="I2989" s="1073">
        <f t="shared" si="591"/>
        <v>0</v>
      </c>
      <c r="J2989" s="159" t="s">
        <v>19</v>
      </c>
      <c r="K2989" s="165"/>
      <c r="L2989" s="160"/>
      <c r="M2989" s="159">
        <v>0</v>
      </c>
      <c r="N2989" s="157">
        <v>0</v>
      </c>
      <c r="O2989" s="82">
        <f t="shared" si="590"/>
        <v>0</v>
      </c>
      <c r="P2989" s="160"/>
      <c r="Q2989" s="1071">
        <f t="shared" si="592"/>
        <v>0</v>
      </c>
    </row>
    <row r="2990" spans="9:17" ht="13.9" x14ac:dyDescent="0.4">
      <c r="I2990" s="1073">
        <f t="shared" si="591"/>
        <v>0</v>
      </c>
      <c r="J2990" s="159" t="s">
        <v>19</v>
      </c>
      <c r="K2990" s="165"/>
      <c r="L2990" s="160"/>
      <c r="M2990" s="159">
        <v>0</v>
      </c>
      <c r="N2990" s="157">
        <v>0</v>
      </c>
      <c r="O2990" s="82">
        <f t="shared" si="590"/>
        <v>0</v>
      </c>
      <c r="P2990" s="160"/>
      <c r="Q2990" s="1071">
        <f t="shared" si="592"/>
        <v>0</v>
      </c>
    </row>
    <row r="2991" spans="9:17" ht="13.9" x14ac:dyDescent="0.4">
      <c r="I2991" s="1073">
        <f t="shared" si="591"/>
        <v>0</v>
      </c>
      <c r="J2991" s="159" t="s">
        <v>19</v>
      </c>
      <c r="K2991" s="165"/>
      <c r="L2991" s="160"/>
      <c r="M2991" s="159">
        <v>0</v>
      </c>
      <c r="N2991" s="157">
        <v>0</v>
      </c>
      <c r="O2991" s="82">
        <f t="shared" si="590"/>
        <v>0</v>
      </c>
      <c r="P2991" s="160"/>
      <c r="Q2991" s="1071">
        <f t="shared" si="592"/>
        <v>0</v>
      </c>
    </row>
    <row r="2992" spans="9:17" ht="13.9" x14ac:dyDescent="0.4">
      <c r="I2992" s="1073">
        <f t="shared" si="591"/>
        <v>0</v>
      </c>
      <c r="J2992" s="159" t="s">
        <v>19</v>
      </c>
      <c r="K2992" s="160"/>
      <c r="L2992" s="160"/>
      <c r="M2992" s="159">
        <v>0</v>
      </c>
      <c r="N2992" s="157">
        <v>0</v>
      </c>
      <c r="O2992" s="82">
        <f t="shared" si="590"/>
        <v>0</v>
      </c>
      <c r="P2992" s="160"/>
      <c r="Q2992" s="1071">
        <f t="shared" si="592"/>
        <v>0</v>
      </c>
    </row>
    <row r="2993" spans="9:17" ht="13.9" x14ac:dyDescent="0.4">
      <c r="I2993" s="1073">
        <f t="shared" si="591"/>
        <v>0</v>
      </c>
      <c r="J2993" s="159" t="s">
        <v>19</v>
      </c>
      <c r="K2993" s="160"/>
      <c r="L2993" s="160"/>
      <c r="M2993" s="159">
        <v>0</v>
      </c>
      <c r="N2993" s="157">
        <v>0</v>
      </c>
      <c r="O2993" s="82">
        <f t="shared" si="590"/>
        <v>0</v>
      </c>
      <c r="P2993" s="160"/>
      <c r="Q2993" s="1071">
        <f t="shared" si="592"/>
        <v>0</v>
      </c>
    </row>
    <row r="2994" spans="9:17" ht="13.9" x14ac:dyDescent="0.4">
      <c r="I2994" s="1073">
        <f t="shared" si="591"/>
        <v>0</v>
      </c>
      <c r="J2994" s="159" t="s">
        <v>19</v>
      </c>
      <c r="K2994" s="160"/>
      <c r="L2994" s="160"/>
      <c r="M2994" s="159">
        <v>0</v>
      </c>
      <c r="N2994" s="157">
        <v>0</v>
      </c>
      <c r="O2994" s="82">
        <f t="shared" si="590"/>
        <v>0</v>
      </c>
      <c r="P2994" s="160"/>
      <c r="Q2994" s="1071">
        <f t="shared" si="592"/>
        <v>0</v>
      </c>
    </row>
    <row r="2995" spans="9:17" ht="13.9" x14ac:dyDescent="0.4">
      <c r="I2995" s="1073">
        <f t="shared" si="591"/>
        <v>0</v>
      </c>
      <c r="J2995" s="159" t="s">
        <v>19</v>
      </c>
      <c r="K2995" s="160"/>
      <c r="L2995" s="160"/>
      <c r="M2995" s="159">
        <v>0</v>
      </c>
      <c r="N2995" s="157">
        <v>0</v>
      </c>
      <c r="O2995" s="82">
        <f t="shared" si="590"/>
        <v>0</v>
      </c>
      <c r="P2995" s="160"/>
      <c r="Q2995" s="1071">
        <f t="shared" si="592"/>
        <v>0</v>
      </c>
    </row>
    <row r="2996" spans="9:17" ht="13.9" x14ac:dyDescent="0.4">
      <c r="I2996" s="1071"/>
      <c r="J2996" s="86" t="s">
        <v>22</v>
      </c>
      <c r="K2996" s="86"/>
      <c r="L2996" s="86"/>
      <c r="M2996" s="81"/>
      <c r="N2996" s="87"/>
      <c r="O2996" s="88">
        <f>SUM(O2982:O2995)</f>
        <v>0</v>
      </c>
      <c r="P2996" s="86"/>
      <c r="Q2996" s="1071"/>
    </row>
    <row r="2997" spans="9:17" ht="13.9" x14ac:dyDescent="0.4">
      <c r="I2997" s="1071"/>
      <c r="J2997" s="83"/>
      <c r="K2997" s="83"/>
      <c r="L2997" s="83"/>
      <c r="M2997" s="83"/>
      <c r="N2997" s="84"/>
      <c r="O2997" s="83"/>
      <c r="P2997" s="83"/>
      <c r="Q2997" s="1071"/>
    </row>
    <row r="2998" spans="9:17" ht="13.9" x14ac:dyDescent="0.4">
      <c r="I2998" s="1071"/>
      <c r="J2998" s="78" t="s">
        <v>20</v>
      </c>
      <c r="K2998" s="78"/>
      <c r="L2998" s="78"/>
      <c r="M2998" s="79"/>
      <c r="N2998" s="85"/>
      <c r="O2998" s="79"/>
      <c r="P2998" s="78"/>
      <c r="Q2998" s="1071"/>
    </row>
    <row r="2999" spans="9:17" ht="13.9" x14ac:dyDescent="0.4">
      <c r="I2999" s="1071"/>
      <c r="J2999" s="80" t="s">
        <v>212</v>
      </c>
      <c r="K2999" s="80" t="s">
        <v>838</v>
      </c>
      <c r="L2999" s="80" t="s">
        <v>2</v>
      </c>
      <c r="M2999" s="80" t="s">
        <v>21</v>
      </c>
      <c r="N2999" s="80" t="s">
        <v>174</v>
      </c>
      <c r="O2999" s="80" t="s">
        <v>14</v>
      </c>
      <c r="P2999" s="80" t="s">
        <v>890</v>
      </c>
      <c r="Q2999" s="1071"/>
    </row>
    <row r="3000" spans="9:17" ht="13.9" x14ac:dyDescent="0.4">
      <c r="I3000" s="1073">
        <f>IF($A$1=49,I2995+1,0)</f>
        <v>0</v>
      </c>
      <c r="J3000" s="159" t="s">
        <v>19</v>
      </c>
      <c r="K3000" s="160"/>
      <c r="L3000" s="160"/>
      <c r="M3000" s="159">
        <v>0</v>
      </c>
      <c r="N3000" s="157">
        <v>0</v>
      </c>
      <c r="O3000" s="82">
        <f t="shared" ref="O3000:O3009" si="593">M3000*N3000</f>
        <v>0</v>
      </c>
      <c r="P3000" s="160"/>
      <c r="Q3000" s="1071">
        <f>Q2982</f>
        <v>0</v>
      </c>
    </row>
    <row r="3001" spans="9:17" ht="13.9" x14ac:dyDescent="0.4">
      <c r="I3001" s="1073">
        <f t="shared" ref="I3001:I3009" si="594">IF($A$1=49,I3000+1,0)</f>
        <v>0</v>
      </c>
      <c r="J3001" s="159" t="s">
        <v>19</v>
      </c>
      <c r="K3001" s="160"/>
      <c r="L3001" s="160"/>
      <c r="M3001" s="159">
        <v>0</v>
      </c>
      <c r="N3001" s="157">
        <v>0</v>
      </c>
      <c r="O3001" s="82">
        <f t="shared" si="593"/>
        <v>0</v>
      </c>
      <c r="P3001" s="160"/>
      <c r="Q3001" s="1071">
        <f>Q3000</f>
        <v>0</v>
      </c>
    </row>
    <row r="3002" spans="9:17" ht="13.9" x14ac:dyDescent="0.4">
      <c r="I3002" s="1073">
        <f t="shared" si="594"/>
        <v>0</v>
      </c>
      <c r="J3002" s="159" t="s">
        <v>19</v>
      </c>
      <c r="K3002" s="160"/>
      <c r="L3002" s="160"/>
      <c r="M3002" s="159">
        <v>0</v>
      </c>
      <c r="N3002" s="157">
        <v>0</v>
      </c>
      <c r="O3002" s="82">
        <f t="shared" si="593"/>
        <v>0</v>
      </c>
      <c r="P3002" s="160"/>
      <c r="Q3002" s="1071">
        <f t="shared" ref="Q3002:Q3009" si="595">Q3001</f>
        <v>0</v>
      </c>
    </row>
    <row r="3003" spans="9:17" ht="13.9" x14ac:dyDescent="0.4">
      <c r="I3003" s="1073">
        <f t="shared" si="594"/>
        <v>0</v>
      </c>
      <c r="J3003" s="159" t="s">
        <v>19</v>
      </c>
      <c r="K3003" s="160"/>
      <c r="L3003" s="160"/>
      <c r="M3003" s="159">
        <v>0</v>
      </c>
      <c r="N3003" s="157">
        <v>0</v>
      </c>
      <c r="O3003" s="82">
        <f t="shared" si="593"/>
        <v>0</v>
      </c>
      <c r="P3003" s="160"/>
      <c r="Q3003" s="1071">
        <f t="shared" si="595"/>
        <v>0</v>
      </c>
    </row>
    <row r="3004" spans="9:17" ht="13.9" x14ac:dyDescent="0.4">
      <c r="I3004" s="1073">
        <f t="shared" si="594"/>
        <v>0</v>
      </c>
      <c r="J3004" s="159" t="s">
        <v>19</v>
      </c>
      <c r="K3004" s="160"/>
      <c r="L3004" s="160"/>
      <c r="M3004" s="159">
        <v>0</v>
      </c>
      <c r="N3004" s="157">
        <v>0</v>
      </c>
      <c r="O3004" s="82">
        <f t="shared" si="593"/>
        <v>0</v>
      </c>
      <c r="P3004" s="158"/>
      <c r="Q3004" s="1071">
        <f t="shared" si="595"/>
        <v>0</v>
      </c>
    </row>
    <row r="3005" spans="9:17" ht="13.9" x14ac:dyDescent="0.4">
      <c r="I3005" s="1073">
        <f t="shared" si="594"/>
        <v>0</v>
      </c>
      <c r="J3005" s="159" t="s">
        <v>19</v>
      </c>
      <c r="K3005" s="160"/>
      <c r="L3005" s="160"/>
      <c r="M3005" s="159">
        <v>0</v>
      </c>
      <c r="N3005" s="157">
        <v>0</v>
      </c>
      <c r="O3005" s="82">
        <f t="shared" si="593"/>
        <v>0</v>
      </c>
      <c r="P3005" s="158"/>
      <c r="Q3005" s="1071">
        <f t="shared" si="595"/>
        <v>0</v>
      </c>
    </row>
    <row r="3006" spans="9:17" ht="13.9" x14ac:dyDescent="0.4">
      <c r="I3006" s="1073">
        <f t="shared" si="594"/>
        <v>0</v>
      </c>
      <c r="J3006" s="159" t="s">
        <v>19</v>
      </c>
      <c r="K3006" s="160"/>
      <c r="L3006" s="160"/>
      <c r="M3006" s="159">
        <v>0</v>
      </c>
      <c r="N3006" s="157">
        <v>0</v>
      </c>
      <c r="O3006" s="82">
        <f t="shared" si="593"/>
        <v>0</v>
      </c>
      <c r="P3006" s="158"/>
      <c r="Q3006" s="1071">
        <f t="shared" si="595"/>
        <v>0</v>
      </c>
    </row>
    <row r="3007" spans="9:17" ht="13.9" x14ac:dyDescent="0.4">
      <c r="I3007" s="1073">
        <f t="shared" si="594"/>
        <v>0</v>
      </c>
      <c r="J3007" s="159" t="s">
        <v>19</v>
      </c>
      <c r="K3007" s="160"/>
      <c r="L3007" s="160"/>
      <c r="M3007" s="159">
        <v>0</v>
      </c>
      <c r="N3007" s="157">
        <v>0</v>
      </c>
      <c r="O3007" s="82">
        <f t="shared" si="593"/>
        <v>0</v>
      </c>
      <c r="P3007" s="158"/>
      <c r="Q3007" s="1071">
        <f t="shared" si="595"/>
        <v>0</v>
      </c>
    </row>
    <row r="3008" spans="9:17" ht="13.9" x14ac:dyDescent="0.4">
      <c r="I3008" s="1073">
        <f t="shared" si="594"/>
        <v>0</v>
      </c>
      <c r="J3008" s="159" t="s">
        <v>19</v>
      </c>
      <c r="K3008" s="160"/>
      <c r="L3008" s="160"/>
      <c r="M3008" s="159">
        <v>0</v>
      </c>
      <c r="N3008" s="157">
        <v>0</v>
      </c>
      <c r="O3008" s="82">
        <f t="shared" si="593"/>
        <v>0</v>
      </c>
      <c r="P3008" s="158"/>
      <c r="Q3008" s="1071">
        <f t="shared" si="595"/>
        <v>0</v>
      </c>
    </row>
    <row r="3009" spans="9:17" ht="13.9" x14ac:dyDescent="0.4">
      <c r="I3009" s="1073">
        <f t="shared" si="594"/>
        <v>0</v>
      </c>
      <c r="J3009" s="159" t="s">
        <v>19</v>
      </c>
      <c r="K3009" s="160"/>
      <c r="L3009" s="160"/>
      <c r="M3009" s="159">
        <v>0</v>
      </c>
      <c r="N3009" s="157">
        <v>0</v>
      </c>
      <c r="O3009" s="82">
        <f t="shared" si="593"/>
        <v>0</v>
      </c>
      <c r="P3009" s="158"/>
      <c r="Q3009" s="1071">
        <f t="shared" si="595"/>
        <v>0</v>
      </c>
    </row>
    <row r="3010" spans="9:17" ht="13.9" x14ac:dyDescent="0.4">
      <c r="I3010" s="1071"/>
      <c r="J3010" s="86" t="s">
        <v>22</v>
      </c>
      <c r="K3010" s="86"/>
      <c r="L3010" s="86"/>
      <c r="M3010" s="81"/>
      <c r="N3010" s="87"/>
      <c r="O3010" s="88">
        <f>SUM(O3000:O3009)</f>
        <v>0</v>
      </c>
      <c r="P3010" s="86"/>
      <c r="Q3010" s="1071"/>
    </row>
    <row r="3011" spans="9:17" ht="13.9" x14ac:dyDescent="0.4">
      <c r="I3011" s="1071"/>
      <c r="J3011" s="83"/>
      <c r="K3011" s="83"/>
      <c r="L3011" s="83"/>
      <c r="M3011" s="83"/>
      <c r="N3011" s="84"/>
      <c r="O3011" s="83"/>
      <c r="P3011" s="83"/>
      <c r="Q3011" s="1071"/>
    </row>
    <row r="3012" spans="9:17" ht="13.9" x14ac:dyDescent="0.4">
      <c r="I3012" s="1071"/>
      <c r="J3012" s="78" t="str">
        <f>IF(OR(A2_Budget_Look_Up!$B$7=1,A2_Budget_Look_Up!$B$13=1),"Nematicide Detail", "Fungicide Detail")</f>
        <v>Fungicide Detail</v>
      </c>
      <c r="K3012" s="78"/>
      <c r="L3012" s="78"/>
      <c r="M3012" s="79"/>
      <c r="N3012" s="85"/>
      <c r="O3012" s="79"/>
      <c r="P3012" s="78"/>
      <c r="Q3012" s="1071"/>
    </row>
    <row r="3013" spans="9:17" ht="13.9" x14ac:dyDescent="0.4">
      <c r="I3013" s="1071"/>
      <c r="J3013" s="80" t="s">
        <v>212</v>
      </c>
      <c r="K3013" s="80" t="s">
        <v>838</v>
      </c>
      <c r="L3013" s="80" t="s">
        <v>2</v>
      </c>
      <c r="M3013" s="80" t="s">
        <v>21</v>
      </c>
      <c r="N3013" s="80" t="s">
        <v>174</v>
      </c>
      <c r="O3013" s="80" t="s">
        <v>14</v>
      </c>
      <c r="P3013" s="80" t="s">
        <v>890</v>
      </c>
      <c r="Q3013" s="1071"/>
    </row>
    <row r="3014" spans="9:17" ht="13.9" x14ac:dyDescent="0.4">
      <c r="I3014" s="1073">
        <f>IF($A$1=49,I3009+1,0)</f>
        <v>0</v>
      </c>
      <c r="J3014" s="156" t="s">
        <v>19</v>
      </c>
      <c r="K3014" s="158"/>
      <c r="L3014" s="158"/>
      <c r="M3014" s="159">
        <v>0</v>
      </c>
      <c r="N3014" s="157">
        <v>0</v>
      </c>
      <c r="O3014" s="82">
        <f>M3014*N3014</f>
        <v>0</v>
      </c>
      <c r="P3014" s="158"/>
      <c r="Q3014" s="1071">
        <f>Q3009</f>
        <v>0</v>
      </c>
    </row>
    <row r="3015" spans="9:17" ht="13.9" x14ac:dyDescent="0.4">
      <c r="I3015" s="1073">
        <f>IF($A$1=49,I3014+1,0)</f>
        <v>0</v>
      </c>
      <c r="J3015" s="156" t="s">
        <v>19</v>
      </c>
      <c r="K3015" s="158"/>
      <c r="L3015" s="158"/>
      <c r="M3015" s="159">
        <v>0</v>
      </c>
      <c r="N3015" s="157">
        <v>0</v>
      </c>
      <c r="O3015" s="82">
        <f>M3015*N3015</f>
        <v>0</v>
      </c>
      <c r="P3015" s="158"/>
      <c r="Q3015" s="1071">
        <f>Q3014</f>
        <v>0</v>
      </c>
    </row>
    <row r="3016" spans="9:17" ht="13.9" x14ac:dyDescent="0.4">
      <c r="I3016" s="1071"/>
      <c r="J3016" s="86" t="s">
        <v>22</v>
      </c>
      <c r="K3016" s="86"/>
      <c r="L3016" s="86"/>
      <c r="M3016" s="81"/>
      <c r="N3016" s="87"/>
      <c r="O3016" s="88">
        <f>SUM(O3014:O3015)</f>
        <v>0</v>
      </c>
      <c r="P3016" s="86"/>
      <c r="Q3016" s="1071"/>
    </row>
    <row r="3017" spans="9:17" ht="13.9" x14ac:dyDescent="0.4">
      <c r="I3017" s="1071"/>
      <c r="J3017" s="83"/>
      <c r="K3017" s="83"/>
      <c r="L3017" s="83"/>
      <c r="M3017" s="83"/>
      <c r="N3017" s="84"/>
      <c r="O3017" s="83"/>
      <c r="P3017" s="83"/>
      <c r="Q3017" s="1071"/>
    </row>
    <row r="3018" spans="9:17" ht="13.9" x14ac:dyDescent="0.4">
      <c r="I3018" s="1071"/>
      <c r="J3018" s="78" t="str">
        <f>IF(A2_Budget_Look_Up!$B$7=1,"Growth Regulator Detail", IF(A2_Budget_Look_Up!$B$13=1,"Fungicide Detail","Other Chemical Detail"))</f>
        <v>Other Chemical Detail</v>
      </c>
      <c r="K3018" s="78"/>
      <c r="L3018" s="78"/>
      <c r="M3018" s="79"/>
      <c r="N3018" s="85"/>
      <c r="O3018" s="79"/>
      <c r="P3018" s="78"/>
      <c r="Q3018" s="1071"/>
    </row>
    <row r="3019" spans="9:17" ht="13.9" x14ac:dyDescent="0.4">
      <c r="I3019" s="1071"/>
      <c r="J3019" s="80" t="s">
        <v>212</v>
      </c>
      <c r="K3019" s="80" t="s">
        <v>838</v>
      </c>
      <c r="L3019" s="80" t="s">
        <v>2</v>
      </c>
      <c r="M3019" s="80" t="s">
        <v>21</v>
      </c>
      <c r="N3019" s="80" t="s">
        <v>174</v>
      </c>
      <c r="O3019" s="80" t="s">
        <v>14</v>
      </c>
      <c r="P3019" s="80" t="s">
        <v>890</v>
      </c>
      <c r="Q3019" s="1071"/>
    </row>
    <row r="3020" spans="9:17" ht="13.9" x14ac:dyDescent="0.4">
      <c r="I3020" s="1073">
        <f>IF($A$1=49,I3015+1,0)</f>
        <v>0</v>
      </c>
      <c r="J3020" s="156" t="s">
        <v>19</v>
      </c>
      <c r="K3020" s="158"/>
      <c r="L3020" s="158"/>
      <c r="M3020" s="159">
        <v>0</v>
      </c>
      <c r="N3020" s="157">
        <v>0</v>
      </c>
      <c r="O3020" s="82">
        <f t="shared" ref="O3020:O3026" si="596">M3020*N3020</f>
        <v>0</v>
      </c>
      <c r="P3020" s="160"/>
      <c r="Q3020" s="1071">
        <f>Q3015</f>
        <v>0</v>
      </c>
    </row>
    <row r="3021" spans="9:17" ht="13.9" x14ac:dyDescent="0.4">
      <c r="I3021" s="1073">
        <f t="shared" ref="I3021:I3026" si="597">IF($A$1=49,I3020+1,0)</f>
        <v>0</v>
      </c>
      <c r="J3021" s="156" t="s">
        <v>19</v>
      </c>
      <c r="K3021" s="158"/>
      <c r="L3021" s="158"/>
      <c r="M3021" s="159">
        <v>0</v>
      </c>
      <c r="N3021" s="157">
        <v>0</v>
      </c>
      <c r="O3021" s="82">
        <f t="shared" si="596"/>
        <v>0</v>
      </c>
      <c r="P3021" s="160"/>
      <c r="Q3021" s="1071">
        <f t="shared" ref="Q3021:Q3026" si="598">Q3020</f>
        <v>0</v>
      </c>
    </row>
    <row r="3022" spans="9:17" ht="13.9" x14ac:dyDescent="0.4">
      <c r="I3022" s="1073">
        <f t="shared" si="597"/>
        <v>0</v>
      </c>
      <c r="J3022" s="156" t="s">
        <v>19</v>
      </c>
      <c r="K3022" s="158"/>
      <c r="L3022" s="158"/>
      <c r="M3022" s="159">
        <v>0</v>
      </c>
      <c r="N3022" s="157">
        <v>0</v>
      </c>
      <c r="O3022" s="82">
        <f t="shared" si="596"/>
        <v>0</v>
      </c>
      <c r="P3022" s="160"/>
      <c r="Q3022" s="1071">
        <f t="shared" si="598"/>
        <v>0</v>
      </c>
    </row>
    <row r="3023" spans="9:17" ht="13.9" x14ac:dyDescent="0.4">
      <c r="I3023" s="1073">
        <f t="shared" si="597"/>
        <v>0</v>
      </c>
      <c r="J3023" s="156" t="s">
        <v>19</v>
      </c>
      <c r="K3023" s="158"/>
      <c r="L3023" s="158"/>
      <c r="M3023" s="159">
        <v>0</v>
      </c>
      <c r="N3023" s="157">
        <v>0</v>
      </c>
      <c r="O3023" s="82">
        <f t="shared" si="596"/>
        <v>0</v>
      </c>
      <c r="P3023" s="158"/>
      <c r="Q3023" s="1071">
        <f t="shared" si="598"/>
        <v>0</v>
      </c>
    </row>
    <row r="3024" spans="9:17" ht="13.9" x14ac:dyDescent="0.4">
      <c r="I3024" s="1073">
        <f t="shared" si="597"/>
        <v>0</v>
      </c>
      <c r="J3024" s="156" t="s">
        <v>19</v>
      </c>
      <c r="K3024" s="158"/>
      <c r="L3024" s="158"/>
      <c r="M3024" s="159">
        <v>0</v>
      </c>
      <c r="N3024" s="157">
        <v>0</v>
      </c>
      <c r="O3024" s="82">
        <f t="shared" si="596"/>
        <v>0</v>
      </c>
      <c r="P3024" s="158"/>
      <c r="Q3024" s="1071">
        <f t="shared" si="598"/>
        <v>0</v>
      </c>
    </row>
    <row r="3025" spans="9:17" ht="13.9" x14ac:dyDescent="0.4">
      <c r="I3025" s="1073">
        <f t="shared" si="597"/>
        <v>0</v>
      </c>
      <c r="J3025" s="156" t="s">
        <v>19</v>
      </c>
      <c r="K3025" s="158"/>
      <c r="L3025" s="158"/>
      <c r="M3025" s="159">
        <v>0</v>
      </c>
      <c r="N3025" s="157">
        <v>0</v>
      </c>
      <c r="O3025" s="82">
        <f t="shared" si="596"/>
        <v>0</v>
      </c>
      <c r="P3025" s="158"/>
      <c r="Q3025" s="1071">
        <f t="shared" si="598"/>
        <v>0</v>
      </c>
    </row>
    <row r="3026" spans="9:17" ht="13.9" x14ac:dyDescent="0.4">
      <c r="I3026" s="1073">
        <f t="shared" si="597"/>
        <v>0</v>
      </c>
      <c r="J3026" s="156" t="s">
        <v>19</v>
      </c>
      <c r="K3026" s="158"/>
      <c r="L3026" s="158"/>
      <c r="M3026" s="159">
        <v>0</v>
      </c>
      <c r="N3026" s="157">
        <v>0</v>
      </c>
      <c r="O3026" s="82">
        <f t="shared" si="596"/>
        <v>0</v>
      </c>
      <c r="P3026" s="158"/>
      <c r="Q3026" s="1071">
        <f t="shared" si="598"/>
        <v>0</v>
      </c>
    </row>
    <row r="3027" spans="9:17" ht="13.9" x14ac:dyDescent="0.4">
      <c r="I3027" s="1071"/>
      <c r="J3027" s="86" t="s">
        <v>22</v>
      </c>
      <c r="K3027" s="86"/>
      <c r="L3027" s="86"/>
      <c r="M3027" s="81"/>
      <c r="N3027" s="87"/>
      <c r="O3027" s="88">
        <f>SUM(O3020:O3026)</f>
        <v>0</v>
      </c>
      <c r="P3027" s="86"/>
      <c r="Q3027" s="1071"/>
    </row>
    <row r="3028" spans="9:17" ht="13.9" x14ac:dyDescent="0.4">
      <c r="I3028" s="1071"/>
      <c r="J3028" s="83"/>
      <c r="K3028" s="83"/>
      <c r="L3028" s="83"/>
      <c r="M3028" s="83"/>
      <c r="N3028" s="84"/>
      <c r="O3028" s="83"/>
      <c r="P3028" s="83"/>
      <c r="Q3028" s="1071"/>
    </row>
    <row r="3029" spans="9:17" ht="13.9" x14ac:dyDescent="0.4">
      <c r="I3029" s="1071"/>
      <c r="J3029" s="78" t="str">
        <f>IF(A2_Budget_Look_Up!$B$7=1,"Defoliant Detail", "Other Chemical Detail")</f>
        <v>Other Chemical Detail</v>
      </c>
      <c r="K3029" s="78"/>
      <c r="L3029" s="78"/>
      <c r="M3029" s="79"/>
      <c r="N3029" s="85"/>
      <c r="O3029" s="79"/>
      <c r="P3029" s="78"/>
      <c r="Q3029" s="1071"/>
    </row>
    <row r="3030" spans="9:17" ht="13.9" x14ac:dyDescent="0.4">
      <c r="I3030" s="1071"/>
      <c r="J3030" s="80" t="s">
        <v>212</v>
      </c>
      <c r="K3030" s="80" t="s">
        <v>838</v>
      </c>
      <c r="L3030" s="80" t="s">
        <v>2</v>
      </c>
      <c r="M3030" s="80" t="s">
        <v>21</v>
      </c>
      <c r="N3030" s="80" t="s">
        <v>174</v>
      </c>
      <c r="O3030" s="80" t="s">
        <v>14</v>
      </c>
      <c r="P3030" s="80" t="s">
        <v>890</v>
      </c>
      <c r="Q3030" s="1071"/>
    </row>
    <row r="3031" spans="9:17" ht="13.9" x14ac:dyDescent="0.4">
      <c r="I3031" s="1073">
        <f>IF($A$1=49,I3026+1,0)</f>
        <v>0</v>
      </c>
      <c r="J3031" s="156" t="s">
        <v>19</v>
      </c>
      <c r="K3031" s="158"/>
      <c r="L3031" s="158"/>
      <c r="M3031" s="159">
        <v>0</v>
      </c>
      <c r="N3031" s="157">
        <v>0</v>
      </c>
      <c r="O3031" s="82">
        <f t="shared" ref="O3031:O3037" si="599">M3031*N3031</f>
        <v>0</v>
      </c>
      <c r="P3031" s="160"/>
      <c r="Q3031" s="1071">
        <f>Q3026</f>
        <v>0</v>
      </c>
    </row>
    <row r="3032" spans="9:17" ht="13.9" x14ac:dyDescent="0.4">
      <c r="I3032" s="1073">
        <f t="shared" ref="I3032:I3037" si="600">IF($A$1=49,I3031+1,0)</f>
        <v>0</v>
      </c>
      <c r="J3032" s="156" t="s">
        <v>19</v>
      </c>
      <c r="K3032" s="158"/>
      <c r="L3032" s="158"/>
      <c r="M3032" s="159">
        <v>0</v>
      </c>
      <c r="N3032" s="157">
        <v>0</v>
      </c>
      <c r="O3032" s="82">
        <f t="shared" si="599"/>
        <v>0</v>
      </c>
      <c r="P3032" s="160"/>
      <c r="Q3032" s="1071">
        <f t="shared" ref="Q3032:Q3037" si="601">Q3031</f>
        <v>0</v>
      </c>
    </row>
    <row r="3033" spans="9:17" ht="13.9" x14ac:dyDescent="0.4">
      <c r="I3033" s="1073">
        <f t="shared" si="600"/>
        <v>0</v>
      </c>
      <c r="J3033" s="156" t="s">
        <v>19</v>
      </c>
      <c r="K3033" s="158"/>
      <c r="L3033" s="158"/>
      <c r="M3033" s="159">
        <v>0</v>
      </c>
      <c r="N3033" s="157">
        <v>0</v>
      </c>
      <c r="O3033" s="82">
        <f t="shared" si="599"/>
        <v>0</v>
      </c>
      <c r="P3033" s="160"/>
      <c r="Q3033" s="1071">
        <f t="shared" si="601"/>
        <v>0</v>
      </c>
    </row>
    <row r="3034" spans="9:17" ht="13.9" x14ac:dyDescent="0.4">
      <c r="I3034" s="1073">
        <f t="shared" si="600"/>
        <v>0</v>
      </c>
      <c r="J3034" s="156" t="s">
        <v>19</v>
      </c>
      <c r="K3034" s="158"/>
      <c r="L3034" s="158"/>
      <c r="M3034" s="159">
        <v>0</v>
      </c>
      <c r="N3034" s="157">
        <v>0</v>
      </c>
      <c r="O3034" s="82">
        <f t="shared" si="599"/>
        <v>0</v>
      </c>
      <c r="P3034" s="160"/>
      <c r="Q3034" s="1071">
        <f t="shared" si="601"/>
        <v>0</v>
      </c>
    </row>
    <row r="3035" spans="9:17" ht="13.9" x14ac:dyDescent="0.4">
      <c r="I3035" s="1073">
        <f t="shared" si="600"/>
        <v>0</v>
      </c>
      <c r="J3035" s="156" t="s">
        <v>19</v>
      </c>
      <c r="K3035" s="158"/>
      <c r="L3035" s="158"/>
      <c r="M3035" s="159">
        <v>0</v>
      </c>
      <c r="N3035" s="157">
        <v>0</v>
      </c>
      <c r="O3035" s="82">
        <f t="shared" si="599"/>
        <v>0</v>
      </c>
      <c r="P3035" s="160"/>
      <c r="Q3035" s="1071">
        <f t="shared" si="601"/>
        <v>0</v>
      </c>
    </row>
    <row r="3036" spans="9:17" ht="13.9" x14ac:dyDescent="0.4">
      <c r="I3036" s="1073">
        <f t="shared" si="600"/>
        <v>0</v>
      </c>
      <c r="J3036" s="156" t="s">
        <v>19</v>
      </c>
      <c r="K3036" s="158"/>
      <c r="L3036" s="158"/>
      <c r="M3036" s="159">
        <v>0</v>
      </c>
      <c r="N3036" s="157">
        <v>0</v>
      </c>
      <c r="O3036" s="82">
        <f t="shared" si="599"/>
        <v>0</v>
      </c>
      <c r="P3036" s="158"/>
      <c r="Q3036" s="1071">
        <f t="shared" si="601"/>
        <v>0</v>
      </c>
    </row>
    <row r="3037" spans="9:17" ht="13.9" x14ac:dyDescent="0.4">
      <c r="I3037" s="1073">
        <f t="shared" si="600"/>
        <v>0</v>
      </c>
      <c r="J3037" s="156" t="s">
        <v>19</v>
      </c>
      <c r="K3037" s="158"/>
      <c r="L3037" s="158"/>
      <c r="M3037" s="159">
        <v>0</v>
      </c>
      <c r="N3037" s="157">
        <v>0</v>
      </c>
      <c r="O3037" s="82">
        <f t="shared" si="599"/>
        <v>0</v>
      </c>
      <c r="P3037" s="158"/>
      <c r="Q3037" s="1071">
        <f t="shared" si="601"/>
        <v>0</v>
      </c>
    </row>
    <row r="3038" spans="9:17" ht="13.9" x14ac:dyDescent="0.4">
      <c r="I3038" s="1071"/>
      <c r="J3038" s="86" t="s">
        <v>22</v>
      </c>
      <c r="K3038" s="86"/>
      <c r="L3038" s="86"/>
      <c r="M3038" s="81"/>
      <c r="N3038" s="87"/>
      <c r="O3038" s="88">
        <f>SUM(O3031:O3037)</f>
        <v>0</v>
      </c>
      <c r="P3038" s="86"/>
      <c r="Q3038" s="1071"/>
    </row>
    <row r="3039" spans="9:17" ht="13.9" x14ac:dyDescent="0.4">
      <c r="I3039" s="1071"/>
      <c r="J3039" s="83"/>
      <c r="K3039" s="83"/>
      <c r="L3039" s="83"/>
      <c r="M3039" s="89"/>
      <c r="N3039" s="84"/>
      <c r="O3039" s="89"/>
      <c r="P3039" s="83"/>
      <c r="Q3039" s="1071"/>
    </row>
    <row r="3040" spans="9:17" ht="13.9" x14ac:dyDescent="0.4">
      <c r="I3040" s="1071"/>
      <c r="J3040" s="1168" t="str">
        <f>A2_Budget_Look_Up!H52</f>
        <v>Other7</v>
      </c>
      <c r="K3040" s="1168"/>
      <c r="L3040" s="1168">
        <f>A2_Budget_Look_Up!F52</f>
        <v>50</v>
      </c>
      <c r="M3040" s="1168"/>
      <c r="N3040" s="1168"/>
      <c r="O3040" s="1168"/>
      <c r="P3040" s="1168"/>
      <c r="Q3040" s="1071"/>
    </row>
    <row r="3042" spans="9:17" ht="13.9" x14ac:dyDescent="0.4">
      <c r="I3042" s="1071"/>
      <c r="J3042" s="78" t="s">
        <v>18</v>
      </c>
      <c r="K3042" s="78"/>
      <c r="L3042" s="78"/>
      <c r="M3042" s="79"/>
      <c r="N3042" s="85"/>
      <c r="O3042" s="79"/>
      <c r="P3042" s="78"/>
      <c r="Q3042" s="1071"/>
    </row>
    <row r="3043" spans="9:17" ht="13.9" x14ac:dyDescent="0.4">
      <c r="I3043" s="1071"/>
      <c r="J3043" s="80" t="s">
        <v>212</v>
      </c>
      <c r="K3043" s="80" t="s">
        <v>838</v>
      </c>
      <c r="L3043" s="80" t="s">
        <v>2</v>
      </c>
      <c r="M3043" s="80" t="s">
        <v>21</v>
      </c>
      <c r="N3043" s="80" t="s">
        <v>174</v>
      </c>
      <c r="O3043" s="80" t="s">
        <v>14</v>
      </c>
      <c r="P3043" s="80" t="s">
        <v>890</v>
      </c>
      <c r="Q3043" s="1071"/>
    </row>
    <row r="3044" spans="9:17" ht="13.9" x14ac:dyDescent="0.4">
      <c r="I3044" s="1073">
        <f>IF($A$1=50,1,0)</f>
        <v>0</v>
      </c>
      <c r="J3044" s="159" t="s">
        <v>19</v>
      </c>
      <c r="K3044" s="165"/>
      <c r="L3044" s="158"/>
      <c r="M3044" s="159">
        <v>0</v>
      </c>
      <c r="N3044" s="159">
        <v>0</v>
      </c>
      <c r="O3044" s="82">
        <f t="shared" ref="O3044:O3057" si="602">M3044*N3044</f>
        <v>0</v>
      </c>
      <c r="P3044" s="160"/>
      <c r="Q3044" s="1171">
        <f>IF(SUM(I3044:I3099)=820,L3040,0)</f>
        <v>0</v>
      </c>
    </row>
    <row r="3045" spans="9:17" ht="13.9" x14ac:dyDescent="0.4">
      <c r="I3045" s="1073">
        <f t="shared" ref="I3045:I3057" si="603">IF($A$1=50,I3044+1,0)</f>
        <v>0</v>
      </c>
      <c r="J3045" s="159" t="s">
        <v>19</v>
      </c>
      <c r="K3045" s="165"/>
      <c r="L3045" s="158"/>
      <c r="M3045" s="159">
        <v>0</v>
      </c>
      <c r="N3045" s="159">
        <v>0</v>
      </c>
      <c r="O3045" s="82">
        <f t="shared" si="602"/>
        <v>0</v>
      </c>
      <c r="P3045" s="160"/>
      <c r="Q3045" s="1071">
        <f>Q3044</f>
        <v>0</v>
      </c>
    </row>
    <row r="3046" spans="9:17" ht="13.9" x14ac:dyDescent="0.4">
      <c r="I3046" s="1073">
        <f t="shared" si="603"/>
        <v>0</v>
      </c>
      <c r="J3046" s="159" t="s">
        <v>19</v>
      </c>
      <c r="K3046" s="165"/>
      <c r="L3046" s="160"/>
      <c r="M3046" s="159">
        <v>0</v>
      </c>
      <c r="N3046" s="157">
        <v>0</v>
      </c>
      <c r="O3046" s="82">
        <f t="shared" si="602"/>
        <v>0</v>
      </c>
      <c r="P3046" s="160"/>
      <c r="Q3046" s="1071">
        <f t="shared" ref="Q3046:Q3057" si="604">Q3045</f>
        <v>0</v>
      </c>
    </row>
    <row r="3047" spans="9:17" ht="13.9" x14ac:dyDescent="0.4">
      <c r="I3047" s="1073">
        <f t="shared" si="603"/>
        <v>0</v>
      </c>
      <c r="J3047" s="159" t="s">
        <v>19</v>
      </c>
      <c r="K3047" s="165"/>
      <c r="L3047" s="158"/>
      <c r="M3047" s="159">
        <v>0</v>
      </c>
      <c r="N3047" s="157">
        <v>0</v>
      </c>
      <c r="O3047" s="82">
        <f t="shared" si="602"/>
        <v>0</v>
      </c>
      <c r="P3047" s="160"/>
      <c r="Q3047" s="1071">
        <f t="shared" si="604"/>
        <v>0</v>
      </c>
    </row>
    <row r="3048" spans="9:17" ht="13.9" x14ac:dyDescent="0.4">
      <c r="I3048" s="1073">
        <f t="shared" si="603"/>
        <v>0</v>
      </c>
      <c r="J3048" s="159" t="s">
        <v>19</v>
      </c>
      <c r="K3048" s="165"/>
      <c r="L3048" s="160"/>
      <c r="M3048" s="159">
        <v>0</v>
      </c>
      <c r="N3048" s="157">
        <v>0</v>
      </c>
      <c r="O3048" s="82">
        <f t="shared" si="602"/>
        <v>0</v>
      </c>
      <c r="P3048" s="160"/>
      <c r="Q3048" s="1071">
        <f t="shared" si="604"/>
        <v>0</v>
      </c>
    </row>
    <row r="3049" spans="9:17" ht="13.9" x14ac:dyDescent="0.4">
      <c r="I3049" s="1073">
        <f t="shared" si="603"/>
        <v>0</v>
      </c>
      <c r="J3049" s="159" t="s">
        <v>19</v>
      </c>
      <c r="K3049" s="165"/>
      <c r="L3049" s="160"/>
      <c r="M3049" s="159">
        <v>0</v>
      </c>
      <c r="N3049" s="157">
        <v>0</v>
      </c>
      <c r="O3049" s="82">
        <f t="shared" si="602"/>
        <v>0</v>
      </c>
      <c r="P3049" s="160"/>
      <c r="Q3049" s="1071">
        <f t="shared" si="604"/>
        <v>0</v>
      </c>
    </row>
    <row r="3050" spans="9:17" ht="13.9" x14ac:dyDescent="0.4">
      <c r="I3050" s="1073">
        <f t="shared" si="603"/>
        <v>0</v>
      </c>
      <c r="J3050" s="159" t="s">
        <v>19</v>
      </c>
      <c r="K3050" s="165"/>
      <c r="L3050" s="160"/>
      <c r="M3050" s="159">
        <v>0</v>
      </c>
      <c r="N3050" s="157">
        <v>0</v>
      </c>
      <c r="O3050" s="82">
        <f t="shared" si="602"/>
        <v>0</v>
      </c>
      <c r="P3050" s="160"/>
      <c r="Q3050" s="1071">
        <f t="shared" si="604"/>
        <v>0</v>
      </c>
    </row>
    <row r="3051" spans="9:17" ht="13.9" x14ac:dyDescent="0.4">
      <c r="I3051" s="1073">
        <f t="shared" si="603"/>
        <v>0</v>
      </c>
      <c r="J3051" s="159" t="s">
        <v>19</v>
      </c>
      <c r="K3051" s="165"/>
      <c r="L3051" s="160"/>
      <c r="M3051" s="159">
        <v>0</v>
      </c>
      <c r="N3051" s="157">
        <v>0</v>
      </c>
      <c r="O3051" s="82">
        <f t="shared" si="602"/>
        <v>0</v>
      </c>
      <c r="P3051" s="160"/>
      <c r="Q3051" s="1071">
        <f t="shared" si="604"/>
        <v>0</v>
      </c>
    </row>
    <row r="3052" spans="9:17" ht="13.9" x14ac:dyDescent="0.4">
      <c r="I3052" s="1073">
        <f t="shared" si="603"/>
        <v>0</v>
      </c>
      <c r="J3052" s="159" t="s">
        <v>19</v>
      </c>
      <c r="K3052" s="165"/>
      <c r="L3052" s="160"/>
      <c r="M3052" s="159">
        <v>0</v>
      </c>
      <c r="N3052" s="157">
        <v>0</v>
      </c>
      <c r="O3052" s="82">
        <f t="shared" si="602"/>
        <v>0</v>
      </c>
      <c r="P3052" s="160"/>
      <c r="Q3052" s="1071">
        <f t="shared" si="604"/>
        <v>0</v>
      </c>
    </row>
    <row r="3053" spans="9:17" ht="13.9" x14ac:dyDescent="0.4">
      <c r="I3053" s="1073">
        <f t="shared" si="603"/>
        <v>0</v>
      </c>
      <c r="J3053" s="159" t="s">
        <v>19</v>
      </c>
      <c r="K3053" s="165"/>
      <c r="L3053" s="160"/>
      <c r="M3053" s="159">
        <v>0</v>
      </c>
      <c r="N3053" s="157">
        <v>0</v>
      </c>
      <c r="O3053" s="82">
        <f t="shared" si="602"/>
        <v>0</v>
      </c>
      <c r="P3053" s="160"/>
      <c r="Q3053" s="1071">
        <f t="shared" si="604"/>
        <v>0</v>
      </c>
    </row>
    <row r="3054" spans="9:17" ht="13.9" x14ac:dyDescent="0.4">
      <c r="I3054" s="1073">
        <f t="shared" si="603"/>
        <v>0</v>
      </c>
      <c r="J3054" s="159" t="s">
        <v>19</v>
      </c>
      <c r="K3054" s="160"/>
      <c r="L3054" s="160"/>
      <c r="M3054" s="159">
        <v>0</v>
      </c>
      <c r="N3054" s="157">
        <v>0</v>
      </c>
      <c r="O3054" s="82">
        <f t="shared" si="602"/>
        <v>0</v>
      </c>
      <c r="P3054" s="160"/>
      <c r="Q3054" s="1071">
        <f t="shared" si="604"/>
        <v>0</v>
      </c>
    </row>
    <row r="3055" spans="9:17" ht="13.9" x14ac:dyDescent="0.4">
      <c r="I3055" s="1073">
        <f t="shared" si="603"/>
        <v>0</v>
      </c>
      <c r="J3055" s="159" t="s">
        <v>19</v>
      </c>
      <c r="K3055" s="160"/>
      <c r="L3055" s="160"/>
      <c r="M3055" s="159">
        <v>0</v>
      </c>
      <c r="N3055" s="157">
        <v>0</v>
      </c>
      <c r="O3055" s="82">
        <f t="shared" si="602"/>
        <v>0</v>
      </c>
      <c r="P3055" s="160"/>
      <c r="Q3055" s="1071">
        <f t="shared" si="604"/>
        <v>0</v>
      </c>
    </row>
    <row r="3056" spans="9:17" ht="13.9" x14ac:dyDescent="0.4">
      <c r="I3056" s="1073">
        <f t="shared" si="603"/>
        <v>0</v>
      </c>
      <c r="J3056" s="159" t="s">
        <v>19</v>
      </c>
      <c r="K3056" s="160"/>
      <c r="L3056" s="160"/>
      <c r="M3056" s="159">
        <v>0</v>
      </c>
      <c r="N3056" s="157">
        <v>0</v>
      </c>
      <c r="O3056" s="82">
        <f t="shared" si="602"/>
        <v>0</v>
      </c>
      <c r="P3056" s="160"/>
      <c r="Q3056" s="1071">
        <f t="shared" si="604"/>
        <v>0</v>
      </c>
    </row>
    <row r="3057" spans="9:17" ht="13.9" x14ac:dyDescent="0.4">
      <c r="I3057" s="1073">
        <f t="shared" si="603"/>
        <v>0</v>
      </c>
      <c r="J3057" s="159" t="s">
        <v>19</v>
      </c>
      <c r="K3057" s="160"/>
      <c r="L3057" s="160"/>
      <c r="M3057" s="159">
        <v>0</v>
      </c>
      <c r="N3057" s="157">
        <v>0</v>
      </c>
      <c r="O3057" s="82">
        <f t="shared" si="602"/>
        <v>0</v>
      </c>
      <c r="P3057" s="160"/>
      <c r="Q3057" s="1071">
        <f t="shared" si="604"/>
        <v>0</v>
      </c>
    </row>
    <row r="3058" spans="9:17" ht="13.9" x14ac:dyDescent="0.4">
      <c r="I3058" s="1071"/>
      <c r="J3058" s="86" t="s">
        <v>22</v>
      </c>
      <c r="K3058" s="86"/>
      <c r="L3058" s="86"/>
      <c r="M3058" s="81"/>
      <c r="N3058" s="87"/>
      <c r="O3058" s="88">
        <f>SUM(O3044:O3057)</f>
        <v>0</v>
      </c>
      <c r="P3058" s="86"/>
      <c r="Q3058" s="1071"/>
    </row>
    <row r="3059" spans="9:17" ht="13.9" x14ac:dyDescent="0.4">
      <c r="I3059" s="1071"/>
      <c r="J3059" s="83"/>
      <c r="K3059" s="83"/>
      <c r="L3059" s="83"/>
      <c r="M3059" s="83"/>
      <c r="N3059" s="84"/>
      <c r="O3059" s="83"/>
      <c r="P3059" s="83"/>
      <c r="Q3059" s="1071"/>
    </row>
    <row r="3060" spans="9:17" ht="13.9" x14ac:dyDescent="0.4">
      <c r="I3060" s="1071"/>
      <c r="J3060" s="78" t="s">
        <v>20</v>
      </c>
      <c r="K3060" s="78"/>
      <c r="L3060" s="78"/>
      <c r="M3060" s="79"/>
      <c r="N3060" s="85"/>
      <c r="O3060" s="79"/>
      <c r="P3060" s="78"/>
      <c r="Q3060" s="1071"/>
    </row>
    <row r="3061" spans="9:17" ht="13.9" x14ac:dyDescent="0.4">
      <c r="I3061" s="1071"/>
      <c r="J3061" s="80" t="s">
        <v>212</v>
      </c>
      <c r="K3061" s="80" t="s">
        <v>838</v>
      </c>
      <c r="L3061" s="80" t="s">
        <v>2</v>
      </c>
      <c r="M3061" s="80" t="s">
        <v>21</v>
      </c>
      <c r="N3061" s="80" t="s">
        <v>174</v>
      </c>
      <c r="O3061" s="80" t="s">
        <v>14</v>
      </c>
      <c r="P3061" s="80" t="s">
        <v>890</v>
      </c>
      <c r="Q3061" s="1071"/>
    </row>
    <row r="3062" spans="9:17" ht="13.9" x14ac:dyDescent="0.4">
      <c r="I3062" s="1073">
        <f>IF($A$1=50,I3057+1,0)</f>
        <v>0</v>
      </c>
      <c r="J3062" s="159" t="s">
        <v>19</v>
      </c>
      <c r="K3062" s="160"/>
      <c r="L3062" s="160"/>
      <c r="M3062" s="159">
        <v>0</v>
      </c>
      <c r="N3062" s="157">
        <v>0</v>
      </c>
      <c r="O3062" s="82">
        <f t="shared" ref="O3062:O3071" si="605">M3062*N3062</f>
        <v>0</v>
      </c>
      <c r="P3062" s="160"/>
      <c r="Q3062" s="1071">
        <f>Q3044</f>
        <v>0</v>
      </c>
    </row>
    <row r="3063" spans="9:17" ht="13.9" x14ac:dyDescent="0.4">
      <c r="I3063" s="1073">
        <f t="shared" ref="I3063:I3071" si="606">IF($A$1=50,I3062+1,0)</f>
        <v>0</v>
      </c>
      <c r="J3063" s="159" t="s">
        <v>19</v>
      </c>
      <c r="K3063" s="160"/>
      <c r="L3063" s="160"/>
      <c r="M3063" s="159">
        <v>0</v>
      </c>
      <c r="N3063" s="157">
        <v>0</v>
      </c>
      <c r="O3063" s="82">
        <f t="shared" si="605"/>
        <v>0</v>
      </c>
      <c r="P3063" s="160"/>
      <c r="Q3063" s="1071">
        <f>Q3062</f>
        <v>0</v>
      </c>
    </row>
    <row r="3064" spans="9:17" ht="13.9" x14ac:dyDescent="0.4">
      <c r="I3064" s="1073">
        <f t="shared" si="606"/>
        <v>0</v>
      </c>
      <c r="J3064" s="159" t="s">
        <v>19</v>
      </c>
      <c r="K3064" s="160"/>
      <c r="L3064" s="160"/>
      <c r="M3064" s="159">
        <v>0</v>
      </c>
      <c r="N3064" s="157">
        <v>0</v>
      </c>
      <c r="O3064" s="82">
        <f t="shared" si="605"/>
        <v>0</v>
      </c>
      <c r="P3064" s="160"/>
      <c r="Q3064" s="1071">
        <f t="shared" ref="Q3064:Q3071" si="607">Q3063</f>
        <v>0</v>
      </c>
    </row>
    <row r="3065" spans="9:17" ht="13.9" x14ac:dyDescent="0.4">
      <c r="I3065" s="1073">
        <f t="shared" si="606"/>
        <v>0</v>
      </c>
      <c r="J3065" s="159" t="s">
        <v>19</v>
      </c>
      <c r="K3065" s="160"/>
      <c r="L3065" s="160"/>
      <c r="M3065" s="159">
        <v>0</v>
      </c>
      <c r="N3065" s="157">
        <v>0</v>
      </c>
      <c r="O3065" s="82">
        <f t="shared" si="605"/>
        <v>0</v>
      </c>
      <c r="P3065" s="160"/>
      <c r="Q3065" s="1071">
        <f t="shared" si="607"/>
        <v>0</v>
      </c>
    </row>
    <row r="3066" spans="9:17" ht="13.9" x14ac:dyDescent="0.4">
      <c r="I3066" s="1073">
        <f t="shared" si="606"/>
        <v>0</v>
      </c>
      <c r="J3066" s="159" t="s">
        <v>19</v>
      </c>
      <c r="K3066" s="160"/>
      <c r="L3066" s="160"/>
      <c r="M3066" s="159">
        <v>0</v>
      </c>
      <c r="N3066" s="157">
        <v>0</v>
      </c>
      <c r="O3066" s="82">
        <f t="shared" si="605"/>
        <v>0</v>
      </c>
      <c r="P3066" s="158"/>
      <c r="Q3066" s="1071">
        <f t="shared" si="607"/>
        <v>0</v>
      </c>
    </row>
    <row r="3067" spans="9:17" ht="13.9" x14ac:dyDescent="0.4">
      <c r="I3067" s="1073">
        <f t="shared" si="606"/>
        <v>0</v>
      </c>
      <c r="J3067" s="159" t="s">
        <v>19</v>
      </c>
      <c r="K3067" s="160"/>
      <c r="L3067" s="160"/>
      <c r="M3067" s="159">
        <v>0</v>
      </c>
      <c r="N3067" s="157">
        <v>0</v>
      </c>
      <c r="O3067" s="82">
        <f t="shared" si="605"/>
        <v>0</v>
      </c>
      <c r="P3067" s="158"/>
      <c r="Q3067" s="1071">
        <f t="shared" si="607"/>
        <v>0</v>
      </c>
    </row>
    <row r="3068" spans="9:17" ht="13.9" x14ac:dyDescent="0.4">
      <c r="I3068" s="1073">
        <f t="shared" si="606"/>
        <v>0</v>
      </c>
      <c r="J3068" s="159" t="s">
        <v>19</v>
      </c>
      <c r="K3068" s="160"/>
      <c r="L3068" s="160"/>
      <c r="M3068" s="159">
        <v>0</v>
      </c>
      <c r="N3068" s="157">
        <v>0</v>
      </c>
      <c r="O3068" s="82">
        <f t="shared" si="605"/>
        <v>0</v>
      </c>
      <c r="P3068" s="158"/>
      <c r="Q3068" s="1071">
        <f t="shared" si="607"/>
        <v>0</v>
      </c>
    </row>
    <row r="3069" spans="9:17" ht="13.9" x14ac:dyDescent="0.4">
      <c r="I3069" s="1073">
        <f t="shared" si="606"/>
        <v>0</v>
      </c>
      <c r="J3069" s="159" t="s">
        <v>19</v>
      </c>
      <c r="K3069" s="160"/>
      <c r="L3069" s="160"/>
      <c r="M3069" s="159">
        <v>0</v>
      </c>
      <c r="N3069" s="157">
        <v>0</v>
      </c>
      <c r="O3069" s="82">
        <f t="shared" si="605"/>
        <v>0</v>
      </c>
      <c r="P3069" s="158"/>
      <c r="Q3069" s="1071">
        <f t="shared" si="607"/>
        <v>0</v>
      </c>
    </row>
    <row r="3070" spans="9:17" ht="13.9" x14ac:dyDescent="0.4">
      <c r="I3070" s="1073">
        <f t="shared" si="606"/>
        <v>0</v>
      </c>
      <c r="J3070" s="159" t="s">
        <v>19</v>
      </c>
      <c r="K3070" s="160"/>
      <c r="L3070" s="160"/>
      <c r="M3070" s="159">
        <v>0</v>
      </c>
      <c r="N3070" s="157">
        <v>0</v>
      </c>
      <c r="O3070" s="82">
        <f t="shared" si="605"/>
        <v>0</v>
      </c>
      <c r="P3070" s="158"/>
      <c r="Q3070" s="1071">
        <f t="shared" si="607"/>
        <v>0</v>
      </c>
    </row>
    <row r="3071" spans="9:17" ht="13.9" x14ac:dyDescent="0.4">
      <c r="I3071" s="1073">
        <f t="shared" si="606"/>
        <v>0</v>
      </c>
      <c r="J3071" s="159" t="s">
        <v>19</v>
      </c>
      <c r="K3071" s="160"/>
      <c r="L3071" s="160"/>
      <c r="M3071" s="159">
        <v>0</v>
      </c>
      <c r="N3071" s="157">
        <v>0</v>
      </c>
      <c r="O3071" s="82">
        <f t="shared" si="605"/>
        <v>0</v>
      </c>
      <c r="P3071" s="158"/>
      <c r="Q3071" s="1071">
        <f t="shared" si="607"/>
        <v>0</v>
      </c>
    </row>
    <row r="3072" spans="9:17" ht="13.9" x14ac:dyDescent="0.4">
      <c r="I3072" s="1071"/>
      <c r="J3072" s="86" t="s">
        <v>22</v>
      </c>
      <c r="K3072" s="86"/>
      <c r="L3072" s="86"/>
      <c r="M3072" s="81"/>
      <c r="N3072" s="87"/>
      <c r="O3072" s="88">
        <f>SUM(O3062:O3071)</f>
        <v>0</v>
      </c>
      <c r="P3072" s="86"/>
      <c r="Q3072" s="1071"/>
    </row>
    <row r="3074" spans="9:17" ht="13.9" x14ac:dyDescent="0.4">
      <c r="I3074" s="1071"/>
      <c r="J3074" s="78" t="str">
        <f>IF(OR(A2_Budget_Look_Up!$B$7=1,A2_Budget_Look_Up!$B$13=1),"Nematicide Detail", "Fungicide Detail")</f>
        <v>Fungicide Detail</v>
      </c>
      <c r="K3074" s="78"/>
      <c r="L3074" s="78"/>
      <c r="M3074" s="79"/>
      <c r="N3074" s="85"/>
      <c r="O3074" s="79"/>
      <c r="P3074" s="78"/>
      <c r="Q3074" s="1071"/>
    </row>
    <row r="3075" spans="9:17" ht="13.9" x14ac:dyDescent="0.4">
      <c r="I3075" s="1071"/>
      <c r="J3075" s="80" t="s">
        <v>212</v>
      </c>
      <c r="K3075" s="80" t="s">
        <v>838</v>
      </c>
      <c r="L3075" s="80" t="s">
        <v>2</v>
      </c>
      <c r="M3075" s="80" t="s">
        <v>21</v>
      </c>
      <c r="N3075" s="80" t="s">
        <v>174</v>
      </c>
      <c r="O3075" s="80" t="s">
        <v>14</v>
      </c>
      <c r="P3075" s="80" t="s">
        <v>890</v>
      </c>
      <c r="Q3075" s="1071"/>
    </row>
    <row r="3076" spans="9:17" ht="13.9" x14ac:dyDescent="0.4">
      <c r="I3076" s="1073">
        <f>IF($A$1=50,I3071+1,0)</f>
        <v>0</v>
      </c>
      <c r="J3076" s="156" t="s">
        <v>19</v>
      </c>
      <c r="K3076" s="158"/>
      <c r="L3076" s="158"/>
      <c r="M3076" s="159">
        <v>0</v>
      </c>
      <c r="N3076" s="157">
        <v>0</v>
      </c>
      <c r="O3076" s="82">
        <f>M3076*N3076</f>
        <v>0</v>
      </c>
      <c r="P3076" s="158"/>
      <c r="Q3076" s="1071">
        <f>Q3071</f>
        <v>0</v>
      </c>
    </row>
    <row r="3077" spans="9:17" ht="13.9" x14ac:dyDescent="0.4">
      <c r="I3077" s="1073">
        <f>IF($A$1=50,I3076+1,0)</f>
        <v>0</v>
      </c>
      <c r="J3077" s="156" t="s">
        <v>19</v>
      </c>
      <c r="K3077" s="158"/>
      <c r="L3077" s="158"/>
      <c r="M3077" s="159">
        <v>0</v>
      </c>
      <c r="N3077" s="157">
        <v>0</v>
      </c>
      <c r="O3077" s="82">
        <f>M3077*N3077</f>
        <v>0</v>
      </c>
      <c r="P3077" s="158"/>
      <c r="Q3077" s="1071">
        <f>Q3076</f>
        <v>0</v>
      </c>
    </row>
    <row r="3078" spans="9:17" ht="13.9" x14ac:dyDescent="0.4">
      <c r="I3078" s="1071"/>
      <c r="J3078" s="86" t="s">
        <v>22</v>
      </c>
      <c r="K3078" s="86"/>
      <c r="L3078" s="86"/>
      <c r="M3078" s="81"/>
      <c r="N3078" s="87"/>
      <c r="O3078" s="88">
        <f>SUM(O3076:O3077)</f>
        <v>0</v>
      </c>
      <c r="P3078" s="86"/>
      <c r="Q3078" s="1071"/>
    </row>
    <row r="3079" spans="9:17" ht="13.9" x14ac:dyDescent="0.4">
      <c r="I3079" s="1071"/>
      <c r="J3079" s="83"/>
      <c r="K3079" s="83"/>
      <c r="L3079" s="83"/>
      <c r="M3079" s="83"/>
      <c r="N3079" s="84"/>
      <c r="O3079" s="83"/>
      <c r="P3079" s="83"/>
      <c r="Q3079" s="1071"/>
    </row>
    <row r="3080" spans="9:17" ht="13.9" x14ac:dyDescent="0.4">
      <c r="I3080" s="1071"/>
      <c r="J3080" s="78" t="str">
        <f>IF(A2_Budget_Look_Up!$B$7=1,"Growth Regulator Detail", IF(A2_Budget_Look_Up!$B$13=1,"Fungicide Detail","Other Chemical Detail"))</f>
        <v>Other Chemical Detail</v>
      </c>
      <c r="K3080" s="78"/>
      <c r="L3080" s="78"/>
      <c r="M3080" s="79"/>
      <c r="N3080" s="85"/>
      <c r="O3080" s="79"/>
      <c r="P3080" s="78"/>
      <c r="Q3080" s="1071"/>
    </row>
    <row r="3081" spans="9:17" ht="13.9" x14ac:dyDescent="0.4">
      <c r="I3081" s="1071"/>
      <c r="J3081" s="80" t="s">
        <v>212</v>
      </c>
      <c r="K3081" s="80" t="s">
        <v>838</v>
      </c>
      <c r="L3081" s="80" t="s">
        <v>2</v>
      </c>
      <c r="M3081" s="80" t="s">
        <v>21</v>
      </c>
      <c r="N3081" s="80" t="s">
        <v>174</v>
      </c>
      <c r="O3081" s="80" t="s">
        <v>14</v>
      </c>
      <c r="P3081" s="80" t="s">
        <v>890</v>
      </c>
      <c r="Q3081" s="1071"/>
    </row>
    <row r="3082" spans="9:17" ht="13.9" x14ac:dyDescent="0.4">
      <c r="I3082" s="1073">
        <f>IF($A$1=50,I3077+1,0)</f>
        <v>0</v>
      </c>
      <c r="J3082" s="156" t="s">
        <v>19</v>
      </c>
      <c r="K3082" s="158"/>
      <c r="L3082" s="158"/>
      <c r="M3082" s="159">
        <v>0</v>
      </c>
      <c r="N3082" s="157">
        <v>0</v>
      </c>
      <c r="O3082" s="82">
        <f t="shared" ref="O3082:O3088" si="608">M3082*N3082</f>
        <v>0</v>
      </c>
      <c r="P3082" s="160"/>
      <c r="Q3082" s="1071">
        <f>Q3077</f>
        <v>0</v>
      </c>
    </row>
    <row r="3083" spans="9:17" ht="13.9" x14ac:dyDescent="0.4">
      <c r="I3083" s="1073">
        <f t="shared" ref="I3083:I3088" si="609">IF($A$1=50,I3082+1,0)</f>
        <v>0</v>
      </c>
      <c r="J3083" s="156" t="s">
        <v>19</v>
      </c>
      <c r="K3083" s="158"/>
      <c r="L3083" s="158"/>
      <c r="M3083" s="159">
        <v>0</v>
      </c>
      <c r="N3083" s="157">
        <v>0</v>
      </c>
      <c r="O3083" s="82">
        <f t="shared" si="608"/>
        <v>0</v>
      </c>
      <c r="P3083" s="160"/>
      <c r="Q3083" s="1071">
        <f t="shared" ref="Q3083:Q3088" si="610">Q3082</f>
        <v>0</v>
      </c>
    </row>
    <row r="3084" spans="9:17" ht="13.9" x14ac:dyDescent="0.4">
      <c r="I3084" s="1073">
        <f t="shared" si="609"/>
        <v>0</v>
      </c>
      <c r="J3084" s="156" t="s">
        <v>19</v>
      </c>
      <c r="K3084" s="158"/>
      <c r="L3084" s="158"/>
      <c r="M3084" s="159">
        <v>0</v>
      </c>
      <c r="N3084" s="157">
        <v>0</v>
      </c>
      <c r="O3084" s="82">
        <f t="shared" si="608"/>
        <v>0</v>
      </c>
      <c r="P3084" s="160"/>
      <c r="Q3084" s="1071">
        <f t="shared" si="610"/>
        <v>0</v>
      </c>
    </row>
    <row r="3085" spans="9:17" ht="13.9" x14ac:dyDescent="0.4">
      <c r="I3085" s="1073">
        <f t="shared" si="609"/>
        <v>0</v>
      </c>
      <c r="J3085" s="156" t="s">
        <v>19</v>
      </c>
      <c r="K3085" s="158"/>
      <c r="L3085" s="158"/>
      <c r="M3085" s="159">
        <v>0</v>
      </c>
      <c r="N3085" s="157">
        <v>0</v>
      </c>
      <c r="O3085" s="82">
        <f t="shared" si="608"/>
        <v>0</v>
      </c>
      <c r="P3085" s="158"/>
      <c r="Q3085" s="1071">
        <f t="shared" si="610"/>
        <v>0</v>
      </c>
    </row>
    <row r="3086" spans="9:17" ht="13.9" x14ac:dyDescent="0.4">
      <c r="I3086" s="1073">
        <f t="shared" si="609"/>
        <v>0</v>
      </c>
      <c r="J3086" s="156" t="s">
        <v>19</v>
      </c>
      <c r="K3086" s="158"/>
      <c r="L3086" s="158"/>
      <c r="M3086" s="159">
        <v>0</v>
      </c>
      <c r="N3086" s="157">
        <v>0</v>
      </c>
      <c r="O3086" s="82">
        <f t="shared" si="608"/>
        <v>0</v>
      </c>
      <c r="P3086" s="158"/>
      <c r="Q3086" s="1071">
        <f t="shared" si="610"/>
        <v>0</v>
      </c>
    </row>
    <row r="3087" spans="9:17" ht="13.9" x14ac:dyDescent="0.4">
      <c r="I3087" s="1073">
        <f t="shared" si="609"/>
        <v>0</v>
      </c>
      <c r="J3087" s="156" t="s">
        <v>19</v>
      </c>
      <c r="K3087" s="158"/>
      <c r="L3087" s="158"/>
      <c r="M3087" s="159">
        <v>0</v>
      </c>
      <c r="N3087" s="157">
        <v>0</v>
      </c>
      <c r="O3087" s="82">
        <f t="shared" si="608"/>
        <v>0</v>
      </c>
      <c r="P3087" s="158"/>
      <c r="Q3087" s="1071">
        <f t="shared" si="610"/>
        <v>0</v>
      </c>
    </row>
    <row r="3088" spans="9:17" ht="13.9" x14ac:dyDescent="0.4">
      <c r="I3088" s="1073">
        <f t="shared" si="609"/>
        <v>0</v>
      </c>
      <c r="J3088" s="156" t="s">
        <v>19</v>
      </c>
      <c r="K3088" s="158"/>
      <c r="L3088" s="158"/>
      <c r="M3088" s="159">
        <v>0</v>
      </c>
      <c r="N3088" s="157">
        <v>0</v>
      </c>
      <c r="O3088" s="82">
        <f t="shared" si="608"/>
        <v>0</v>
      </c>
      <c r="P3088" s="158"/>
      <c r="Q3088" s="1071">
        <f t="shared" si="610"/>
        <v>0</v>
      </c>
    </row>
    <row r="3089" spans="9:17" ht="13.9" x14ac:dyDescent="0.4">
      <c r="I3089" s="1071"/>
      <c r="J3089" s="86" t="s">
        <v>22</v>
      </c>
      <c r="K3089" s="86"/>
      <c r="L3089" s="86"/>
      <c r="M3089" s="81"/>
      <c r="N3089" s="87"/>
      <c r="O3089" s="88">
        <f>SUM(O3082:O3088)</f>
        <v>0</v>
      </c>
      <c r="P3089" s="86"/>
      <c r="Q3089" s="1071"/>
    </row>
    <row r="3090" spans="9:17" ht="13.9" x14ac:dyDescent="0.4">
      <c r="I3090" s="1071"/>
      <c r="J3090" s="83"/>
      <c r="K3090" s="83"/>
      <c r="L3090" s="83"/>
      <c r="M3090" s="83"/>
      <c r="N3090" s="84"/>
      <c r="O3090" s="83"/>
      <c r="P3090" s="83"/>
      <c r="Q3090" s="1071"/>
    </row>
    <row r="3091" spans="9:17" ht="13.9" x14ac:dyDescent="0.4">
      <c r="I3091" s="1071"/>
      <c r="J3091" s="78" t="str">
        <f>IF(A2_Budget_Look_Up!$B$7=1,"Defoliant Detail", "Other Chemical Detail")</f>
        <v>Other Chemical Detail</v>
      </c>
      <c r="K3091" s="78"/>
      <c r="L3091" s="78"/>
      <c r="M3091" s="79"/>
      <c r="N3091" s="85"/>
      <c r="O3091" s="79"/>
      <c r="P3091" s="78"/>
      <c r="Q3091" s="1071"/>
    </row>
    <row r="3092" spans="9:17" ht="13.9" x14ac:dyDescent="0.4">
      <c r="I3092" s="1071"/>
      <c r="J3092" s="80" t="s">
        <v>212</v>
      </c>
      <c r="K3092" s="80" t="s">
        <v>838</v>
      </c>
      <c r="L3092" s="80" t="s">
        <v>2</v>
      </c>
      <c r="M3092" s="80" t="s">
        <v>21</v>
      </c>
      <c r="N3092" s="80" t="s">
        <v>174</v>
      </c>
      <c r="O3092" s="80" t="s">
        <v>14</v>
      </c>
      <c r="P3092" s="80" t="s">
        <v>890</v>
      </c>
      <c r="Q3092" s="1071"/>
    </row>
    <row r="3093" spans="9:17" ht="13.9" x14ac:dyDescent="0.4">
      <c r="I3093" s="1073">
        <f>IF($A$1=50,I3088+1,0)</f>
        <v>0</v>
      </c>
      <c r="J3093" s="156" t="s">
        <v>19</v>
      </c>
      <c r="K3093" s="158"/>
      <c r="L3093" s="158"/>
      <c r="M3093" s="159">
        <v>0</v>
      </c>
      <c r="N3093" s="157">
        <v>0</v>
      </c>
      <c r="O3093" s="82">
        <f t="shared" ref="O3093:O3099" si="611">M3093*N3093</f>
        <v>0</v>
      </c>
      <c r="P3093" s="160"/>
      <c r="Q3093" s="1071">
        <f>Q3088</f>
        <v>0</v>
      </c>
    </row>
    <row r="3094" spans="9:17" ht="13.9" x14ac:dyDescent="0.4">
      <c r="I3094" s="1073">
        <f t="shared" ref="I3094:I3099" si="612">IF($A$1=50,I3093+1,0)</f>
        <v>0</v>
      </c>
      <c r="J3094" s="156" t="s">
        <v>19</v>
      </c>
      <c r="K3094" s="158"/>
      <c r="L3094" s="158"/>
      <c r="M3094" s="159">
        <v>0</v>
      </c>
      <c r="N3094" s="157">
        <v>0</v>
      </c>
      <c r="O3094" s="82">
        <f t="shared" si="611"/>
        <v>0</v>
      </c>
      <c r="P3094" s="160"/>
      <c r="Q3094" s="1071">
        <f t="shared" ref="Q3094:Q3099" si="613">Q3093</f>
        <v>0</v>
      </c>
    </row>
    <row r="3095" spans="9:17" ht="13.9" x14ac:dyDescent="0.4">
      <c r="I3095" s="1073">
        <f t="shared" si="612"/>
        <v>0</v>
      </c>
      <c r="J3095" s="156" t="s">
        <v>19</v>
      </c>
      <c r="K3095" s="158"/>
      <c r="L3095" s="158"/>
      <c r="M3095" s="159">
        <v>0</v>
      </c>
      <c r="N3095" s="157">
        <v>0</v>
      </c>
      <c r="O3095" s="82">
        <f t="shared" si="611"/>
        <v>0</v>
      </c>
      <c r="P3095" s="160"/>
      <c r="Q3095" s="1071">
        <f t="shared" si="613"/>
        <v>0</v>
      </c>
    </row>
    <row r="3096" spans="9:17" ht="13.9" x14ac:dyDescent="0.4">
      <c r="I3096" s="1073">
        <f t="shared" si="612"/>
        <v>0</v>
      </c>
      <c r="J3096" s="156" t="s">
        <v>19</v>
      </c>
      <c r="K3096" s="158"/>
      <c r="L3096" s="158"/>
      <c r="M3096" s="159">
        <v>0</v>
      </c>
      <c r="N3096" s="157">
        <v>0</v>
      </c>
      <c r="O3096" s="82">
        <f t="shared" si="611"/>
        <v>0</v>
      </c>
      <c r="P3096" s="160"/>
      <c r="Q3096" s="1071">
        <f t="shared" si="613"/>
        <v>0</v>
      </c>
    </row>
    <row r="3097" spans="9:17" ht="13.9" x14ac:dyDescent="0.4">
      <c r="I3097" s="1073">
        <f t="shared" si="612"/>
        <v>0</v>
      </c>
      <c r="J3097" s="156" t="s">
        <v>19</v>
      </c>
      <c r="K3097" s="158"/>
      <c r="L3097" s="158"/>
      <c r="M3097" s="159">
        <v>0</v>
      </c>
      <c r="N3097" s="157">
        <v>0</v>
      </c>
      <c r="O3097" s="82">
        <f t="shared" si="611"/>
        <v>0</v>
      </c>
      <c r="P3097" s="160"/>
      <c r="Q3097" s="1071">
        <f t="shared" si="613"/>
        <v>0</v>
      </c>
    </row>
    <row r="3098" spans="9:17" ht="13.9" x14ac:dyDescent="0.4">
      <c r="I3098" s="1073">
        <f t="shared" si="612"/>
        <v>0</v>
      </c>
      <c r="J3098" s="156" t="s">
        <v>19</v>
      </c>
      <c r="K3098" s="158"/>
      <c r="L3098" s="158"/>
      <c r="M3098" s="159">
        <v>0</v>
      </c>
      <c r="N3098" s="157">
        <v>0</v>
      </c>
      <c r="O3098" s="82">
        <f t="shared" si="611"/>
        <v>0</v>
      </c>
      <c r="P3098" s="158"/>
      <c r="Q3098" s="1071">
        <f t="shared" si="613"/>
        <v>0</v>
      </c>
    </row>
    <row r="3099" spans="9:17" ht="13.9" x14ac:dyDescent="0.4">
      <c r="I3099" s="1073">
        <f t="shared" si="612"/>
        <v>0</v>
      </c>
      <c r="J3099" s="156" t="s">
        <v>19</v>
      </c>
      <c r="K3099" s="158"/>
      <c r="L3099" s="158"/>
      <c r="M3099" s="159">
        <v>0</v>
      </c>
      <c r="N3099" s="157">
        <v>0</v>
      </c>
      <c r="O3099" s="82">
        <f t="shared" si="611"/>
        <v>0</v>
      </c>
      <c r="P3099" s="158"/>
      <c r="Q3099" s="1071">
        <f t="shared" si="613"/>
        <v>0</v>
      </c>
    </row>
    <row r="3100" spans="9:17" ht="13.9" x14ac:dyDescent="0.4">
      <c r="I3100" s="1071"/>
      <c r="J3100" s="86" t="s">
        <v>22</v>
      </c>
      <c r="K3100" s="86"/>
      <c r="L3100" s="86"/>
      <c r="M3100" s="81"/>
      <c r="N3100" s="87"/>
      <c r="O3100" s="88">
        <f>SUM(O3093:O3099)</f>
        <v>0</v>
      </c>
      <c r="P3100" s="86"/>
      <c r="Q3100" s="107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AI303"/>
  <sheetViews>
    <sheetView topLeftCell="L74" workbookViewId="0">
      <selection activeCell="P67" sqref="P67"/>
    </sheetView>
  </sheetViews>
  <sheetFormatPr defaultRowHeight="12.75" x14ac:dyDescent="0.35"/>
  <cols>
    <col min="1" max="1" width="30.86328125" customWidth="1"/>
    <col min="2" max="2" width="10.86328125" customWidth="1"/>
    <col min="3" max="3" width="9.1328125" customWidth="1"/>
    <col min="4" max="4" width="9.86328125" customWidth="1"/>
    <col min="5" max="5" width="12" customWidth="1"/>
    <col min="6" max="6" width="10.265625" customWidth="1"/>
    <col min="7" max="7" width="8.73046875" customWidth="1"/>
    <col min="8" max="9" width="9.1328125" customWidth="1"/>
    <col min="10" max="10" width="9.86328125" customWidth="1"/>
    <col min="11" max="12" width="10.265625" customWidth="1"/>
    <col min="13" max="14" width="3" customWidth="1"/>
    <col min="15" max="15" width="33" customWidth="1"/>
    <col min="16" max="18" width="8.73046875" customWidth="1"/>
    <col min="19" max="19" width="12" customWidth="1"/>
    <col min="20" max="20" width="10.265625" customWidth="1"/>
    <col min="21" max="21" width="8.265625" customWidth="1"/>
    <col min="22" max="23" width="9.1328125" customWidth="1"/>
    <col min="24" max="24" width="9.86328125" customWidth="1"/>
    <col min="25" max="26" width="10.265625" customWidth="1"/>
    <col min="27" max="27" width="2.73046875" customWidth="1"/>
    <col min="28" max="29" width="8" customWidth="1"/>
    <col min="30" max="30" width="6.3984375" customWidth="1"/>
    <col min="31" max="31" width="15.73046875" bestFit="1" customWidth="1"/>
    <col min="32" max="32" width="5.73046875" customWidth="1"/>
    <col min="33" max="34" width="8" customWidth="1"/>
    <col min="35" max="35" width="6.3984375" customWidth="1"/>
    <col min="36" max="36" width="15.73046875" bestFit="1" customWidth="1"/>
    <col min="37" max="38" width="5.73046875" customWidth="1"/>
    <col min="39" max="39" width="14.86328125" bestFit="1" customWidth="1"/>
    <col min="40" max="41" width="5.73046875" customWidth="1"/>
    <col min="42" max="42" width="14.86328125" bestFit="1" customWidth="1"/>
    <col min="43" max="44" width="5.73046875" customWidth="1"/>
    <col min="45" max="45" width="16.3984375" bestFit="1" customWidth="1"/>
    <col min="46" max="47" width="5.73046875" customWidth="1"/>
  </cols>
  <sheetData>
    <row r="7" spans="1:35" ht="13.9" x14ac:dyDescent="0.4">
      <c r="A7" s="667" t="s">
        <v>726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3"/>
      <c r="AG7" s="3"/>
      <c r="AH7" s="3"/>
      <c r="AI7" s="3"/>
    </row>
    <row r="8" spans="1:35" ht="13.9" x14ac:dyDescent="0.4">
      <c r="A8" s="395">
        <v>1</v>
      </c>
      <c r="B8" s="1172" t="str">
        <f>'C1_Messages_Indicators'!B62</f>
        <v xml:space="preserve">Lookup OK 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3"/>
      <c r="AG8" s="3"/>
      <c r="AH8" s="3"/>
      <c r="AI8" s="3"/>
    </row>
    <row r="9" spans="1:35" ht="14.25" thickBot="1" x14ac:dyDescent="0.45">
      <c r="A9" s="1168"/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071"/>
      <c r="N9" s="1071"/>
      <c r="O9" s="1621" t="s">
        <v>711</v>
      </c>
      <c r="P9" s="1622">
        <v>1</v>
      </c>
      <c r="Q9" s="1621"/>
      <c r="R9" s="1621"/>
      <c r="S9" s="1621"/>
      <c r="T9" s="1621"/>
      <c r="U9" s="1621"/>
      <c r="V9" s="1623"/>
      <c r="W9" s="1623"/>
      <c r="X9" s="1623"/>
      <c r="Y9" s="1623"/>
      <c r="Z9" s="1623"/>
      <c r="AA9" s="1173"/>
      <c r="AB9" s="1623"/>
      <c r="AC9" s="1623"/>
      <c r="AD9" s="1623"/>
      <c r="AE9" s="1623"/>
      <c r="AF9" s="1534"/>
      <c r="AG9" s="1173"/>
      <c r="AH9" s="1173"/>
      <c r="AI9" s="1173"/>
    </row>
    <row r="10" spans="1:35" ht="14.25" thickBot="1" x14ac:dyDescent="0.45">
      <c r="A10" s="83"/>
      <c r="B10" s="83"/>
      <c r="C10" s="83"/>
      <c r="D10" s="83"/>
      <c r="E10" s="84"/>
      <c r="F10" s="83"/>
      <c r="G10" s="83"/>
      <c r="H10" s="1779" t="s">
        <v>709</v>
      </c>
      <c r="I10" s="1780"/>
      <c r="J10" s="1780"/>
      <c r="K10" s="1779" t="s">
        <v>322</v>
      </c>
      <c r="L10" s="1780"/>
      <c r="M10" s="1071"/>
      <c r="N10" s="1071"/>
      <c r="O10" s="1624"/>
      <c r="P10" s="1624"/>
      <c r="Q10" s="1624"/>
      <c r="R10" s="1624"/>
      <c r="S10" s="1624"/>
      <c r="T10" s="1624"/>
      <c r="U10" s="1624"/>
      <c r="V10" s="1625" t="s">
        <v>709</v>
      </c>
      <c r="W10" s="1625"/>
      <c r="X10" s="1626"/>
      <c r="Y10" s="1627" t="s">
        <v>322</v>
      </c>
      <c r="Z10" s="1628"/>
      <c r="AA10" s="1533"/>
      <c r="AB10" s="1692" t="s">
        <v>455</v>
      </c>
      <c r="AC10" s="1693"/>
      <c r="AD10" s="1694"/>
      <c r="AE10" s="1695"/>
      <c r="AF10" s="1534"/>
      <c r="AG10" s="1115" t="s">
        <v>455</v>
      </c>
      <c r="AH10" s="1116"/>
      <c r="AI10" s="1117"/>
    </row>
    <row r="11" spans="1:35" ht="13.9" x14ac:dyDescent="0.4">
      <c r="A11" s="1781"/>
      <c r="B11" s="1782" t="s">
        <v>175</v>
      </c>
      <c r="C11" s="1783"/>
      <c r="D11" s="1784" t="s">
        <v>202</v>
      </c>
      <c r="E11" s="1782" t="s">
        <v>344</v>
      </c>
      <c r="F11" s="1785" t="s">
        <v>68</v>
      </c>
      <c r="G11" s="1786" t="s">
        <v>52</v>
      </c>
      <c r="H11" s="1787"/>
      <c r="I11" s="208"/>
      <c r="J11" s="206" t="s">
        <v>24</v>
      </c>
      <c r="K11" s="1110"/>
      <c r="L11" s="427" t="s">
        <v>24</v>
      </c>
      <c r="M11" s="1071"/>
      <c r="N11" s="1071"/>
      <c r="O11" s="1629"/>
      <c r="P11" s="1102" t="s">
        <v>175</v>
      </c>
      <c r="Q11" s="1103"/>
      <c r="R11" s="1104" t="s">
        <v>202</v>
      </c>
      <c r="S11" s="1102" t="s">
        <v>344</v>
      </c>
      <c r="T11" s="1630" t="s">
        <v>68</v>
      </c>
      <c r="U11" s="1631" t="s">
        <v>52</v>
      </c>
      <c r="V11" s="415"/>
      <c r="W11" s="1632"/>
      <c r="X11" s="1633" t="s">
        <v>24</v>
      </c>
      <c r="Y11" s="1634"/>
      <c r="Z11" s="1635" t="s">
        <v>24</v>
      </c>
      <c r="AA11" s="1565"/>
      <c r="AB11" s="1696" t="s">
        <v>254</v>
      </c>
      <c r="AC11" s="1697"/>
      <c r="AD11" s="1698"/>
      <c r="AE11" s="1698"/>
      <c r="AF11" s="1534"/>
      <c r="AG11" s="1118" t="s">
        <v>254</v>
      </c>
      <c r="AH11" s="1119"/>
      <c r="AI11" s="1120"/>
    </row>
    <row r="12" spans="1:35" ht="13.9" x14ac:dyDescent="0.4">
      <c r="A12" s="1111"/>
      <c r="B12" s="983" t="s">
        <v>343</v>
      </c>
      <c r="C12" s="383" t="s">
        <v>43</v>
      </c>
      <c r="D12" s="382" t="s">
        <v>203</v>
      </c>
      <c r="E12" s="983" t="s">
        <v>343</v>
      </c>
      <c r="F12" s="376" t="s">
        <v>59</v>
      </c>
      <c r="G12" s="974" t="s">
        <v>57</v>
      </c>
      <c r="H12" s="37" t="s">
        <v>36</v>
      </c>
      <c r="I12" s="22" t="s">
        <v>45</v>
      </c>
      <c r="J12" s="179" t="s">
        <v>25</v>
      </c>
      <c r="K12" s="37" t="s">
        <v>36</v>
      </c>
      <c r="L12" s="184" t="s">
        <v>25</v>
      </c>
      <c r="M12" s="1072"/>
      <c r="N12" s="1071"/>
      <c r="O12" s="1636"/>
      <c r="P12" s="380" t="s">
        <v>343</v>
      </c>
      <c r="Q12" s="378" t="s">
        <v>43</v>
      </c>
      <c r="R12" s="379" t="s">
        <v>203</v>
      </c>
      <c r="S12" s="380" t="s">
        <v>343</v>
      </c>
      <c r="T12" s="1637" t="s">
        <v>59</v>
      </c>
      <c r="U12" s="1638" t="s">
        <v>57</v>
      </c>
      <c r="V12" s="30" t="s">
        <v>36</v>
      </c>
      <c r="W12" s="23" t="s">
        <v>45</v>
      </c>
      <c r="X12" s="1639" t="s">
        <v>25</v>
      </c>
      <c r="Y12" s="30" t="s">
        <v>36</v>
      </c>
      <c r="Z12" s="1640" t="s">
        <v>25</v>
      </c>
      <c r="AA12" s="1071"/>
      <c r="AB12" s="30" t="s">
        <v>58</v>
      </c>
      <c r="AC12" s="1699" t="s">
        <v>58</v>
      </c>
      <c r="AD12" s="1700" t="s">
        <v>55</v>
      </c>
      <c r="AE12" s="1701" t="s">
        <v>966</v>
      </c>
      <c r="AF12" s="1534"/>
      <c r="AG12" s="37" t="s">
        <v>58</v>
      </c>
      <c r="AH12" s="24" t="s">
        <v>58</v>
      </c>
      <c r="AI12" s="589" t="s">
        <v>55</v>
      </c>
    </row>
    <row r="13" spans="1:35" ht="14.25" thickBot="1" x14ac:dyDescent="0.45">
      <c r="A13" s="1112" t="s">
        <v>158</v>
      </c>
      <c r="B13" s="983" t="s">
        <v>342</v>
      </c>
      <c r="C13" s="383" t="s">
        <v>44</v>
      </c>
      <c r="D13" s="382" t="s">
        <v>201</v>
      </c>
      <c r="E13" s="381" t="s">
        <v>342</v>
      </c>
      <c r="F13" s="376" t="s">
        <v>188</v>
      </c>
      <c r="G13" s="974" t="s">
        <v>2</v>
      </c>
      <c r="H13" s="416" t="s">
        <v>37</v>
      </c>
      <c r="I13" s="220" t="s">
        <v>46</v>
      </c>
      <c r="J13" s="220" t="s">
        <v>26</v>
      </c>
      <c r="K13" s="416" t="s">
        <v>37</v>
      </c>
      <c r="L13" s="221" t="s">
        <v>26</v>
      </c>
      <c r="M13" s="1073"/>
      <c r="N13" s="1071"/>
      <c r="O13" s="1641" t="s">
        <v>158</v>
      </c>
      <c r="P13" s="380" t="s">
        <v>342</v>
      </c>
      <c r="Q13" s="378" t="s">
        <v>44</v>
      </c>
      <c r="R13" s="379" t="s">
        <v>201</v>
      </c>
      <c r="S13" s="1642" t="s">
        <v>342</v>
      </c>
      <c r="T13" s="1643" t="s">
        <v>188</v>
      </c>
      <c r="U13" s="1644" t="s">
        <v>2</v>
      </c>
      <c r="V13" s="1645" t="s">
        <v>37</v>
      </c>
      <c r="W13" s="1646" t="s">
        <v>46</v>
      </c>
      <c r="X13" s="1646" t="s">
        <v>26</v>
      </c>
      <c r="Y13" s="1645" t="s">
        <v>37</v>
      </c>
      <c r="Z13" s="1647" t="s">
        <v>26</v>
      </c>
      <c r="AA13" s="1071"/>
      <c r="AB13" s="1645" t="s">
        <v>76</v>
      </c>
      <c r="AC13" s="1647" t="s">
        <v>77</v>
      </c>
      <c r="AD13" s="1702" t="s">
        <v>31</v>
      </c>
      <c r="AE13" s="1703" t="s">
        <v>312</v>
      </c>
      <c r="AF13" s="1535"/>
      <c r="AG13" s="416" t="s">
        <v>76</v>
      </c>
      <c r="AH13" s="221" t="s">
        <v>77</v>
      </c>
      <c r="AI13" s="590" t="s">
        <v>31</v>
      </c>
    </row>
    <row r="14" spans="1:35" ht="13.9" x14ac:dyDescent="0.4">
      <c r="A14" s="1730" t="str">
        <f>VLOOKUP(1,$N$14:$O$303,2,FALSE)</f>
        <v>Paratill</v>
      </c>
      <c r="B14" s="1731">
        <f>VLOOKUP(1,$N$14:$Z$303,3,FALSE)</f>
        <v>17200</v>
      </c>
      <c r="C14" s="1732">
        <f>VLOOKUP(1,$N$14:$Z$303,4,FALSE)</f>
        <v>19</v>
      </c>
      <c r="D14" s="1733">
        <f>VLOOKUP(1,$N$14:$Z$303,5,FALSE)</f>
        <v>4</v>
      </c>
      <c r="E14" s="1734">
        <f>VLOOKUP(1,$N$14:$Z$303,6,FALSE)</f>
        <v>308000</v>
      </c>
      <c r="F14" s="1735">
        <f>VLOOKUP(1,$N$14:$Z$303,7,FALSE)</f>
        <v>4</v>
      </c>
      <c r="G14" s="1736">
        <f>VLOOKUP(1,$N$14:$Z$303,8,FALSE)</f>
        <v>230</v>
      </c>
      <c r="H14" s="1737">
        <f>VLOOKUP(1,$N$14:$Z$303,9,FALSE)</f>
        <v>160</v>
      </c>
      <c r="I14" s="485">
        <f>VLOOKUP(1,$N$14:$Z$303,10,FALSE)</f>
        <v>0.85</v>
      </c>
      <c r="J14" s="486">
        <f>VLOOKUP(1,$N$14:$Z$303,11,FALSE)</f>
        <v>8</v>
      </c>
      <c r="K14" s="489">
        <f>VLOOKUP(1,$N$14:$Z$303,12,FALSE)</f>
        <v>600</v>
      </c>
      <c r="L14" s="1738">
        <f>VLOOKUP(1,$N$14:$Z$303,13,FALSE)</f>
        <v>8</v>
      </c>
      <c r="M14" s="1073">
        <f>VLOOKUP(1,$N$14:$AA$303,14,FALSE)</f>
        <v>1</v>
      </c>
      <c r="N14" s="1073">
        <f>IF($A$8=1,1,0)</f>
        <v>1</v>
      </c>
      <c r="O14" s="1106" t="s">
        <v>247</v>
      </c>
      <c r="P14" s="1528">
        <v>17200</v>
      </c>
      <c r="Q14" s="131">
        <v>19</v>
      </c>
      <c r="R14" s="975">
        <v>4</v>
      </c>
      <c r="S14" s="135">
        <v>308000</v>
      </c>
      <c r="T14" s="136">
        <v>4</v>
      </c>
      <c r="U14" s="137">
        <v>230</v>
      </c>
      <c r="V14" s="1648">
        <v>160</v>
      </c>
      <c r="W14" s="1649">
        <v>0.85</v>
      </c>
      <c r="X14" s="1650">
        <v>8</v>
      </c>
      <c r="Y14" s="1651">
        <v>600</v>
      </c>
      <c r="Z14" s="1652">
        <v>8</v>
      </c>
      <c r="AA14" s="1174">
        <f>IF(SUM(N14:N81)=1953,P9,0)</f>
        <v>1</v>
      </c>
      <c r="AB14" s="1107">
        <v>0.28999999999999998</v>
      </c>
      <c r="AC14" s="1704">
        <v>1.8</v>
      </c>
      <c r="AD14" s="1705">
        <v>1.04</v>
      </c>
      <c r="AE14" s="1706" t="s">
        <v>324</v>
      </c>
      <c r="AF14" s="1534"/>
      <c r="AG14" s="578">
        <f>VLOOKUP(1,$N$14:$AD$303,15,FALSE)</f>
        <v>0.28999999999999998</v>
      </c>
      <c r="AH14" s="579">
        <f>VLOOKUP(1,$N$14:$AD$303,16,FALSE)</f>
        <v>1.8</v>
      </c>
      <c r="AI14" s="592">
        <f>VLOOKUP(1,$N$14:$AD$303,17,FALSE)</f>
        <v>1.04</v>
      </c>
    </row>
    <row r="15" spans="1:35" ht="13.9" x14ac:dyDescent="0.4">
      <c r="A15" s="1730" t="str">
        <f>VLOOKUP(2,$N$14:$O$303,2,FALSE)</f>
        <v>Subsoiler, 25 ft.</v>
      </c>
      <c r="B15" s="1739">
        <f>VLOOKUP(2,$N$14:$Z$303,3,FALSE)</f>
        <v>20400</v>
      </c>
      <c r="C15" s="1740">
        <f>VLOOKUP(2,$N$14:$Z$303,4,FALSE)</f>
        <v>25</v>
      </c>
      <c r="D15" s="1741">
        <f>VLOOKUP(2,$N$14:$Z$303,5,FALSE)</f>
        <v>4</v>
      </c>
      <c r="E15" s="495">
        <f>VLOOKUP(2,$N$14:$Z$303,6,FALSE)</f>
        <v>308000</v>
      </c>
      <c r="F15" s="1742">
        <f>VLOOKUP(2,$N$14:$Z$303,7,FALSE)</f>
        <v>4</v>
      </c>
      <c r="G15" s="1743">
        <f>VLOOKUP(2,$N$14:$Z$303,8,FALSE)</f>
        <v>230</v>
      </c>
      <c r="H15" s="175">
        <f>VLOOKUP(2,$N$14:$Z$303,9,FALSE)</f>
        <v>160</v>
      </c>
      <c r="I15" s="405">
        <f>VLOOKUP(2,$N$14:$Z$303,10,FALSE)</f>
        <v>0.85</v>
      </c>
      <c r="J15" s="468">
        <f>VLOOKUP(2,$N$14:$Z$303,11,FALSE)</f>
        <v>8</v>
      </c>
      <c r="K15" s="491">
        <f>VLOOKUP(2,$N$14:$Z$303,12,FALSE)</f>
        <v>600</v>
      </c>
      <c r="L15" s="1744">
        <f>VLOOKUP(2,$N$14:$Z$303,13,FALSE)</f>
        <v>8</v>
      </c>
      <c r="M15" s="1073">
        <f>VLOOKUP(2,$N$14:$AA$303,14,FALSE)</f>
        <v>1</v>
      </c>
      <c r="N15" s="1073">
        <f t="shared" ref="N15:N27" si="0">IF($A$8=1,N14+1,0)</f>
        <v>2</v>
      </c>
      <c r="O15" s="1106" t="s">
        <v>974</v>
      </c>
      <c r="P15" s="1528">
        <v>20400</v>
      </c>
      <c r="Q15" s="132">
        <v>25</v>
      </c>
      <c r="R15" s="977">
        <v>4</v>
      </c>
      <c r="S15" s="138">
        <v>308000</v>
      </c>
      <c r="T15" s="139">
        <v>4</v>
      </c>
      <c r="U15" s="140">
        <v>230</v>
      </c>
      <c r="V15" s="1108">
        <v>160</v>
      </c>
      <c r="W15" s="1653">
        <v>0.85</v>
      </c>
      <c r="X15" s="1654">
        <v>8</v>
      </c>
      <c r="Y15" s="1655">
        <v>600</v>
      </c>
      <c r="Z15" s="1656">
        <v>8</v>
      </c>
      <c r="AA15" s="1071">
        <f>AA14</f>
        <v>1</v>
      </c>
      <c r="AB15" s="1107">
        <v>0.28999999999999998</v>
      </c>
      <c r="AC15" s="1704">
        <v>1.8</v>
      </c>
      <c r="AD15" s="1705">
        <v>1.04</v>
      </c>
      <c r="AE15" s="1706" t="s">
        <v>324</v>
      </c>
      <c r="AF15" s="1534"/>
      <c r="AG15" s="578">
        <f>VLOOKUP(2,$N$14:$AD$303,15,FALSE)</f>
        <v>0.28999999999999998</v>
      </c>
      <c r="AH15" s="579">
        <f>VLOOKUP(2,$N$14:$AD$303,16,FALSE)</f>
        <v>1.8</v>
      </c>
      <c r="AI15" s="592">
        <f>VLOOKUP(2,$N$14:$AD$303,17,FALSE)</f>
        <v>1.04</v>
      </c>
    </row>
    <row r="16" spans="1:35" ht="13.9" x14ac:dyDescent="0.4">
      <c r="A16" s="1730" t="str">
        <f>VLOOKUP(3,$N$14:$O$303,2,FALSE)</f>
        <v>Subsoiler, 5 shank</v>
      </c>
      <c r="B16" s="1739">
        <f>VLOOKUP(3,$N$14:$Z$303,3,FALSE)</f>
        <v>14000</v>
      </c>
      <c r="C16" s="1740">
        <f>VLOOKUP(3,$N$14:$Z$303,4,FALSE)</f>
        <v>12</v>
      </c>
      <c r="D16" s="1741">
        <f>VLOOKUP(3,$N$14:$Z$303,5,FALSE)</f>
        <v>4</v>
      </c>
      <c r="E16" s="495">
        <f>VLOOKUP(3,$N$14:$Z$303,6,FALSE)</f>
        <v>308000</v>
      </c>
      <c r="F16" s="1742">
        <f>VLOOKUP(3,$N$14:$Z$303,7,FALSE)</f>
        <v>4</v>
      </c>
      <c r="G16" s="1743">
        <f>VLOOKUP(3,$N$14:$Z$303,8,FALSE)</f>
        <v>230</v>
      </c>
      <c r="H16" s="175">
        <f>VLOOKUP(3,$N$14:$Z$303,9,FALSE)</f>
        <v>160</v>
      </c>
      <c r="I16" s="405">
        <f>VLOOKUP(3,$N$14:$Z$303,10,FALSE)</f>
        <v>0.85</v>
      </c>
      <c r="J16" s="468">
        <f>VLOOKUP(3,$N$14:$Z$303,11,FALSE)</f>
        <v>8</v>
      </c>
      <c r="K16" s="491">
        <f>VLOOKUP(3,$N$14:$Z$303,12,FALSE)</f>
        <v>600</v>
      </c>
      <c r="L16" s="1744">
        <f>VLOOKUP(3,$N$14:$Z$303,13,FALSE)</f>
        <v>8</v>
      </c>
      <c r="M16" s="1073">
        <f>VLOOKUP(3,$N$14:$AA$303,14,FALSE)</f>
        <v>1</v>
      </c>
      <c r="N16" s="1073">
        <f t="shared" si="0"/>
        <v>3</v>
      </c>
      <c r="O16" s="1106" t="s">
        <v>975</v>
      </c>
      <c r="P16" s="1528">
        <v>14000</v>
      </c>
      <c r="Q16" s="132">
        <v>12</v>
      </c>
      <c r="R16" s="977">
        <v>4</v>
      </c>
      <c r="S16" s="138">
        <v>308000</v>
      </c>
      <c r="T16" s="139">
        <v>4</v>
      </c>
      <c r="U16" s="140">
        <v>230</v>
      </c>
      <c r="V16" s="1108">
        <v>160</v>
      </c>
      <c r="W16" s="1653">
        <v>0.85</v>
      </c>
      <c r="X16" s="1654">
        <v>8</v>
      </c>
      <c r="Y16" s="1655">
        <v>600</v>
      </c>
      <c r="Z16" s="1656">
        <v>8</v>
      </c>
      <c r="AA16" s="1071">
        <f t="shared" ref="AA16:AA27" si="1">AA15</f>
        <v>1</v>
      </c>
      <c r="AB16" s="1107">
        <v>0.28999999999999998</v>
      </c>
      <c r="AC16" s="1704">
        <v>1.8</v>
      </c>
      <c r="AD16" s="1705">
        <v>1.04</v>
      </c>
      <c r="AE16" s="1706" t="s">
        <v>324</v>
      </c>
      <c r="AF16" s="1534"/>
      <c r="AG16" s="578">
        <f>VLOOKUP(3,$N$14:$AD$303,15,FALSE)</f>
        <v>0.28999999999999998</v>
      </c>
      <c r="AH16" s="579">
        <f>VLOOKUP(3,$N$14:$AD$303,16,FALSE)</f>
        <v>1.8</v>
      </c>
      <c r="AI16" s="592">
        <f>VLOOKUP(3,$N$14:$AD$303,17,FALSE)</f>
        <v>1.04</v>
      </c>
    </row>
    <row r="17" spans="1:35" ht="13.9" x14ac:dyDescent="0.4">
      <c r="A17" s="1730" t="str">
        <f>VLOOKUP(4,$N$14:$O$303,2,FALSE)</f>
        <v>Bedder, Rip/Disk</v>
      </c>
      <c r="B17" s="1739">
        <f>VLOOKUP(4,$N$14:$Z$303,3,FALSE)</f>
        <v>55700</v>
      </c>
      <c r="C17" s="1740">
        <f>VLOOKUP(4,$N$14:$Z$303,4,FALSE)</f>
        <v>38</v>
      </c>
      <c r="D17" s="1741">
        <f>VLOOKUP(4,$N$14:$Z$303,5,FALSE)</f>
        <v>4</v>
      </c>
      <c r="E17" s="495">
        <f>VLOOKUP(4,$N$14:$Z$303,6,FALSE)</f>
        <v>308000</v>
      </c>
      <c r="F17" s="1742">
        <f>VLOOKUP(4,$N$14:$Z$303,7,FALSE)</f>
        <v>4</v>
      </c>
      <c r="G17" s="1743">
        <f>VLOOKUP(4,$N$14:$Z$303,8,FALSE)</f>
        <v>230</v>
      </c>
      <c r="H17" s="175">
        <f>VLOOKUP(4,$N$14:$Z$303,9,FALSE)</f>
        <v>160</v>
      </c>
      <c r="I17" s="405">
        <f>VLOOKUP(4,$N$14:$Z$303,10,FALSE)</f>
        <v>0.85</v>
      </c>
      <c r="J17" s="468">
        <f>VLOOKUP(4,$N$14:$Z$303,11,FALSE)</f>
        <v>8</v>
      </c>
      <c r="K17" s="491">
        <f>VLOOKUP(4,$N$14:$Z$303,12,FALSE)</f>
        <v>600</v>
      </c>
      <c r="L17" s="1744">
        <f>VLOOKUP(4,$N$14:$Z$303,13,FALSE)</f>
        <v>8</v>
      </c>
      <c r="M17" s="1073">
        <f>VLOOKUP(4,$N$14:$AA$303,14,FALSE)</f>
        <v>1</v>
      </c>
      <c r="N17" s="1073">
        <f t="shared" si="0"/>
        <v>4</v>
      </c>
      <c r="O17" s="1106" t="s">
        <v>1009</v>
      </c>
      <c r="P17" s="1528">
        <v>55700</v>
      </c>
      <c r="Q17" s="132">
        <v>38</v>
      </c>
      <c r="R17" s="977">
        <v>4</v>
      </c>
      <c r="S17" s="138">
        <v>308000</v>
      </c>
      <c r="T17" s="139">
        <v>4</v>
      </c>
      <c r="U17" s="140">
        <v>230</v>
      </c>
      <c r="V17" s="1108">
        <v>160</v>
      </c>
      <c r="W17" s="1653">
        <v>0.85</v>
      </c>
      <c r="X17" s="1654">
        <v>8</v>
      </c>
      <c r="Y17" s="1655">
        <v>600</v>
      </c>
      <c r="Z17" s="1656">
        <v>8</v>
      </c>
      <c r="AA17" s="1071">
        <f t="shared" si="1"/>
        <v>1</v>
      </c>
      <c r="AB17" s="1107">
        <v>0.18</v>
      </c>
      <c r="AC17" s="1704">
        <v>1.7</v>
      </c>
      <c r="AD17" s="1705">
        <v>1.04</v>
      </c>
      <c r="AE17" s="1706" t="s">
        <v>324</v>
      </c>
      <c r="AF17" s="1534"/>
      <c r="AG17" s="578">
        <f>VLOOKUP(4,$N$14:$AD$303,15,FALSE)</f>
        <v>0.18</v>
      </c>
      <c r="AH17" s="579">
        <f>VLOOKUP(4,$N$14:$AD$303,16,FALSE)</f>
        <v>1.7</v>
      </c>
      <c r="AI17" s="592">
        <f>VLOOKUP(4,$N$14:$AD$303,17,FALSE)</f>
        <v>1.04</v>
      </c>
    </row>
    <row r="18" spans="1:35" ht="13.9" x14ac:dyDescent="0.4">
      <c r="A18" s="1730" t="str">
        <f>VLOOKUP(5,$N$14:$O$303,2,FALSE)</f>
        <v>Bedder, Lister</v>
      </c>
      <c r="B18" s="1739">
        <f>VLOOKUP(5,$N$14:$Z$303,3,FALSE)</f>
        <v>35285</v>
      </c>
      <c r="C18" s="1740">
        <f>VLOOKUP(5,$N$14:$Z$303,4,FALSE)</f>
        <v>38</v>
      </c>
      <c r="D18" s="1741">
        <f>VLOOKUP(5,$N$14:$Z$303,5,FALSE)</f>
        <v>4</v>
      </c>
      <c r="E18" s="495">
        <f>VLOOKUP(5,$N$14:$Z$303,6,FALSE)</f>
        <v>308000</v>
      </c>
      <c r="F18" s="1742">
        <f>VLOOKUP(5,$N$14:$Z$303,7,FALSE)</f>
        <v>4</v>
      </c>
      <c r="G18" s="1743">
        <f>VLOOKUP(5,$N$14:$Z$303,8,FALSE)</f>
        <v>230</v>
      </c>
      <c r="H18" s="175">
        <f>VLOOKUP(5,$N$14:$Z$303,9,FALSE)</f>
        <v>160</v>
      </c>
      <c r="I18" s="405">
        <f>VLOOKUP(5,$N$14:$Z$303,10,FALSE)</f>
        <v>0.85</v>
      </c>
      <c r="J18" s="468">
        <f>VLOOKUP(5,$N$14:$Z$303,11,FALSE)</f>
        <v>8</v>
      </c>
      <c r="K18" s="491">
        <f>VLOOKUP(5,$N$14:$Z$303,12,FALSE)</f>
        <v>600</v>
      </c>
      <c r="L18" s="1744">
        <f>VLOOKUP(5,$N$14:$Z$303,13,FALSE)</f>
        <v>8</v>
      </c>
      <c r="M18" s="1073">
        <f>VLOOKUP(5,$N$14:$AA$303,14,FALSE)</f>
        <v>1</v>
      </c>
      <c r="N18" s="1073">
        <f t="shared" si="0"/>
        <v>5</v>
      </c>
      <c r="O18" s="1106" t="s">
        <v>1008</v>
      </c>
      <c r="P18" s="1528">
        <v>35285</v>
      </c>
      <c r="Q18" s="132">
        <v>38</v>
      </c>
      <c r="R18" s="977">
        <v>4</v>
      </c>
      <c r="S18" s="138">
        <v>308000</v>
      </c>
      <c r="T18" s="139">
        <v>4</v>
      </c>
      <c r="U18" s="140">
        <v>230</v>
      </c>
      <c r="V18" s="1108">
        <v>160</v>
      </c>
      <c r="W18" s="1653">
        <v>0.85</v>
      </c>
      <c r="X18" s="1654">
        <v>8</v>
      </c>
      <c r="Y18" s="1655">
        <v>600</v>
      </c>
      <c r="Z18" s="1656">
        <v>8</v>
      </c>
      <c r="AA18" s="1071">
        <f t="shared" si="1"/>
        <v>1</v>
      </c>
      <c r="AB18" s="1107">
        <v>0.28999999999999998</v>
      </c>
      <c r="AC18" s="1704">
        <v>1.8</v>
      </c>
      <c r="AD18" s="1705">
        <v>1.04</v>
      </c>
      <c r="AE18" s="1706" t="s">
        <v>324</v>
      </c>
      <c r="AF18" s="1534"/>
      <c r="AG18" s="578">
        <f>VLOOKUP(5,$N$14:$AD$303,15,FALSE)</f>
        <v>0.28999999999999998</v>
      </c>
      <c r="AH18" s="579">
        <f>VLOOKUP(5,$N$14:$AD$303,16,FALSE)</f>
        <v>1.8</v>
      </c>
      <c r="AI18" s="592">
        <f>VLOOKUP(5,$N$14:$AD$303,17,FALSE)</f>
        <v>1.04</v>
      </c>
    </row>
    <row r="19" spans="1:35" ht="13.9" x14ac:dyDescent="0.4">
      <c r="A19" s="578" t="str">
        <f>VLOOKUP(6,$N$14:$O$303,2,FALSE)</f>
        <v>Disk</v>
      </c>
      <c r="B19" s="1739">
        <f>VLOOKUP(6,$N$14:$Z$303,3,FALSE)</f>
        <v>75000</v>
      </c>
      <c r="C19" s="1740">
        <f>VLOOKUP(6,$N$14:$Z$303,4,FALSE)</f>
        <v>32</v>
      </c>
      <c r="D19" s="1741">
        <f>VLOOKUP(6,$N$14:$Z$303,5,FALSE)</f>
        <v>5.5</v>
      </c>
      <c r="E19" s="495">
        <f>VLOOKUP(6,$N$14:$Z$303,6,FALSE)</f>
        <v>308000</v>
      </c>
      <c r="F19" s="1742">
        <f>VLOOKUP(6,$N$14:$Z$303,7,FALSE)</f>
        <v>4</v>
      </c>
      <c r="G19" s="1743">
        <f>VLOOKUP(6,$N$14:$Z$303,8,FALSE)</f>
        <v>230</v>
      </c>
      <c r="H19" s="175">
        <f>VLOOKUP(6,$N$14:$Z$303,9,FALSE)</f>
        <v>160</v>
      </c>
      <c r="I19" s="405">
        <f>VLOOKUP(6,$N$14:$Z$303,10,FALSE)</f>
        <v>0.85</v>
      </c>
      <c r="J19" s="468">
        <f>VLOOKUP(6,$N$14:$Z$303,11,FALSE)</f>
        <v>8</v>
      </c>
      <c r="K19" s="491">
        <f>VLOOKUP(6,$N$14:$Z$303,12,FALSE)</f>
        <v>600</v>
      </c>
      <c r="L19" s="1744">
        <f>VLOOKUP(6,$N$14:$Z$303,13,FALSE)</f>
        <v>8</v>
      </c>
      <c r="M19" s="1073">
        <f>VLOOKUP(6,$N$14:$AA$303,14,FALSE)</f>
        <v>1</v>
      </c>
      <c r="N19" s="1073">
        <f t="shared" si="0"/>
        <v>6</v>
      </c>
      <c r="O19" s="1107" t="s">
        <v>255</v>
      </c>
      <c r="P19" s="1528">
        <v>75000</v>
      </c>
      <c r="Q19" s="132">
        <v>32</v>
      </c>
      <c r="R19" s="977">
        <v>5.5</v>
      </c>
      <c r="S19" s="138">
        <v>308000</v>
      </c>
      <c r="T19" s="139">
        <v>4</v>
      </c>
      <c r="U19" s="140">
        <v>230</v>
      </c>
      <c r="V19" s="1108">
        <v>160</v>
      </c>
      <c r="W19" s="1653">
        <v>0.85</v>
      </c>
      <c r="X19" s="1654">
        <v>8</v>
      </c>
      <c r="Y19" s="1655">
        <v>600</v>
      </c>
      <c r="Z19" s="1656">
        <v>8</v>
      </c>
      <c r="AA19" s="1071">
        <f t="shared" si="1"/>
        <v>1</v>
      </c>
      <c r="AB19" s="1107">
        <v>0.18</v>
      </c>
      <c r="AC19" s="1704">
        <v>1.7</v>
      </c>
      <c r="AD19" s="1705">
        <v>1.04</v>
      </c>
      <c r="AE19" s="1706" t="s">
        <v>324</v>
      </c>
      <c r="AF19" s="1534"/>
      <c r="AG19" s="578">
        <f>VLOOKUP(6,$N$14:$AD$303,15,FALSE)</f>
        <v>0.18</v>
      </c>
      <c r="AH19" s="579">
        <f>VLOOKUP(6,$N$14:$AD$303,16,FALSE)</f>
        <v>1.7</v>
      </c>
      <c r="AI19" s="592">
        <f>VLOOKUP(6,$N$14:$AD$303,17,FALSE)</f>
        <v>1.04</v>
      </c>
    </row>
    <row r="20" spans="1:35" ht="13.9" x14ac:dyDescent="0.4">
      <c r="A20" s="578" t="str">
        <f>VLOOKUP(7,$N$14:$O$303,2,FALSE)</f>
        <v>Bedder, Hipper</v>
      </c>
      <c r="B20" s="1739">
        <f>VLOOKUP(7,$N$14:$Z$303,3,FALSE)</f>
        <v>51700</v>
      </c>
      <c r="C20" s="1740">
        <f>VLOOKUP(7,$N$14:$Z$303,4,FALSE)</f>
        <v>38</v>
      </c>
      <c r="D20" s="1741">
        <f>VLOOKUP(7,$N$14:$Z$303,5,FALSE)</f>
        <v>4.5</v>
      </c>
      <c r="E20" s="495">
        <f>VLOOKUP(7,$N$14:$Z$303,6,FALSE)</f>
        <v>308000</v>
      </c>
      <c r="F20" s="1742">
        <f>VLOOKUP(7,$N$14:$Z$303,7,FALSE)</f>
        <v>4</v>
      </c>
      <c r="G20" s="1743">
        <f>VLOOKUP(7,$N$14:$Z$303,8,FALSE)</f>
        <v>230</v>
      </c>
      <c r="H20" s="175">
        <f>VLOOKUP(7,$N$14:$Z$303,9,FALSE)</f>
        <v>160</v>
      </c>
      <c r="I20" s="405">
        <f>VLOOKUP(7,$N$14:$Z$303,10,FALSE)</f>
        <v>0.8</v>
      </c>
      <c r="J20" s="468">
        <f>VLOOKUP(7,$N$14:$Z$303,11,FALSE)</f>
        <v>8</v>
      </c>
      <c r="K20" s="491">
        <f>VLOOKUP(7,$N$14:$Z$303,12,FALSE)</f>
        <v>600</v>
      </c>
      <c r="L20" s="1744">
        <f>VLOOKUP(7,$N$14:$Z$303,13,FALSE)</f>
        <v>8</v>
      </c>
      <c r="M20" s="1073">
        <f>VLOOKUP(7,$N$14:$AA$303,14,FALSE)</f>
        <v>1</v>
      </c>
      <c r="N20" s="1073">
        <f t="shared" si="0"/>
        <v>7</v>
      </c>
      <c r="O20" s="1107" t="s">
        <v>146</v>
      </c>
      <c r="P20" s="1528">
        <v>51700</v>
      </c>
      <c r="Q20" s="132">
        <v>38</v>
      </c>
      <c r="R20" s="977">
        <v>4.5</v>
      </c>
      <c r="S20" s="138">
        <v>308000</v>
      </c>
      <c r="T20" s="139">
        <v>4</v>
      </c>
      <c r="U20" s="140">
        <v>230</v>
      </c>
      <c r="V20" s="1108">
        <v>160</v>
      </c>
      <c r="W20" s="1653">
        <v>0.8</v>
      </c>
      <c r="X20" s="1654">
        <v>8</v>
      </c>
      <c r="Y20" s="1655">
        <v>600</v>
      </c>
      <c r="Z20" s="1656">
        <v>8</v>
      </c>
      <c r="AA20" s="1071">
        <f t="shared" si="1"/>
        <v>1</v>
      </c>
      <c r="AB20" s="1107">
        <v>0.18</v>
      </c>
      <c r="AC20" s="1704">
        <v>1.7</v>
      </c>
      <c r="AD20" s="1705">
        <v>1.04</v>
      </c>
      <c r="AE20" s="1706" t="s">
        <v>324</v>
      </c>
      <c r="AF20" s="1534"/>
      <c r="AG20" s="578">
        <f>VLOOKUP(7,$N$14:$AD$303,15,FALSE)</f>
        <v>0.18</v>
      </c>
      <c r="AH20" s="579">
        <f>VLOOKUP(7,$N$14:$AD$303,16,FALSE)</f>
        <v>1.7</v>
      </c>
      <c r="AI20" s="592">
        <f>VLOOKUP(7,$N$14:$AD$303,17,FALSE)</f>
        <v>1.04</v>
      </c>
    </row>
    <row r="21" spans="1:35" ht="13.9" x14ac:dyDescent="0.4">
      <c r="A21" s="578" t="str">
        <f>VLOOKUP(8,$N$14:$O$303,2,FALSE)</f>
        <v>Chisel Plow</v>
      </c>
      <c r="B21" s="1739">
        <f>VLOOKUP(8,$N$14:$Z$303,3,FALSE)</f>
        <v>48400</v>
      </c>
      <c r="C21" s="1740">
        <f>VLOOKUP(8,$N$14:$Z$303,4,FALSE)</f>
        <v>32</v>
      </c>
      <c r="D21" s="1741">
        <f>VLOOKUP(8,$N$14:$Z$303,5,FALSE)</f>
        <v>5</v>
      </c>
      <c r="E21" s="495">
        <f>VLOOKUP(8,$N$14:$Z$303,6,FALSE)</f>
        <v>308000</v>
      </c>
      <c r="F21" s="1742">
        <f>VLOOKUP(8,$N$14:$Z$303,7,FALSE)</f>
        <v>4</v>
      </c>
      <c r="G21" s="1743">
        <f>VLOOKUP(8,$N$14:$Z$303,8,FALSE)</f>
        <v>230</v>
      </c>
      <c r="H21" s="175">
        <f>VLOOKUP(8,$N$14:$Z$303,9,FALSE)</f>
        <v>160</v>
      </c>
      <c r="I21" s="405">
        <f>VLOOKUP(8,$N$14:$Z$303,10,FALSE)</f>
        <v>0.85</v>
      </c>
      <c r="J21" s="468">
        <f>VLOOKUP(8,$N$14:$Z$303,11,FALSE)</f>
        <v>8</v>
      </c>
      <c r="K21" s="491">
        <f>VLOOKUP(8,$N$14:$Z$303,12,FALSE)</f>
        <v>600</v>
      </c>
      <c r="L21" s="1744">
        <f>VLOOKUP(8,$N$14:$Z$303,13,FALSE)</f>
        <v>8</v>
      </c>
      <c r="M21" s="1073">
        <f>VLOOKUP(8,$N$14:$AA$303,14,FALSE)</f>
        <v>1</v>
      </c>
      <c r="N21" s="1073">
        <f t="shared" si="0"/>
        <v>8</v>
      </c>
      <c r="O21" s="1107" t="s">
        <v>147</v>
      </c>
      <c r="P21" s="1528">
        <v>48400</v>
      </c>
      <c r="Q21" s="132">
        <v>32</v>
      </c>
      <c r="R21" s="977">
        <v>5</v>
      </c>
      <c r="S21" s="138">
        <v>308000</v>
      </c>
      <c r="T21" s="139">
        <v>4</v>
      </c>
      <c r="U21" s="140">
        <v>230</v>
      </c>
      <c r="V21" s="1108">
        <v>160</v>
      </c>
      <c r="W21" s="1653">
        <v>0.85</v>
      </c>
      <c r="X21" s="1654">
        <v>8</v>
      </c>
      <c r="Y21" s="1655">
        <v>600</v>
      </c>
      <c r="Z21" s="1656">
        <v>8</v>
      </c>
      <c r="AA21" s="1071">
        <f t="shared" si="1"/>
        <v>1</v>
      </c>
      <c r="AB21" s="1107">
        <v>0.28000000000000003</v>
      </c>
      <c r="AC21" s="1704">
        <v>1.4</v>
      </c>
      <c r="AD21" s="1705">
        <v>1.04</v>
      </c>
      <c r="AE21" s="1706" t="s">
        <v>324</v>
      </c>
      <c r="AF21" s="1534"/>
      <c r="AG21" s="578">
        <f>VLOOKUP(8,$N$14:$AD$303,15,FALSE)</f>
        <v>0.28000000000000003</v>
      </c>
      <c r="AH21" s="579">
        <f>VLOOKUP(8,$N$14:$AD$303,16,FALSE)</f>
        <v>1.4</v>
      </c>
      <c r="AI21" s="592">
        <f>VLOOKUP(8,$N$14:$AD$303,17,FALSE)</f>
        <v>1.04</v>
      </c>
    </row>
    <row r="22" spans="1:35" ht="13.9" x14ac:dyDescent="0.4">
      <c r="A22" s="578" t="str">
        <f>VLOOKUP(9,$N$14:$O$303,2,FALSE)</f>
        <v>Harrow</v>
      </c>
      <c r="B22" s="1739">
        <f>VLOOKUP(9,$N$14:$Z$303,3,FALSE)</f>
        <v>41785</v>
      </c>
      <c r="C22" s="1740">
        <f>VLOOKUP(9,$N$14:$Z$303,4,FALSE)</f>
        <v>40</v>
      </c>
      <c r="D22" s="1741">
        <f>VLOOKUP(9,$N$14:$Z$303,5,FALSE)</f>
        <v>7</v>
      </c>
      <c r="E22" s="495">
        <f>VLOOKUP(9,$N$14:$Z$303,6,FALSE)</f>
        <v>248000</v>
      </c>
      <c r="F22" s="1742">
        <f>VLOOKUP(9,$N$14:$Z$303,7,FALSE)</f>
        <v>4</v>
      </c>
      <c r="G22" s="1743">
        <f>VLOOKUP(9,$N$14:$Z$303,8,FALSE)</f>
        <v>195</v>
      </c>
      <c r="H22" s="175">
        <f>VLOOKUP(9,$N$14:$Z$303,9,FALSE)</f>
        <v>160</v>
      </c>
      <c r="I22" s="405">
        <f>VLOOKUP(9,$N$14:$Z$303,10,FALSE)</f>
        <v>0.85</v>
      </c>
      <c r="J22" s="468">
        <f>VLOOKUP(9,$N$14:$Z$303,11,FALSE)</f>
        <v>8</v>
      </c>
      <c r="K22" s="491">
        <f>VLOOKUP(9,$N$14:$Z$303,12,FALSE)</f>
        <v>600</v>
      </c>
      <c r="L22" s="1744">
        <f>VLOOKUP(9,$N$14:$Z$303,13,FALSE)</f>
        <v>8</v>
      </c>
      <c r="M22" s="1073">
        <f>VLOOKUP(9,$N$14:$AA$303,14,FALSE)</f>
        <v>1</v>
      </c>
      <c r="N22" s="1073">
        <f t="shared" si="0"/>
        <v>9</v>
      </c>
      <c r="O22" s="1107" t="s">
        <v>236</v>
      </c>
      <c r="P22" s="1528">
        <v>41785</v>
      </c>
      <c r="Q22" s="132">
        <v>40</v>
      </c>
      <c r="R22" s="977">
        <v>7</v>
      </c>
      <c r="S22" s="138">
        <v>248000</v>
      </c>
      <c r="T22" s="139">
        <v>4</v>
      </c>
      <c r="U22" s="140">
        <v>195</v>
      </c>
      <c r="V22" s="1108">
        <v>160</v>
      </c>
      <c r="W22" s="1653">
        <v>0.85</v>
      </c>
      <c r="X22" s="1654">
        <v>8</v>
      </c>
      <c r="Y22" s="1655">
        <v>600</v>
      </c>
      <c r="Z22" s="1656">
        <v>8</v>
      </c>
      <c r="AA22" s="1071">
        <f t="shared" si="1"/>
        <v>1</v>
      </c>
      <c r="AB22" s="1107">
        <v>0.27</v>
      </c>
      <c r="AC22" s="1704">
        <v>1.4</v>
      </c>
      <c r="AD22" s="1705">
        <v>1.04</v>
      </c>
      <c r="AE22" s="1706" t="s">
        <v>324</v>
      </c>
      <c r="AF22" s="1534"/>
      <c r="AG22" s="578">
        <f>VLOOKUP(9,$N$14:$AD$303,15,FALSE)</f>
        <v>0.27</v>
      </c>
      <c r="AH22" s="579">
        <f>VLOOKUP(9,$N$14:$AD$303,16,FALSE)</f>
        <v>1.4</v>
      </c>
      <c r="AI22" s="592">
        <f>VLOOKUP(9,$N$14:$AD$303,17,FALSE)</f>
        <v>1.04</v>
      </c>
    </row>
    <row r="23" spans="1:35" ht="13.9" x14ac:dyDescent="0.4">
      <c r="A23" s="578" t="str">
        <f>VLOOKUP(10,$N$14:$O$303,2,FALSE)</f>
        <v>Roller</v>
      </c>
      <c r="B23" s="1739">
        <f>VLOOKUP(10,$N$14:$Z$303,3,FALSE)</f>
        <v>21800</v>
      </c>
      <c r="C23" s="1740">
        <f>VLOOKUP(10,$N$14:$Z$303,4,FALSE)</f>
        <v>38</v>
      </c>
      <c r="D23" s="1741">
        <f>VLOOKUP(10,$N$14:$Z$303,5,FALSE)</f>
        <v>6</v>
      </c>
      <c r="E23" s="495">
        <f>VLOOKUP(10,$N$14:$Z$303,6,FALSE)</f>
        <v>308000</v>
      </c>
      <c r="F23" s="1742">
        <f>VLOOKUP(10,$N$14:$Z$303,7,FALSE)</f>
        <v>4</v>
      </c>
      <c r="G23" s="1743">
        <f>VLOOKUP(10,$N$14:$Z$303,8,FALSE)</f>
        <v>230</v>
      </c>
      <c r="H23" s="175">
        <f>VLOOKUP(10,$N$14:$Z$303,9,FALSE)</f>
        <v>120</v>
      </c>
      <c r="I23" s="405">
        <f>VLOOKUP(10,$N$14:$Z$303,10,FALSE)</f>
        <v>0.85</v>
      </c>
      <c r="J23" s="468">
        <f>VLOOKUP(10,$N$14:$Z$303,11,FALSE)</f>
        <v>8</v>
      </c>
      <c r="K23" s="491">
        <f>VLOOKUP(10,$N$14:$Z$303,12,FALSE)</f>
        <v>600</v>
      </c>
      <c r="L23" s="1744">
        <f>VLOOKUP(10,$N$14:$Z$303,13,FALSE)</f>
        <v>8</v>
      </c>
      <c r="M23" s="1073">
        <f>VLOOKUP(10,$N$14:$AA$303,14,FALSE)</f>
        <v>1</v>
      </c>
      <c r="N23" s="1073">
        <f t="shared" si="0"/>
        <v>10</v>
      </c>
      <c r="O23" s="1107" t="s">
        <v>148</v>
      </c>
      <c r="P23" s="1528">
        <v>21800</v>
      </c>
      <c r="Q23" s="132">
        <v>38</v>
      </c>
      <c r="R23" s="977">
        <v>6</v>
      </c>
      <c r="S23" s="138">
        <v>308000</v>
      </c>
      <c r="T23" s="139">
        <v>4</v>
      </c>
      <c r="U23" s="140">
        <v>230</v>
      </c>
      <c r="V23" s="1108">
        <v>120</v>
      </c>
      <c r="W23" s="1653">
        <v>0.85</v>
      </c>
      <c r="X23" s="1654">
        <v>8</v>
      </c>
      <c r="Y23" s="1655">
        <v>600</v>
      </c>
      <c r="Z23" s="1656">
        <v>8</v>
      </c>
      <c r="AA23" s="1071">
        <f t="shared" si="1"/>
        <v>1</v>
      </c>
      <c r="AB23" s="1107">
        <v>0.16</v>
      </c>
      <c r="AC23" s="1704">
        <v>1.3</v>
      </c>
      <c r="AD23" s="1705">
        <v>1.04</v>
      </c>
      <c r="AE23" s="1706" t="s">
        <v>325</v>
      </c>
      <c r="AF23" s="1534"/>
      <c r="AG23" s="578">
        <f>VLOOKUP(10,$N$14:$AD$303,15,FALSE)</f>
        <v>0.16</v>
      </c>
      <c r="AH23" s="579">
        <f>VLOOKUP(10,$N$14:$AD$303,16,FALSE)</f>
        <v>1.3</v>
      </c>
      <c r="AI23" s="592">
        <f>VLOOKUP(10,$N$14:$AD$303,17,FALSE)</f>
        <v>1.04</v>
      </c>
    </row>
    <row r="24" spans="1:35" ht="13.9" x14ac:dyDescent="0.4">
      <c r="A24" s="578" t="str">
        <f>VLOOKUP(11,$N$14:$O$303,2,FALSE)</f>
        <v>Bedder-Roller</v>
      </c>
      <c r="B24" s="1739">
        <f>VLOOKUP(11,$N$14:$Z$303,3,FALSE)</f>
        <v>32500</v>
      </c>
      <c r="C24" s="1740">
        <f>VLOOKUP(11,$N$14:$Z$303,4,FALSE)</f>
        <v>38</v>
      </c>
      <c r="D24" s="1741">
        <f>VLOOKUP(11,$N$14:$Z$303,5,FALSE)</f>
        <v>5</v>
      </c>
      <c r="E24" s="495">
        <f>VLOOKUP(11,$N$14:$Z$303,6,FALSE)</f>
        <v>308000</v>
      </c>
      <c r="F24" s="1742">
        <f>VLOOKUP(11,$N$14:$Z$303,7,FALSE)</f>
        <v>4</v>
      </c>
      <c r="G24" s="1743">
        <f>VLOOKUP(11,$N$14:$Z$303,8,FALSE)</f>
        <v>230</v>
      </c>
      <c r="H24" s="175">
        <f>VLOOKUP(11,$N$14:$Z$303,9,FALSE)</f>
        <v>120</v>
      </c>
      <c r="I24" s="405">
        <f>VLOOKUP(11,$N$14:$Z$303,10,FALSE)</f>
        <v>0.85</v>
      </c>
      <c r="J24" s="468">
        <f>VLOOKUP(11,$N$14:$Z$303,11,FALSE)</f>
        <v>8</v>
      </c>
      <c r="K24" s="491">
        <f>VLOOKUP(11,$N$14:$Z$303,12,FALSE)</f>
        <v>600</v>
      </c>
      <c r="L24" s="1744">
        <f>VLOOKUP(11,$N$14:$Z$303,13,FALSE)</f>
        <v>8</v>
      </c>
      <c r="M24" s="1073">
        <f>VLOOKUP(11,$N$14:$AA$303,14,FALSE)</f>
        <v>1</v>
      </c>
      <c r="N24" s="1073">
        <f t="shared" si="0"/>
        <v>11</v>
      </c>
      <c r="O24" s="1107" t="s">
        <v>246</v>
      </c>
      <c r="P24" s="1528">
        <v>32500</v>
      </c>
      <c r="Q24" s="132">
        <v>38</v>
      </c>
      <c r="R24" s="977">
        <v>5</v>
      </c>
      <c r="S24" s="138">
        <v>308000</v>
      </c>
      <c r="T24" s="139">
        <v>4</v>
      </c>
      <c r="U24" s="140">
        <v>230</v>
      </c>
      <c r="V24" s="1108">
        <v>120</v>
      </c>
      <c r="W24" s="1653">
        <v>0.85</v>
      </c>
      <c r="X24" s="1654">
        <v>8</v>
      </c>
      <c r="Y24" s="1655">
        <v>600</v>
      </c>
      <c r="Z24" s="1656">
        <v>8</v>
      </c>
      <c r="AA24" s="1071">
        <f t="shared" si="1"/>
        <v>1</v>
      </c>
      <c r="AB24" s="1107">
        <v>0.16</v>
      </c>
      <c r="AC24" s="1704">
        <v>1.3</v>
      </c>
      <c r="AD24" s="1705">
        <v>1.04</v>
      </c>
      <c r="AE24" s="1706" t="s">
        <v>324</v>
      </c>
      <c r="AF24" s="1534"/>
      <c r="AG24" s="578">
        <f>VLOOKUP(11,$N$14:$AD$303,15,FALSE)</f>
        <v>0.16</v>
      </c>
      <c r="AH24" s="579">
        <f>VLOOKUP(11,$N$14:$AD$303,16,FALSE)</f>
        <v>1.3</v>
      </c>
      <c r="AI24" s="592">
        <f>VLOOKUP(11,$N$14:$AD$303,17,FALSE)</f>
        <v>1.04</v>
      </c>
    </row>
    <row r="25" spans="1:35" ht="13.9" x14ac:dyDescent="0.4">
      <c r="A25" s="578" t="str">
        <f>VLOOKUP(12,$N$14:$O$303,2,FALSE)</f>
        <v>Ditcher</v>
      </c>
      <c r="B25" s="1745">
        <f>VLOOKUP(12,$N$14:$Z$303,3,FALSE)</f>
        <v>7800</v>
      </c>
      <c r="C25" s="1917">
        <f>VLOOKUP(12,$N$14:$Z$303,4,FALSE)</f>
        <v>1</v>
      </c>
      <c r="D25" s="580">
        <f>VLOOKUP(12,$N$14:$Z$303,5,FALSE)</f>
        <v>10</v>
      </c>
      <c r="E25" s="495">
        <f>VLOOKUP(12,$N$14:$Z$303,6,FALSE)</f>
        <v>148000</v>
      </c>
      <c r="F25" s="1742">
        <f>VLOOKUP(12,$N$14:$Z$303,7,FALSE)</f>
        <v>4</v>
      </c>
      <c r="G25" s="1743">
        <f>VLOOKUP(12,$N$14:$Z$303,8,FALSE)</f>
        <v>175</v>
      </c>
      <c r="H25" s="175">
        <f>VLOOKUP(12,$N$14:$Z$303,9,FALSE)</f>
        <v>50</v>
      </c>
      <c r="I25" s="405">
        <f>VLOOKUP(12,$N$14:$Z$303,10,FALSE)</f>
        <v>0.95</v>
      </c>
      <c r="J25" s="468">
        <f>VLOOKUP(12,$N$14:$Z$303,11,FALSE)</f>
        <v>8</v>
      </c>
      <c r="K25" s="491">
        <f>VLOOKUP(12,$N$14:$Z$303,12,FALSE)</f>
        <v>600</v>
      </c>
      <c r="L25" s="1744">
        <f>VLOOKUP(12,$N$14:$Z$303,13,FALSE)</f>
        <v>8</v>
      </c>
      <c r="M25" s="1073">
        <f>VLOOKUP(12,$N$14:$AA$303,14,FALSE)</f>
        <v>1</v>
      </c>
      <c r="N25" s="1073">
        <f t="shared" si="0"/>
        <v>12</v>
      </c>
      <c r="O25" s="1107" t="s">
        <v>149</v>
      </c>
      <c r="P25" s="1528">
        <v>7800</v>
      </c>
      <c r="Q25" s="1918">
        <v>1</v>
      </c>
      <c r="R25" s="1721">
        <v>10</v>
      </c>
      <c r="S25" s="138">
        <v>148000</v>
      </c>
      <c r="T25" s="139">
        <v>4</v>
      </c>
      <c r="U25" s="140">
        <v>175</v>
      </c>
      <c r="V25" s="1108">
        <v>50</v>
      </c>
      <c r="W25" s="1653">
        <v>0.95</v>
      </c>
      <c r="X25" s="1654">
        <v>8</v>
      </c>
      <c r="Y25" s="1655">
        <v>600</v>
      </c>
      <c r="Z25" s="1656">
        <v>8</v>
      </c>
      <c r="AA25" s="1071">
        <f t="shared" si="1"/>
        <v>1</v>
      </c>
      <c r="AB25" s="1107">
        <v>0.28000000000000003</v>
      </c>
      <c r="AC25" s="1704">
        <v>1.4</v>
      </c>
      <c r="AD25" s="1705">
        <v>1.04</v>
      </c>
      <c r="AE25" s="1706" t="s">
        <v>324</v>
      </c>
      <c r="AF25" s="1534"/>
      <c r="AG25" s="578">
        <f>VLOOKUP(12,$N$14:$AD$303,15,FALSE)</f>
        <v>0.28000000000000003</v>
      </c>
      <c r="AH25" s="579">
        <f>VLOOKUP(12,$N$14:$AD$303,16,FALSE)</f>
        <v>1.4</v>
      </c>
      <c r="AI25" s="592">
        <f>VLOOKUP(12,$N$14:$AD$303,17,FALSE)</f>
        <v>1.04</v>
      </c>
    </row>
    <row r="26" spans="1:35" ht="13.9" x14ac:dyDescent="0.4">
      <c r="A26" s="578" t="str">
        <f>VLOOKUP(13,$N$14:$O$303,2,FALSE)</f>
        <v>Turbo Tiller</v>
      </c>
      <c r="B26" s="1745">
        <f>VLOOKUP(13,$N$14:$Z$303,3,FALSE)</f>
        <v>92900</v>
      </c>
      <c r="C26" s="1740">
        <f>VLOOKUP(13,$N$14:$Z$303,4,FALSE)</f>
        <v>30</v>
      </c>
      <c r="D26" s="1746">
        <f>VLOOKUP(13,$N$14:$Z$303,5,FALSE)</f>
        <v>7</v>
      </c>
      <c r="E26" s="495">
        <f>VLOOKUP(13,$N$14:$Z$303,6,FALSE)</f>
        <v>308000</v>
      </c>
      <c r="F26" s="1742">
        <f>VLOOKUP(13,$N$14:$Z$303,7,FALSE)</f>
        <v>4</v>
      </c>
      <c r="G26" s="1743">
        <f>VLOOKUP(13,$N$14:$Z$303,8,FALSE)</f>
        <v>230</v>
      </c>
      <c r="H26" s="175">
        <f>VLOOKUP(13,$N$14:$Z$303,9,FALSE)</f>
        <v>160</v>
      </c>
      <c r="I26" s="405">
        <f>VLOOKUP(13,$N$14:$Z$303,10,FALSE)</f>
        <v>0.8</v>
      </c>
      <c r="J26" s="468">
        <f>VLOOKUP(13,$N$14:$Z$303,11,FALSE)</f>
        <v>8</v>
      </c>
      <c r="K26" s="491">
        <f>VLOOKUP(13,$N$14:$Z$303,12,FALSE)</f>
        <v>600</v>
      </c>
      <c r="L26" s="1744">
        <f>VLOOKUP(13,$N$14:$Z$303,13,FALSE)</f>
        <v>8</v>
      </c>
      <c r="M26" s="1073">
        <f>VLOOKUP(13,$N$14:$AA$303,14,FALSE)</f>
        <v>1</v>
      </c>
      <c r="N26" s="1073">
        <f t="shared" si="0"/>
        <v>13</v>
      </c>
      <c r="O26" s="1107" t="s">
        <v>959</v>
      </c>
      <c r="P26" s="1528">
        <v>92900</v>
      </c>
      <c r="Q26" s="132">
        <v>30</v>
      </c>
      <c r="R26" s="133">
        <v>7</v>
      </c>
      <c r="S26" s="138">
        <v>308000</v>
      </c>
      <c r="T26" s="139">
        <v>4</v>
      </c>
      <c r="U26" s="140">
        <v>230</v>
      </c>
      <c r="V26" s="1108">
        <v>160</v>
      </c>
      <c r="W26" s="1653">
        <v>0.8</v>
      </c>
      <c r="X26" s="1654">
        <v>8</v>
      </c>
      <c r="Y26" s="1655">
        <v>600</v>
      </c>
      <c r="Z26" s="1656">
        <v>8</v>
      </c>
      <c r="AA26" s="1071">
        <f t="shared" si="1"/>
        <v>1</v>
      </c>
      <c r="AB26" s="1107">
        <v>0.23</v>
      </c>
      <c r="AC26" s="1704">
        <v>1.4</v>
      </c>
      <c r="AD26" s="1705">
        <v>1.04</v>
      </c>
      <c r="AE26" s="1706" t="s">
        <v>324</v>
      </c>
      <c r="AF26" s="1534"/>
      <c r="AG26" s="578">
        <f>VLOOKUP(13,$N$14:$AD$303,15,FALSE)</f>
        <v>0.23</v>
      </c>
      <c r="AH26" s="579">
        <f>VLOOKUP(13,$N$14:$AD$303,16,FALSE)</f>
        <v>1.4</v>
      </c>
      <c r="AI26" s="592">
        <f>VLOOKUP(13,$N$14:$AD$303,17,FALSE)</f>
        <v>1.04</v>
      </c>
    </row>
    <row r="27" spans="1:35" ht="13.9" x14ac:dyDescent="0.4">
      <c r="A27" s="578" t="str">
        <f>VLOOKUP(14,$N$14:$O$303,2,FALSE)</f>
        <v>Rotary Harrow (ex. Phillips)</v>
      </c>
      <c r="B27" s="1745">
        <f>VLOOKUP(14,$N$14:$Z$303,3,FALSE)</f>
        <v>34900</v>
      </c>
      <c r="C27" s="1740">
        <f>VLOOKUP(14,$N$14:$Z$303,4,FALSE)</f>
        <v>45</v>
      </c>
      <c r="D27" s="1746">
        <f>VLOOKUP(14,$N$14:$Z$303,5,FALSE)</f>
        <v>7</v>
      </c>
      <c r="E27" s="495">
        <f>VLOOKUP(14,$N$14:$Z$303,6,FALSE)</f>
        <v>308000</v>
      </c>
      <c r="F27" s="1742">
        <f>VLOOKUP(14,$N$14:$Z$303,7,FALSE)</f>
        <v>4</v>
      </c>
      <c r="G27" s="1743">
        <f>VLOOKUP(14,$N$14:$Z$303,8,FALSE)</f>
        <v>230</v>
      </c>
      <c r="H27" s="175">
        <f>VLOOKUP(14,$N$14:$Z$303,9,FALSE)</f>
        <v>120</v>
      </c>
      <c r="I27" s="405">
        <f>VLOOKUP(14,$N$14:$Z$303,10,FALSE)</f>
        <v>0.8</v>
      </c>
      <c r="J27" s="468">
        <f>VLOOKUP(14,$N$14:$Z$303,11,FALSE)</f>
        <v>8</v>
      </c>
      <c r="K27" s="491">
        <f>VLOOKUP(14,$N$14:$Z$303,12,FALSE)</f>
        <v>600</v>
      </c>
      <c r="L27" s="1744">
        <f>VLOOKUP(14,$N$14:$Z$303,13,FALSE)</f>
        <v>8</v>
      </c>
      <c r="M27" s="1073">
        <f>VLOOKUP(14,$N$14:$AA$303,14,FALSE)</f>
        <v>1</v>
      </c>
      <c r="N27" s="1073">
        <f t="shared" si="0"/>
        <v>14</v>
      </c>
      <c r="O27" s="1107" t="s">
        <v>350</v>
      </c>
      <c r="P27" s="1528">
        <v>34900</v>
      </c>
      <c r="Q27" s="132">
        <v>45</v>
      </c>
      <c r="R27" s="133">
        <v>7</v>
      </c>
      <c r="S27" s="138">
        <v>308000</v>
      </c>
      <c r="T27" s="139">
        <v>4</v>
      </c>
      <c r="U27" s="140">
        <v>230</v>
      </c>
      <c r="V27" s="1108">
        <v>120</v>
      </c>
      <c r="W27" s="1653">
        <v>0.8</v>
      </c>
      <c r="X27" s="1654">
        <v>8</v>
      </c>
      <c r="Y27" s="1655">
        <v>600</v>
      </c>
      <c r="Z27" s="1656">
        <v>8</v>
      </c>
      <c r="AA27" s="1071">
        <f t="shared" si="1"/>
        <v>1</v>
      </c>
      <c r="AB27" s="1107">
        <v>0.23</v>
      </c>
      <c r="AC27" s="1704">
        <v>1.4</v>
      </c>
      <c r="AD27" s="1705">
        <v>1.04</v>
      </c>
      <c r="AE27" s="1706" t="s">
        <v>324</v>
      </c>
      <c r="AF27" s="1534"/>
      <c r="AG27" s="578">
        <f>VLOOKUP(14,$N$14:$AD$303,15,FALSE)</f>
        <v>0.23</v>
      </c>
      <c r="AH27" s="579">
        <f>VLOOKUP(14,$N$14:$AD$303,16,FALSE)</f>
        <v>1.4</v>
      </c>
      <c r="AI27" s="592">
        <f>VLOOKUP(14,$N$14:$AD$303,17,FALSE)</f>
        <v>1.04</v>
      </c>
    </row>
    <row r="28" spans="1:35" ht="13.9" x14ac:dyDescent="0.4">
      <c r="A28" s="578" t="str">
        <f>VLOOKUP(15,$N$14:$O$303,2,FALSE)</f>
        <v>Field Cultivator</v>
      </c>
      <c r="B28" s="1745">
        <f>VLOOKUP(15,$N$14:$Z$303,3,FALSE)</f>
        <v>76800</v>
      </c>
      <c r="C28" s="1740">
        <f>VLOOKUP(15,$N$14:$Z$303,4,FALSE)</f>
        <v>42</v>
      </c>
      <c r="D28" s="1746">
        <f>VLOOKUP(15,$N$14:$Z$303,5,FALSE)</f>
        <v>7</v>
      </c>
      <c r="E28" s="495">
        <f>VLOOKUP(15,$N$14:$Z$303,6,FALSE)</f>
        <v>308000</v>
      </c>
      <c r="F28" s="1742">
        <f>VLOOKUP(15,$N$14:$Z$303,7,FALSE)</f>
        <v>4</v>
      </c>
      <c r="G28" s="1743">
        <f>VLOOKUP(15,$N$14:$Z$303,8,FALSE)</f>
        <v>230</v>
      </c>
      <c r="H28" s="175">
        <f>VLOOKUP(15,$N$14:$Z$303,9,FALSE)</f>
        <v>160</v>
      </c>
      <c r="I28" s="405">
        <f>VLOOKUP(15,$N$14:$Z$303,10,FALSE)</f>
        <v>0.85</v>
      </c>
      <c r="J28" s="468">
        <f>VLOOKUP(15,$N$14:$Z$303,11,FALSE)</f>
        <v>8</v>
      </c>
      <c r="K28" s="491">
        <f>VLOOKUP(15,$N$14:$Z$303,12,FALSE)</f>
        <v>600</v>
      </c>
      <c r="L28" s="1744">
        <f>VLOOKUP(15,$N$14:$Z$303,13,FALSE)</f>
        <v>8</v>
      </c>
      <c r="M28" s="1073">
        <f>VLOOKUP(15,$N$14:$AA$303,14,FALSE)</f>
        <v>1</v>
      </c>
      <c r="N28" s="1073">
        <f>IF($A$8=1,N27+1,0)</f>
        <v>15</v>
      </c>
      <c r="O28" s="1107" t="s">
        <v>83</v>
      </c>
      <c r="P28" s="1528">
        <v>76800</v>
      </c>
      <c r="Q28" s="132">
        <v>42</v>
      </c>
      <c r="R28" s="133">
        <v>7</v>
      </c>
      <c r="S28" s="138">
        <v>308000</v>
      </c>
      <c r="T28" s="139">
        <v>4</v>
      </c>
      <c r="U28" s="140">
        <v>230</v>
      </c>
      <c r="V28" s="1108">
        <v>160</v>
      </c>
      <c r="W28" s="1653">
        <v>0.85</v>
      </c>
      <c r="X28" s="1654">
        <v>8</v>
      </c>
      <c r="Y28" s="1655">
        <v>600</v>
      </c>
      <c r="Z28" s="1656">
        <v>8</v>
      </c>
      <c r="AA28" s="1071">
        <f>AA14</f>
        <v>1</v>
      </c>
      <c r="AB28" s="1107">
        <v>0.27</v>
      </c>
      <c r="AC28" s="1704">
        <v>1.4</v>
      </c>
      <c r="AD28" s="1705">
        <v>1.04</v>
      </c>
      <c r="AE28" s="1706" t="s">
        <v>324</v>
      </c>
      <c r="AF28" s="1534"/>
      <c r="AG28" s="578">
        <f>VLOOKUP(15,$N$14:$AD$303,15,FALSE)</f>
        <v>0.27</v>
      </c>
      <c r="AH28" s="579">
        <f>VLOOKUP(15,$N$14:$AD$303,16,FALSE)</f>
        <v>1.4</v>
      </c>
      <c r="AI28" s="592">
        <f>VLOOKUP(15,$N$14:$AD$303,17,FALSE)</f>
        <v>1.04</v>
      </c>
    </row>
    <row r="29" spans="1:35" ht="13.9" x14ac:dyDescent="0.4">
      <c r="A29" s="578" t="str">
        <f>VLOOKUP(16,$N$14:$O$303,2,FALSE)</f>
        <v>Row Crop Cultivator, Row Middles</v>
      </c>
      <c r="B29" s="1745">
        <f>VLOOKUP(16,$N$14:$Z$303,3,FALSE)</f>
        <v>29200</v>
      </c>
      <c r="C29" s="1740">
        <f>VLOOKUP(16,$N$14:$Z$303,4,FALSE)</f>
        <v>38</v>
      </c>
      <c r="D29" s="1746">
        <f>VLOOKUP(16,$N$14:$Z$303,5,FALSE)</f>
        <v>7</v>
      </c>
      <c r="E29" s="495">
        <f>VLOOKUP(16,$N$14:$Z$303,6,FALSE)</f>
        <v>308000</v>
      </c>
      <c r="F29" s="1742">
        <f>VLOOKUP(16,$N$14:$Z$303,7,FALSE)</f>
        <v>4</v>
      </c>
      <c r="G29" s="1743">
        <f>VLOOKUP(16,$N$14:$Z$303,8,FALSE)</f>
        <v>230</v>
      </c>
      <c r="H29" s="175">
        <f>VLOOKUP(16,$N$14:$Z$303,9,FALSE)</f>
        <v>120</v>
      </c>
      <c r="I29" s="405">
        <f>VLOOKUP(16,$N$14:$Z$303,10,FALSE)</f>
        <v>0.8</v>
      </c>
      <c r="J29" s="468">
        <f>VLOOKUP(16,$N$14:$Z$303,11,FALSE)</f>
        <v>8</v>
      </c>
      <c r="K29" s="491">
        <f>VLOOKUP(16,$N$14:$Z$303,12,FALSE)</f>
        <v>600</v>
      </c>
      <c r="L29" s="1744">
        <f>VLOOKUP(16,$N$14:$Z$303,13,FALSE)</f>
        <v>8</v>
      </c>
      <c r="M29" s="1073">
        <f>VLOOKUP(16,$N$14:$AA$303,14,FALSE)</f>
        <v>1</v>
      </c>
      <c r="N29" s="1073">
        <f t="shared" ref="N29:N37" si="2">IF($A$8=1,N28+1,0)</f>
        <v>16</v>
      </c>
      <c r="O29" s="1107" t="s">
        <v>965</v>
      </c>
      <c r="P29" s="1528">
        <v>29200</v>
      </c>
      <c r="Q29" s="132">
        <v>38</v>
      </c>
      <c r="R29" s="133">
        <v>7</v>
      </c>
      <c r="S29" s="138">
        <v>308000</v>
      </c>
      <c r="T29" s="139">
        <v>4</v>
      </c>
      <c r="U29" s="140">
        <v>230</v>
      </c>
      <c r="V29" s="1108">
        <v>120</v>
      </c>
      <c r="W29" s="1653">
        <v>0.8</v>
      </c>
      <c r="X29" s="1654">
        <v>8</v>
      </c>
      <c r="Y29" s="1655">
        <v>600</v>
      </c>
      <c r="Z29" s="1656">
        <v>8</v>
      </c>
      <c r="AA29" s="1071">
        <f>AA28</f>
        <v>1</v>
      </c>
      <c r="AB29" s="1107">
        <v>0.17</v>
      </c>
      <c r="AC29" s="1704">
        <v>2.2000000000000002</v>
      </c>
      <c r="AD29" s="1705">
        <v>1.04</v>
      </c>
      <c r="AE29" s="1706" t="s">
        <v>324</v>
      </c>
      <c r="AF29" s="1534"/>
      <c r="AG29" s="578">
        <f>VLOOKUP(16,$N$14:$AD$303,15,FALSE)</f>
        <v>0.17</v>
      </c>
      <c r="AH29" s="579">
        <f>VLOOKUP(16,$N$14:$AD$303,16,FALSE)</f>
        <v>2.2000000000000002</v>
      </c>
      <c r="AI29" s="592">
        <f>VLOOKUP(16,$N$14:$AD$303,17,FALSE)</f>
        <v>1.04</v>
      </c>
    </row>
    <row r="30" spans="1:35" ht="13.9" x14ac:dyDescent="0.4">
      <c r="A30" s="578" t="str">
        <f>VLOOKUP(17,$N$14:$O$303,2,FALSE)</f>
        <v>Sprayer, Tractor Mounted (ft)</v>
      </c>
      <c r="B30" s="1745">
        <f>VLOOKUP(17,$N$14:$Z$303,3,FALSE)</f>
        <v>13000</v>
      </c>
      <c r="C30" s="1740">
        <f>VLOOKUP(17,$N$14:$Z$303,4,FALSE)</f>
        <v>60</v>
      </c>
      <c r="D30" s="1746">
        <f>VLOOKUP(17,$N$14:$Z$303,5,FALSE)</f>
        <v>12</v>
      </c>
      <c r="E30" s="495">
        <f>VLOOKUP(17,$N$14:$Z$303,6,FALSE)</f>
        <v>148000</v>
      </c>
      <c r="F30" s="1742">
        <f>VLOOKUP(17,$N$14:$Z$303,7,FALSE)</f>
        <v>4</v>
      </c>
      <c r="G30" s="1743">
        <f>VLOOKUP(17,$N$14:$Z$303,8,FALSE)</f>
        <v>175</v>
      </c>
      <c r="H30" s="175">
        <f>VLOOKUP(17,$N$14:$Z$303,9,FALSE)</f>
        <v>120</v>
      </c>
      <c r="I30" s="405">
        <f>VLOOKUP(17,$N$14:$Z$303,10,FALSE)</f>
        <v>0.65</v>
      </c>
      <c r="J30" s="468">
        <f>VLOOKUP(17,$N$14:$Z$303,11,FALSE)</f>
        <v>8</v>
      </c>
      <c r="K30" s="491">
        <f>VLOOKUP(17,$N$14:$Z$303,12,FALSE)</f>
        <v>600</v>
      </c>
      <c r="L30" s="1744">
        <f>VLOOKUP(17,$N$14:$Z$303,13,FALSE)</f>
        <v>8</v>
      </c>
      <c r="M30" s="1073">
        <f>VLOOKUP(17,$N$14:$AA$303,14,FALSE)</f>
        <v>1</v>
      </c>
      <c r="N30" s="1073">
        <f t="shared" si="2"/>
        <v>17</v>
      </c>
      <c r="O30" s="1107" t="s">
        <v>408</v>
      </c>
      <c r="P30" s="1528">
        <v>13000</v>
      </c>
      <c r="Q30" s="132">
        <v>60</v>
      </c>
      <c r="R30" s="133">
        <v>12</v>
      </c>
      <c r="S30" s="138">
        <v>148000</v>
      </c>
      <c r="T30" s="139">
        <v>4</v>
      </c>
      <c r="U30" s="140">
        <v>175</v>
      </c>
      <c r="V30" s="1108">
        <v>120</v>
      </c>
      <c r="W30" s="1653">
        <v>0.65</v>
      </c>
      <c r="X30" s="1654">
        <v>8</v>
      </c>
      <c r="Y30" s="1655">
        <v>600</v>
      </c>
      <c r="Z30" s="1656">
        <v>8</v>
      </c>
      <c r="AA30" s="1071">
        <f t="shared" ref="AA30:AA37" si="3">AA29</f>
        <v>1</v>
      </c>
      <c r="AB30" s="1107">
        <v>0.41</v>
      </c>
      <c r="AC30" s="1704">
        <v>1.3</v>
      </c>
      <c r="AD30" s="1705">
        <v>1.04</v>
      </c>
      <c r="AE30" s="1706" t="s">
        <v>326</v>
      </c>
      <c r="AF30" s="1534"/>
      <c r="AG30" s="578">
        <f>VLOOKUP(17,$N$14:$AD$303,15,FALSE)</f>
        <v>0.41</v>
      </c>
      <c r="AH30" s="579">
        <f>VLOOKUP(17,$N$14:$AD$303,16,FALSE)</f>
        <v>1.3</v>
      </c>
      <c r="AI30" s="592">
        <f>VLOOKUP(17,$N$14:$AD$303,17,FALSE)</f>
        <v>1.04</v>
      </c>
    </row>
    <row r="31" spans="1:35" ht="13.9" x14ac:dyDescent="0.4">
      <c r="A31" s="578" t="str">
        <f>VLOOKUP(18,$N$14:$O$303,2,FALSE)</f>
        <v>Sprayer, Tractor Mounted (row)</v>
      </c>
      <c r="B31" s="1745">
        <f>VLOOKUP(18,$N$14:$Z$303,3,FALSE)</f>
        <v>17000</v>
      </c>
      <c r="C31" s="1740">
        <f>VLOOKUP(18,$N$14:$Z$303,4,FALSE)</f>
        <v>38</v>
      </c>
      <c r="D31" s="1746">
        <f>VLOOKUP(18,$N$14:$Z$303,5,FALSE)</f>
        <v>12</v>
      </c>
      <c r="E31" s="495">
        <f>VLOOKUP(18,$N$14:$Z$303,6,FALSE)</f>
        <v>148000</v>
      </c>
      <c r="F31" s="1742">
        <f>VLOOKUP(18,$N$14:$Z$303,7,FALSE)</f>
        <v>4</v>
      </c>
      <c r="G31" s="1743">
        <f>VLOOKUP(18,$N$14:$Z$303,8,FALSE)</f>
        <v>175</v>
      </c>
      <c r="H31" s="175">
        <f>VLOOKUP(18,$N$14:$Z$303,9,FALSE)</f>
        <v>120</v>
      </c>
      <c r="I31" s="405">
        <f>VLOOKUP(18,$N$14:$Z$303,10,FALSE)</f>
        <v>0.65</v>
      </c>
      <c r="J31" s="468">
        <f>VLOOKUP(18,$N$14:$Z$303,11,FALSE)</f>
        <v>8</v>
      </c>
      <c r="K31" s="491">
        <f>VLOOKUP(18,$N$14:$Z$303,12,FALSE)</f>
        <v>600</v>
      </c>
      <c r="L31" s="1744">
        <f>VLOOKUP(18,$N$14:$Z$303,13,FALSE)</f>
        <v>8</v>
      </c>
      <c r="M31" s="1073">
        <f>VLOOKUP(18,$N$14:$AA$303,14,FALSE)</f>
        <v>1</v>
      </c>
      <c r="N31" s="1073">
        <f t="shared" si="2"/>
        <v>18</v>
      </c>
      <c r="O31" s="1107" t="s">
        <v>409</v>
      </c>
      <c r="P31" s="1528">
        <v>17000</v>
      </c>
      <c r="Q31" s="132">
        <v>38</v>
      </c>
      <c r="R31" s="133">
        <v>12</v>
      </c>
      <c r="S31" s="138">
        <v>148000</v>
      </c>
      <c r="T31" s="139">
        <v>4</v>
      </c>
      <c r="U31" s="140">
        <v>175</v>
      </c>
      <c r="V31" s="1108">
        <v>120</v>
      </c>
      <c r="W31" s="1653">
        <v>0.65</v>
      </c>
      <c r="X31" s="1654">
        <v>8</v>
      </c>
      <c r="Y31" s="1655">
        <v>600</v>
      </c>
      <c r="Z31" s="1656">
        <v>8</v>
      </c>
      <c r="AA31" s="1071">
        <f t="shared" si="3"/>
        <v>1</v>
      </c>
      <c r="AB31" s="1107">
        <v>0.41</v>
      </c>
      <c r="AC31" s="1704">
        <v>1.3</v>
      </c>
      <c r="AD31" s="1705">
        <v>1.04</v>
      </c>
      <c r="AE31" s="1706" t="s">
        <v>326</v>
      </c>
      <c r="AF31" s="1534"/>
      <c r="AG31" s="578">
        <f>VLOOKUP(18,$N$14:$AD$303,15,FALSE)</f>
        <v>0.41</v>
      </c>
      <c r="AH31" s="579">
        <f>VLOOKUP(18,$N$14:$AD$303,16,FALSE)</f>
        <v>1.3</v>
      </c>
      <c r="AI31" s="592">
        <f>VLOOKUP(18,$N$14:$AD$303,17,FALSE)</f>
        <v>1.04</v>
      </c>
    </row>
    <row r="32" spans="1:35" ht="13.9" x14ac:dyDescent="0.4">
      <c r="A32" s="578" t="str">
        <f>VLOOKUP(19,$N$14:$O$303,2,FALSE)</f>
        <v>Land Plane</v>
      </c>
      <c r="B32" s="1745">
        <f>VLOOKUP(19,$N$14:$Z$303,3,FALSE)</f>
        <v>8333</v>
      </c>
      <c r="C32" s="1740">
        <f>VLOOKUP(19,$N$14:$Z$303,4,FALSE)</f>
        <v>17</v>
      </c>
      <c r="D32" s="1746">
        <f>VLOOKUP(19,$N$14:$Z$303,5,FALSE)</f>
        <v>8.5</v>
      </c>
      <c r="E32" s="495">
        <f>VLOOKUP(19,$N$14:$Z$303,6,FALSE)</f>
        <v>248000</v>
      </c>
      <c r="F32" s="1742">
        <f>VLOOKUP(19,$N$14:$Z$303,7,FALSE)</f>
        <v>4</v>
      </c>
      <c r="G32" s="1743">
        <f>VLOOKUP(19,$N$14:$Z$303,8,FALSE)</f>
        <v>195</v>
      </c>
      <c r="H32" s="175">
        <f>VLOOKUP(19,$N$14:$Z$303,9,FALSE)</f>
        <v>160</v>
      </c>
      <c r="I32" s="405">
        <f>VLOOKUP(19,$N$14:$Z$303,10,FALSE)</f>
        <v>0.85</v>
      </c>
      <c r="J32" s="468">
        <f>VLOOKUP(19,$N$14:$Z$303,11,FALSE)</f>
        <v>8</v>
      </c>
      <c r="K32" s="491">
        <f>VLOOKUP(19,$N$14:$Z$303,12,FALSE)</f>
        <v>600</v>
      </c>
      <c r="L32" s="1744">
        <f>VLOOKUP(19,$N$14:$Z$303,13,FALSE)</f>
        <v>8</v>
      </c>
      <c r="M32" s="1073">
        <f>VLOOKUP(19,$N$14:$AA$303,14,FALSE)</f>
        <v>1</v>
      </c>
      <c r="N32" s="1073">
        <f t="shared" si="2"/>
        <v>19</v>
      </c>
      <c r="O32" s="1107" t="s">
        <v>133</v>
      </c>
      <c r="P32" s="1528">
        <v>8333</v>
      </c>
      <c r="Q32" s="132">
        <v>17</v>
      </c>
      <c r="R32" s="133">
        <v>8.5</v>
      </c>
      <c r="S32" s="138">
        <v>248000</v>
      </c>
      <c r="T32" s="139">
        <v>4</v>
      </c>
      <c r="U32" s="140">
        <v>195</v>
      </c>
      <c r="V32" s="1108">
        <v>160</v>
      </c>
      <c r="W32" s="1653">
        <v>0.85</v>
      </c>
      <c r="X32" s="1654">
        <v>8</v>
      </c>
      <c r="Y32" s="1655">
        <v>600</v>
      </c>
      <c r="Z32" s="1656">
        <v>8</v>
      </c>
      <c r="AA32" s="1071">
        <f t="shared" si="3"/>
        <v>1</v>
      </c>
      <c r="AB32" s="1107">
        <v>0.16</v>
      </c>
      <c r="AC32" s="1704">
        <v>1.3</v>
      </c>
      <c r="AD32" s="1705">
        <v>1.04</v>
      </c>
      <c r="AE32" s="1706" t="s">
        <v>325</v>
      </c>
      <c r="AF32" s="1534"/>
      <c r="AG32" s="578">
        <f>VLOOKUP(19,$N$14:$AD$303,15,FALSE)</f>
        <v>0.16</v>
      </c>
      <c r="AH32" s="579">
        <f>VLOOKUP(19,$N$14:$AD$303,16,FALSE)</f>
        <v>1.3</v>
      </c>
      <c r="AI32" s="592">
        <f>VLOOKUP(19,$N$14:$AD$303,17,FALSE)</f>
        <v>1.04</v>
      </c>
    </row>
    <row r="33" spans="1:35" ht="13.9" x14ac:dyDescent="0.4">
      <c r="A33" s="578" t="str">
        <f>VLOOKUP(20,$N$14:$O$303,2,FALSE)</f>
        <v>Fertilizer, Broadcast Spreader</v>
      </c>
      <c r="B33" s="1745">
        <f>VLOOKUP(20,$N$14:$Z$303,3,FALSE)</f>
        <v>13733</v>
      </c>
      <c r="C33" s="1740">
        <f>VLOOKUP(20,$N$14:$Z$303,4,FALSE)</f>
        <v>30</v>
      </c>
      <c r="D33" s="1746">
        <f>VLOOKUP(20,$N$14:$Z$303,5,FALSE)</f>
        <v>10</v>
      </c>
      <c r="E33" s="495">
        <f>VLOOKUP(20,$N$14:$Z$303,6,FALSE)</f>
        <v>248000</v>
      </c>
      <c r="F33" s="1742">
        <f>VLOOKUP(20,$N$14:$Z$303,7,FALSE)</f>
        <v>4</v>
      </c>
      <c r="G33" s="1743">
        <f>VLOOKUP(20,$N$14:$Z$303,8,FALSE)</f>
        <v>195</v>
      </c>
      <c r="H33" s="175">
        <f>VLOOKUP(20,$N$14:$Z$303,9,FALSE)</f>
        <v>100</v>
      </c>
      <c r="I33" s="405">
        <f>VLOOKUP(20,$N$14:$Z$303,10,FALSE)</f>
        <v>0.7</v>
      </c>
      <c r="J33" s="468">
        <f>VLOOKUP(20,$N$14:$Z$303,11,FALSE)</f>
        <v>8</v>
      </c>
      <c r="K33" s="491">
        <f>VLOOKUP(20,$N$14:$Z$303,12,FALSE)</f>
        <v>600</v>
      </c>
      <c r="L33" s="1744">
        <f>VLOOKUP(20,$N$14:$Z$303,13,FALSE)</f>
        <v>8</v>
      </c>
      <c r="M33" s="1073">
        <f>VLOOKUP(20,$N$14:$AA$303,14,FALSE)</f>
        <v>1</v>
      </c>
      <c r="N33" s="1073">
        <f t="shared" si="2"/>
        <v>20</v>
      </c>
      <c r="O33" s="1107" t="s">
        <v>410</v>
      </c>
      <c r="P33" s="1528">
        <v>13733</v>
      </c>
      <c r="Q33" s="132">
        <v>30</v>
      </c>
      <c r="R33" s="133">
        <v>10</v>
      </c>
      <c r="S33" s="138">
        <v>248000</v>
      </c>
      <c r="T33" s="139">
        <v>4</v>
      </c>
      <c r="U33" s="140">
        <v>195</v>
      </c>
      <c r="V33" s="1108">
        <v>100</v>
      </c>
      <c r="W33" s="1653">
        <v>0.7</v>
      </c>
      <c r="X33" s="1654">
        <v>8</v>
      </c>
      <c r="Y33" s="1655">
        <v>600</v>
      </c>
      <c r="Z33" s="1656">
        <v>8</v>
      </c>
      <c r="AA33" s="1071">
        <f t="shared" si="3"/>
        <v>1</v>
      </c>
      <c r="AB33" s="1107">
        <v>0.63</v>
      </c>
      <c r="AC33" s="1704">
        <v>1.3</v>
      </c>
      <c r="AD33" s="1705">
        <v>1.33</v>
      </c>
      <c r="AE33" s="1706" t="s">
        <v>327</v>
      </c>
      <c r="AF33" s="1534"/>
      <c r="AG33" s="578">
        <f>VLOOKUP(20,$N$14:$AD$303,15,FALSE)</f>
        <v>0.63</v>
      </c>
      <c r="AH33" s="579">
        <f>VLOOKUP(20,$N$14:$AD$303,16,FALSE)</f>
        <v>1.3</v>
      </c>
      <c r="AI33" s="592">
        <f>VLOOKUP(20,$N$14:$AD$303,17,FALSE)</f>
        <v>1.33</v>
      </c>
    </row>
    <row r="34" spans="1:35" ht="13.9" x14ac:dyDescent="0.4">
      <c r="A34" s="578" t="str">
        <f>VLOOKUP(21,$N$14:$O$303,2,FALSE)</f>
        <v>Do All, Seedbed Finisher</v>
      </c>
      <c r="B34" s="1745">
        <f>VLOOKUP(21,$N$14:$Z$303,3,FALSE)</f>
        <v>25700</v>
      </c>
      <c r="C34" s="1740">
        <f>VLOOKUP(21,$N$14:$Z$303,4,FALSE)</f>
        <v>38</v>
      </c>
      <c r="D34" s="1746">
        <f>VLOOKUP(21,$N$14:$Z$303,5,FALSE)</f>
        <v>7</v>
      </c>
      <c r="E34" s="495">
        <f>VLOOKUP(21,$N$14:$Z$303,6,FALSE)</f>
        <v>308000</v>
      </c>
      <c r="F34" s="1742">
        <f>VLOOKUP(21,$N$14:$Z$303,7,FALSE)</f>
        <v>4</v>
      </c>
      <c r="G34" s="1743">
        <f>VLOOKUP(21,$N$14:$Z$303,8,FALSE)</f>
        <v>230</v>
      </c>
      <c r="H34" s="175">
        <f>VLOOKUP(21,$N$14:$Z$303,9,FALSE)</f>
        <v>160</v>
      </c>
      <c r="I34" s="405">
        <f>VLOOKUP(21,$N$14:$Z$303,10,FALSE)</f>
        <v>0.85</v>
      </c>
      <c r="J34" s="468">
        <f>VLOOKUP(21,$N$14:$Z$303,11,FALSE)</f>
        <v>8</v>
      </c>
      <c r="K34" s="491">
        <f>VLOOKUP(21,$N$14:$Z$303,12,FALSE)</f>
        <v>600</v>
      </c>
      <c r="L34" s="1744">
        <f>VLOOKUP(21,$N$14:$Z$303,13,FALSE)</f>
        <v>8</v>
      </c>
      <c r="M34" s="1073">
        <f>VLOOKUP(21,$N$14:$AA$303,14,FALSE)</f>
        <v>1</v>
      </c>
      <c r="N34" s="1073">
        <f t="shared" si="2"/>
        <v>21</v>
      </c>
      <c r="O34" s="1107" t="s">
        <v>162</v>
      </c>
      <c r="P34" s="1528">
        <v>25700</v>
      </c>
      <c r="Q34" s="132">
        <v>38</v>
      </c>
      <c r="R34" s="133">
        <v>7</v>
      </c>
      <c r="S34" s="138">
        <v>308000</v>
      </c>
      <c r="T34" s="139">
        <v>4</v>
      </c>
      <c r="U34" s="140">
        <v>230</v>
      </c>
      <c r="V34" s="1108">
        <v>160</v>
      </c>
      <c r="W34" s="1653">
        <v>0.85</v>
      </c>
      <c r="X34" s="1654">
        <v>8</v>
      </c>
      <c r="Y34" s="1655">
        <v>600</v>
      </c>
      <c r="Z34" s="1656">
        <v>8</v>
      </c>
      <c r="AA34" s="1071">
        <f t="shared" si="3"/>
        <v>1</v>
      </c>
      <c r="AB34" s="1107">
        <v>0.27</v>
      </c>
      <c r="AC34" s="1704">
        <v>1.4</v>
      </c>
      <c r="AD34" s="1705">
        <v>1.04</v>
      </c>
      <c r="AE34" s="1706" t="s">
        <v>325</v>
      </c>
      <c r="AF34" s="1534"/>
      <c r="AG34" s="578">
        <f>VLOOKUP(21,$N$14:$AD$303,15,FALSE)</f>
        <v>0.27</v>
      </c>
      <c r="AH34" s="579">
        <f>VLOOKUP(21,$N$14:$AD$303,16,FALSE)</f>
        <v>1.4</v>
      </c>
      <c r="AI34" s="592">
        <f>VLOOKUP(21,$N$14:$AD$303,17,FALSE)</f>
        <v>1.04</v>
      </c>
    </row>
    <row r="35" spans="1:35" ht="13.9" x14ac:dyDescent="0.4">
      <c r="A35" s="578" t="str">
        <f>VLOOKUP(22,$N$14:$O$303,2,FALSE)</f>
        <v>Planter</v>
      </c>
      <c r="B35" s="1745">
        <f>VLOOKUP(22,$N$14:$Z$303,3,FALSE)</f>
        <v>90000</v>
      </c>
      <c r="C35" s="1740">
        <f>VLOOKUP(22,$N$14:$Z$303,4,FALSE)</f>
        <v>36</v>
      </c>
      <c r="D35" s="1746">
        <f>VLOOKUP(22,$N$14:$Z$303,5,FALSE)</f>
        <v>6</v>
      </c>
      <c r="E35" s="495">
        <f>VLOOKUP(22,$N$14:$Z$303,6,FALSE)</f>
        <v>248000</v>
      </c>
      <c r="F35" s="1742">
        <f>VLOOKUP(22,$N$14:$Z$303,7,FALSE)</f>
        <v>4</v>
      </c>
      <c r="G35" s="1743">
        <f>VLOOKUP(22,$N$14:$Z$303,8,FALSE)</f>
        <v>195</v>
      </c>
      <c r="H35" s="175">
        <f>VLOOKUP(22,$N$14:$Z$303,9,FALSE)</f>
        <v>160</v>
      </c>
      <c r="I35" s="405">
        <f>VLOOKUP(22,$N$14:$Z$303,10,FALSE)</f>
        <v>0.65</v>
      </c>
      <c r="J35" s="468">
        <f>VLOOKUP(22,$N$14:$Z$303,11,FALSE)</f>
        <v>8</v>
      </c>
      <c r="K35" s="491">
        <f>VLOOKUP(22,$N$14:$Z$303,12,FALSE)</f>
        <v>600</v>
      </c>
      <c r="L35" s="1744">
        <f>VLOOKUP(22,$N$14:$Z$303,13,FALSE)</f>
        <v>8</v>
      </c>
      <c r="M35" s="1073">
        <f>VLOOKUP(22,$N$14:$AA$303,14,FALSE)</f>
        <v>1</v>
      </c>
      <c r="N35" s="1073">
        <f t="shared" si="2"/>
        <v>22</v>
      </c>
      <c r="O35" s="1107" t="s">
        <v>84</v>
      </c>
      <c r="P35" s="1528">
        <v>90000</v>
      </c>
      <c r="Q35" s="132">
        <v>36</v>
      </c>
      <c r="R35" s="133">
        <v>6</v>
      </c>
      <c r="S35" s="138">
        <v>248000</v>
      </c>
      <c r="T35" s="139">
        <v>4</v>
      </c>
      <c r="U35" s="140">
        <v>195</v>
      </c>
      <c r="V35" s="1108">
        <v>160</v>
      </c>
      <c r="W35" s="1653">
        <v>0.65</v>
      </c>
      <c r="X35" s="1654">
        <v>8</v>
      </c>
      <c r="Y35" s="1655">
        <v>600</v>
      </c>
      <c r="Z35" s="1656">
        <v>8</v>
      </c>
      <c r="AA35" s="1071">
        <f t="shared" si="3"/>
        <v>1</v>
      </c>
      <c r="AB35" s="1107">
        <v>0.32</v>
      </c>
      <c r="AC35" s="1704">
        <v>2.1</v>
      </c>
      <c r="AD35" s="1705">
        <v>1.1599999999999999</v>
      </c>
      <c r="AE35" s="1706" t="s">
        <v>328</v>
      </c>
      <c r="AF35" s="1534"/>
      <c r="AG35" s="578">
        <f>VLOOKUP(22,$N$14:$AD$303,15,FALSE)</f>
        <v>0.32</v>
      </c>
      <c r="AH35" s="579">
        <f>VLOOKUP(22,$N$14:$AD$303,16,FALSE)</f>
        <v>2.1</v>
      </c>
      <c r="AI35" s="592">
        <f>VLOOKUP(22,$N$14:$AD$303,17,FALSE)</f>
        <v>1.1599999999999999</v>
      </c>
    </row>
    <row r="36" spans="1:35" ht="13.9" x14ac:dyDescent="0.4">
      <c r="A36" s="578" t="str">
        <f>VLOOKUP(23,$N$14:$O$303,2,FALSE)</f>
        <v>Planter Twin Row</v>
      </c>
      <c r="B36" s="1745">
        <f>VLOOKUP(23,$N$14:$Z$303,3,FALSE)</f>
        <v>150000</v>
      </c>
      <c r="C36" s="1740">
        <f>VLOOKUP(23,$N$14:$Z$303,4,FALSE)</f>
        <v>36</v>
      </c>
      <c r="D36" s="1746">
        <f>VLOOKUP(23,$N$14:$Z$303,5,FALSE)</f>
        <v>6</v>
      </c>
      <c r="E36" s="495">
        <f>VLOOKUP(23,$N$14:$Z$303,6,FALSE)</f>
        <v>308000</v>
      </c>
      <c r="F36" s="1742">
        <f>VLOOKUP(23,$N$14:$Z$303,7,FALSE)</f>
        <v>4</v>
      </c>
      <c r="G36" s="1743">
        <f>VLOOKUP(23,$N$14:$Z$303,8,FALSE)</f>
        <v>230</v>
      </c>
      <c r="H36" s="175">
        <f>VLOOKUP(23,$N$14:$Z$303,9,FALSE)</f>
        <v>160</v>
      </c>
      <c r="I36" s="405">
        <f>VLOOKUP(23,$N$14:$Z$303,10,FALSE)</f>
        <v>0.65</v>
      </c>
      <c r="J36" s="468">
        <f>VLOOKUP(23,$N$14:$Z$303,11,FALSE)</f>
        <v>8</v>
      </c>
      <c r="K36" s="491">
        <f>VLOOKUP(23,$N$14:$Z$303,12,FALSE)</f>
        <v>600</v>
      </c>
      <c r="L36" s="1744">
        <f>VLOOKUP(23,$N$14:$Z$303,13,FALSE)</f>
        <v>8</v>
      </c>
      <c r="M36" s="1073">
        <f>VLOOKUP(23,$N$14:$AA$303,14,FALSE)</f>
        <v>1</v>
      </c>
      <c r="N36" s="1073">
        <f t="shared" si="2"/>
        <v>23</v>
      </c>
      <c r="O36" s="1107" t="s">
        <v>132</v>
      </c>
      <c r="P36" s="1528">
        <v>150000</v>
      </c>
      <c r="Q36" s="132">
        <v>36</v>
      </c>
      <c r="R36" s="133">
        <v>6</v>
      </c>
      <c r="S36" s="138">
        <v>308000</v>
      </c>
      <c r="T36" s="139">
        <v>4</v>
      </c>
      <c r="U36" s="140">
        <v>230</v>
      </c>
      <c r="V36" s="1108">
        <v>160</v>
      </c>
      <c r="W36" s="1653">
        <v>0.65</v>
      </c>
      <c r="X36" s="1654">
        <v>8</v>
      </c>
      <c r="Y36" s="1655">
        <v>600</v>
      </c>
      <c r="Z36" s="1656">
        <v>8</v>
      </c>
      <c r="AA36" s="1071">
        <f t="shared" si="3"/>
        <v>1</v>
      </c>
      <c r="AB36" s="1107">
        <v>0.32</v>
      </c>
      <c r="AC36" s="1704">
        <v>2.1</v>
      </c>
      <c r="AD36" s="1705">
        <v>1.1599999999999999</v>
      </c>
      <c r="AE36" s="1706" t="s">
        <v>328</v>
      </c>
      <c r="AF36" s="1534"/>
      <c r="AG36" s="578">
        <f>VLOOKUP(23,$N$14:$AD$303,15,FALSE)</f>
        <v>0.32</v>
      </c>
      <c r="AH36" s="579">
        <f>VLOOKUP(23,$N$14:$AD$303,16,FALSE)</f>
        <v>2.1</v>
      </c>
      <c r="AI36" s="592">
        <f>VLOOKUP(23,$N$14:$AD$303,17,FALSE)</f>
        <v>1.1599999999999999</v>
      </c>
    </row>
    <row r="37" spans="1:35" ht="13.9" x14ac:dyDescent="0.4">
      <c r="A37" s="578" t="str">
        <f>VLOOKUP(24,$N$14:$O$303,2,FALSE)</f>
        <v>Plant Grain Drill</v>
      </c>
      <c r="B37" s="1745">
        <f>VLOOKUP(24,$N$14:$Z$303,3,FALSE)</f>
        <v>106000</v>
      </c>
      <c r="C37" s="1740">
        <f>VLOOKUP(24,$N$14:$Z$303,4,FALSE)</f>
        <v>30</v>
      </c>
      <c r="D37" s="1746">
        <f>VLOOKUP(24,$N$14:$Z$303,5,FALSE)</f>
        <v>5.5</v>
      </c>
      <c r="E37" s="495">
        <f>VLOOKUP(24,$N$14:$Z$303,6,FALSE)</f>
        <v>308000</v>
      </c>
      <c r="F37" s="1742">
        <f>VLOOKUP(24,$N$14:$Z$303,7,FALSE)</f>
        <v>4</v>
      </c>
      <c r="G37" s="1743">
        <f>VLOOKUP(24,$N$14:$Z$303,8,FALSE)</f>
        <v>230</v>
      </c>
      <c r="H37" s="175">
        <f>VLOOKUP(24,$N$14:$Z$303,9,FALSE)</f>
        <v>160</v>
      </c>
      <c r="I37" s="405">
        <f>VLOOKUP(24,$N$14:$Z$303,10,FALSE)</f>
        <v>0.7</v>
      </c>
      <c r="J37" s="468">
        <f>VLOOKUP(24,$N$14:$Z$303,11,FALSE)</f>
        <v>8</v>
      </c>
      <c r="K37" s="491">
        <f>VLOOKUP(24,$N$14:$Z$303,12,FALSE)</f>
        <v>600</v>
      </c>
      <c r="L37" s="1744">
        <f>VLOOKUP(24,$N$14:$Z$303,13,FALSE)</f>
        <v>8</v>
      </c>
      <c r="M37" s="1073">
        <f>VLOOKUP(24,$N$14:$AA$303,14,FALSE)</f>
        <v>1</v>
      </c>
      <c r="N37" s="1073">
        <f t="shared" si="2"/>
        <v>24</v>
      </c>
      <c r="O37" s="1107" t="s">
        <v>1004</v>
      </c>
      <c r="P37" s="1528">
        <v>106000</v>
      </c>
      <c r="Q37" s="132">
        <v>30</v>
      </c>
      <c r="R37" s="133">
        <v>5.5</v>
      </c>
      <c r="S37" s="138">
        <v>308000</v>
      </c>
      <c r="T37" s="139">
        <v>4</v>
      </c>
      <c r="U37" s="140">
        <v>230</v>
      </c>
      <c r="V37" s="1108">
        <v>160</v>
      </c>
      <c r="W37" s="1653">
        <v>0.7</v>
      </c>
      <c r="X37" s="1654">
        <v>8</v>
      </c>
      <c r="Y37" s="1655">
        <v>600</v>
      </c>
      <c r="Z37" s="1656">
        <v>8</v>
      </c>
      <c r="AA37" s="1071">
        <f t="shared" si="3"/>
        <v>1</v>
      </c>
      <c r="AB37" s="1107">
        <v>0.32</v>
      </c>
      <c r="AC37" s="1704">
        <v>2.1</v>
      </c>
      <c r="AD37" s="1705">
        <v>1.1100000000000001</v>
      </c>
      <c r="AE37" s="1706" t="s">
        <v>328</v>
      </c>
      <c r="AF37" s="1534"/>
      <c r="AG37" s="578">
        <f>VLOOKUP(24,$N$14:$AD$303,15,FALSE)</f>
        <v>0.32</v>
      </c>
      <c r="AH37" s="579">
        <f>VLOOKUP(24,$N$14:$AD$303,16,FALSE)</f>
        <v>2.1</v>
      </c>
      <c r="AI37" s="592">
        <f>VLOOKUP(24,$N$14:$AD$303,17,FALSE)</f>
        <v>1.1100000000000001</v>
      </c>
    </row>
    <row r="38" spans="1:35" ht="13.9" x14ac:dyDescent="0.4">
      <c r="A38" s="175" t="str">
        <f>VLOOKUP(25,$N$14:$O$303,2,FALSE)</f>
        <v>Plant No-Till Air Drill</v>
      </c>
      <c r="B38" s="1745">
        <f>VLOOKUP(25,$N$14:$Z$303,3,FALSE)</f>
        <v>208000</v>
      </c>
      <c r="C38" s="1740">
        <f>VLOOKUP(25,$N$14:$Z$303,4,FALSE)</f>
        <v>42</v>
      </c>
      <c r="D38" s="1746">
        <f>VLOOKUP(25,$N$14:$Z$303,5,FALSE)</f>
        <v>7</v>
      </c>
      <c r="E38" s="495">
        <f>VLOOKUP(25,$N$14:$Z$303,6,FALSE)</f>
        <v>308000</v>
      </c>
      <c r="F38" s="1742">
        <f>VLOOKUP(25,$N$14:$Z$303,7,FALSE)</f>
        <v>4</v>
      </c>
      <c r="G38" s="1743">
        <f>VLOOKUP(25,$N$14:$Z$303,8,FALSE)</f>
        <v>230</v>
      </c>
      <c r="H38" s="175">
        <f>VLOOKUP(25,$N$14:$Z$303,9,FALSE)</f>
        <v>160</v>
      </c>
      <c r="I38" s="405">
        <f>VLOOKUP(25,$N$14:$Z$303,10,FALSE)</f>
        <v>0.7</v>
      </c>
      <c r="J38" s="468">
        <f>VLOOKUP(25,$N$14:$Z$303,11,FALSE)</f>
        <v>8</v>
      </c>
      <c r="K38" s="491">
        <f>VLOOKUP(25,$N$14:$Z$303,12,FALSE)</f>
        <v>600</v>
      </c>
      <c r="L38" s="1744">
        <f>VLOOKUP(25,$N$14:$Z$303,13,FALSE)</f>
        <v>8</v>
      </c>
      <c r="M38" s="1073">
        <f>VLOOKUP(25,$N$14:$AA$303,14,FALSE)</f>
        <v>1</v>
      </c>
      <c r="N38" s="1073">
        <f>IF($A$8=1,N37+1,0)</f>
        <v>25</v>
      </c>
      <c r="O38" s="1108" t="s">
        <v>1005</v>
      </c>
      <c r="P38" s="1528">
        <v>208000</v>
      </c>
      <c r="Q38" s="132">
        <v>42</v>
      </c>
      <c r="R38" s="133">
        <v>7</v>
      </c>
      <c r="S38" s="138">
        <v>308000</v>
      </c>
      <c r="T38" s="139">
        <v>4</v>
      </c>
      <c r="U38" s="140">
        <v>230</v>
      </c>
      <c r="V38" s="1108">
        <v>160</v>
      </c>
      <c r="W38" s="1653">
        <v>0.7</v>
      </c>
      <c r="X38" s="1654">
        <v>8</v>
      </c>
      <c r="Y38" s="1655">
        <v>600</v>
      </c>
      <c r="Z38" s="1656">
        <v>8</v>
      </c>
      <c r="AA38" s="1071">
        <f t="shared" ref="AA38:AA48" si="4">AA37</f>
        <v>1</v>
      </c>
      <c r="AB38" s="1107">
        <v>0.32</v>
      </c>
      <c r="AC38" s="1704">
        <v>2.1</v>
      </c>
      <c r="AD38" s="1705">
        <v>1.1100000000000001</v>
      </c>
      <c r="AE38" s="1706" t="s">
        <v>328</v>
      </c>
      <c r="AF38" s="1534"/>
      <c r="AG38" s="578">
        <f>VLOOKUP(25,$N$14:$AD$303,15,FALSE)</f>
        <v>0.32</v>
      </c>
      <c r="AH38" s="579">
        <f>VLOOKUP(25,$N$14:$AD$303,16,FALSE)</f>
        <v>2.1</v>
      </c>
      <c r="AI38" s="592">
        <f>VLOOKUP(25,$N$14:$AD$303,17,FALSE)</f>
        <v>1.1100000000000001</v>
      </c>
    </row>
    <row r="39" spans="1:35" ht="13.9" x14ac:dyDescent="0.4">
      <c r="A39" s="175" t="str">
        <f>VLOOKUP(26,$N$14:$O$303,2,FALSE)</f>
        <v>Liquid Fertilizer Applicator</v>
      </c>
      <c r="B39" s="1745">
        <f>VLOOKUP(26,$N$14:$Z$303,3,FALSE)</f>
        <v>19500</v>
      </c>
      <c r="C39" s="1740">
        <f>VLOOKUP(26,$N$14:$Z$303,4,FALSE)</f>
        <v>38</v>
      </c>
      <c r="D39" s="1746">
        <f>VLOOKUP(26,$N$14:$Z$303,5,FALSE)</f>
        <v>10</v>
      </c>
      <c r="E39" s="495">
        <f>VLOOKUP(26,$N$14:$Z$303,6,FALSE)</f>
        <v>308000</v>
      </c>
      <c r="F39" s="1742">
        <f>VLOOKUP(26,$N$14:$Z$303,7,FALSE)</f>
        <v>4</v>
      </c>
      <c r="G39" s="1743">
        <f>VLOOKUP(26,$N$14:$Z$303,8,FALSE)</f>
        <v>230</v>
      </c>
      <c r="H39" s="175">
        <f>VLOOKUP(26,$N$14:$Z$303,9,FALSE)</f>
        <v>120</v>
      </c>
      <c r="I39" s="405">
        <f>VLOOKUP(26,$N$14:$Z$303,10,FALSE)</f>
        <v>0.65</v>
      </c>
      <c r="J39" s="468">
        <f>VLOOKUP(26,$N$14:$Z$303,11,FALSE)</f>
        <v>8</v>
      </c>
      <c r="K39" s="491">
        <f>VLOOKUP(26,$N$14:$Z$303,12,FALSE)</f>
        <v>600</v>
      </c>
      <c r="L39" s="1744">
        <f>VLOOKUP(26,$N$14:$Z$303,13,FALSE)</f>
        <v>8</v>
      </c>
      <c r="M39" s="1073">
        <f>VLOOKUP(26,$N$14:$AA$303,14,FALSE)</f>
        <v>1</v>
      </c>
      <c r="N39" s="1073">
        <f>IF($A$8=1,N38+1,0)</f>
        <v>26</v>
      </c>
      <c r="O39" s="1108" t="s">
        <v>239</v>
      </c>
      <c r="P39" s="1528">
        <v>19500</v>
      </c>
      <c r="Q39" s="132">
        <v>38</v>
      </c>
      <c r="R39" s="133">
        <v>10</v>
      </c>
      <c r="S39" s="138">
        <v>308000</v>
      </c>
      <c r="T39" s="139">
        <v>4</v>
      </c>
      <c r="U39" s="140">
        <v>230</v>
      </c>
      <c r="V39" s="1108">
        <v>120</v>
      </c>
      <c r="W39" s="1653">
        <v>0.65</v>
      </c>
      <c r="X39" s="1654">
        <v>8</v>
      </c>
      <c r="Y39" s="1655">
        <v>600</v>
      </c>
      <c r="Z39" s="1656">
        <v>8</v>
      </c>
      <c r="AA39" s="1071">
        <f t="shared" si="4"/>
        <v>1</v>
      </c>
      <c r="AB39" s="1107">
        <v>0.41</v>
      </c>
      <c r="AC39" s="1704">
        <v>1.3</v>
      </c>
      <c r="AD39" s="1705">
        <v>1.33</v>
      </c>
      <c r="AE39" s="1706" t="s">
        <v>326</v>
      </c>
      <c r="AF39" s="1534"/>
      <c r="AG39" s="578">
        <f>VLOOKUP(26,$N$14:$AD$303,15,FALSE)</f>
        <v>0.41</v>
      </c>
      <c r="AH39" s="579">
        <f>VLOOKUP(26,$N$14:$AD$303,16,FALSE)</f>
        <v>1.3</v>
      </c>
      <c r="AI39" s="592">
        <f>VLOOKUP(26,$N$14:$AD$303,17,FALSE)</f>
        <v>1.33</v>
      </c>
    </row>
    <row r="40" spans="1:35" ht="13.9" x14ac:dyDescent="0.4">
      <c r="A40" s="175" t="str">
        <f>VLOOKUP(27,$N$14:$O$303,2,FALSE)</f>
        <v>Fertilizer, Knife Rig 12 Row</v>
      </c>
      <c r="B40" s="1745">
        <f>VLOOKUP(27,$N$14:$Z$303,3,FALSE)</f>
        <v>46000</v>
      </c>
      <c r="C40" s="1740">
        <f>VLOOKUP(27,$N$14:$Z$303,4,FALSE)</f>
        <v>38</v>
      </c>
      <c r="D40" s="1746">
        <f>VLOOKUP(27,$N$14:$Z$303,5,FALSE)</f>
        <v>7</v>
      </c>
      <c r="E40" s="495">
        <f>VLOOKUP(27,$N$14:$Z$303,6,FALSE)</f>
        <v>308000</v>
      </c>
      <c r="F40" s="1742">
        <f>VLOOKUP(27,$N$14:$Z$303,7,FALSE)</f>
        <v>4</v>
      </c>
      <c r="G40" s="1743">
        <f>VLOOKUP(27,$N$14:$Z$303,8,FALSE)</f>
        <v>230</v>
      </c>
      <c r="H40" s="175">
        <f>VLOOKUP(27,$N$14:$Z$303,9,FALSE)</f>
        <v>120</v>
      </c>
      <c r="I40" s="405">
        <f>VLOOKUP(27,$N$14:$Z$303,10,FALSE)</f>
        <v>0.65</v>
      </c>
      <c r="J40" s="468">
        <f>VLOOKUP(27,$N$14:$Z$303,11,FALSE)</f>
        <v>8</v>
      </c>
      <c r="K40" s="491">
        <f>VLOOKUP(27,$N$14:$Z$303,12,FALSE)</f>
        <v>600</v>
      </c>
      <c r="L40" s="1744">
        <f>VLOOKUP(27,$N$14:$Z$303,13,FALSE)</f>
        <v>8</v>
      </c>
      <c r="M40" s="1073">
        <f>VLOOKUP(27,$N$14:$AA$303,14,FALSE)</f>
        <v>1</v>
      </c>
      <c r="N40" s="1073">
        <f>IF($A$8=1,N39+1,0)</f>
        <v>27</v>
      </c>
      <c r="O40" s="1108" t="s">
        <v>960</v>
      </c>
      <c r="P40" s="1528">
        <v>46000</v>
      </c>
      <c r="Q40" s="132">
        <v>38</v>
      </c>
      <c r="R40" s="133">
        <v>7</v>
      </c>
      <c r="S40" s="138">
        <v>308000</v>
      </c>
      <c r="T40" s="139">
        <v>4</v>
      </c>
      <c r="U40" s="140">
        <v>230</v>
      </c>
      <c r="V40" s="1108">
        <v>120</v>
      </c>
      <c r="W40" s="1653">
        <v>0.65</v>
      </c>
      <c r="X40" s="1654">
        <v>8</v>
      </c>
      <c r="Y40" s="1655">
        <v>600</v>
      </c>
      <c r="Z40" s="1656">
        <v>8</v>
      </c>
      <c r="AA40" s="1071">
        <f t="shared" si="4"/>
        <v>1</v>
      </c>
      <c r="AB40" s="1107">
        <v>0.41</v>
      </c>
      <c r="AC40" s="1704">
        <v>1.3</v>
      </c>
      <c r="AD40" s="1705">
        <v>1.33</v>
      </c>
      <c r="AE40" s="1706" t="s">
        <v>324</v>
      </c>
      <c r="AF40" s="1534"/>
      <c r="AG40" s="578">
        <f>VLOOKUP(27,$N$14:$AD$303,15,FALSE)</f>
        <v>0.41</v>
      </c>
      <c r="AH40" s="579">
        <f>VLOOKUP(27,$N$14:$AD$303,16,FALSE)</f>
        <v>1.3</v>
      </c>
      <c r="AI40" s="592">
        <f>VLOOKUP(27,$N$14:$AD$303,17,FALSE)</f>
        <v>1.33</v>
      </c>
    </row>
    <row r="41" spans="1:35" ht="13.9" x14ac:dyDescent="0.4">
      <c r="A41" s="175" t="str">
        <f>VLOOKUP(28,$N$14:$O$303,2,FALSE)</f>
        <v>Polypipe; Roll Out, Punch, Take Up</v>
      </c>
      <c r="B41" s="1745">
        <f>VLOOKUP(28,$N$14:$Z$303,3,FALSE)</f>
        <v>8100</v>
      </c>
      <c r="C41" s="1917">
        <f>VLOOKUP(28,$N$14:$Z$303,4,FALSE)</f>
        <v>1</v>
      </c>
      <c r="D41" s="580">
        <f>VLOOKUP(28,$N$14:$Z$303,5,FALSE)</f>
        <v>2.5</v>
      </c>
      <c r="E41" s="495">
        <f>VLOOKUP(28,$N$14:$Z$303,6,FALSE)</f>
        <v>148000</v>
      </c>
      <c r="F41" s="1742">
        <f>VLOOKUP(28,$N$14:$Z$303,7,FALSE)</f>
        <v>4</v>
      </c>
      <c r="G41" s="1743">
        <f>VLOOKUP(28,$N$14:$Z$303,8,FALSE)</f>
        <v>175</v>
      </c>
      <c r="H41" s="175">
        <f>VLOOKUP(28,$N$14:$Z$303,9,FALSE)</f>
        <v>25</v>
      </c>
      <c r="I41" s="405">
        <f>VLOOKUP(28,$N$14:$Z$303,10,FALSE)</f>
        <v>0.95</v>
      </c>
      <c r="J41" s="468">
        <f>VLOOKUP(28,$N$14:$Z$303,11,FALSE)</f>
        <v>8</v>
      </c>
      <c r="K41" s="491">
        <f>VLOOKUP(28,$N$14:$Z$303,12,FALSE)</f>
        <v>600</v>
      </c>
      <c r="L41" s="1744">
        <f>VLOOKUP(28,$N$14:$Z$303,13,FALSE)</f>
        <v>8</v>
      </c>
      <c r="M41" s="1073">
        <f>VLOOKUP(28,$N$14:$AA$303,14,FALSE)</f>
        <v>1</v>
      </c>
      <c r="N41" s="1073">
        <f t="shared" ref="N41:N46" si="5">IF($A$8=1,N40+1,0)</f>
        <v>28</v>
      </c>
      <c r="O41" s="1108" t="s">
        <v>190</v>
      </c>
      <c r="P41" s="1528">
        <v>8100</v>
      </c>
      <c r="Q41" s="1918">
        <v>1</v>
      </c>
      <c r="R41" s="1721">
        <v>2.5</v>
      </c>
      <c r="S41" s="138">
        <v>148000</v>
      </c>
      <c r="T41" s="139">
        <v>4</v>
      </c>
      <c r="U41" s="140">
        <v>175</v>
      </c>
      <c r="V41" s="1108">
        <v>25</v>
      </c>
      <c r="W41" s="1653">
        <v>0.95</v>
      </c>
      <c r="X41" s="1654">
        <v>8</v>
      </c>
      <c r="Y41" s="1655">
        <v>600</v>
      </c>
      <c r="Z41" s="1656">
        <v>8</v>
      </c>
      <c r="AA41" s="1071">
        <f t="shared" si="4"/>
        <v>1</v>
      </c>
      <c r="AB41" s="1107">
        <v>0.16</v>
      </c>
      <c r="AC41" s="1704">
        <v>1.3</v>
      </c>
      <c r="AD41" s="1705">
        <v>3.12</v>
      </c>
      <c r="AE41" s="1706" t="s">
        <v>327</v>
      </c>
      <c r="AF41" s="1534"/>
      <c r="AG41" s="578">
        <f>VLOOKUP(28,$N$14:$AD$303,15,FALSE)</f>
        <v>0.16</v>
      </c>
      <c r="AH41" s="579">
        <f>VLOOKUP(28,$N$14:$AD$303,16,FALSE)</f>
        <v>1.3</v>
      </c>
      <c r="AI41" s="592">
        <f>VLOOKUP(28,$N$14:$AD$303,17,FALSE)</f>
        <v>3.12</v>
      </c>
    </row>
    <row r="42" spans="1:35" ht="13.9" x14ac:dyDescent="0.4">
      <c r="A42" s="175" t="str">
        <f>VLOOKUP(29,$N$14:$O$303,2,FALSE)</f>
        <v>Hooded Sprayer</v>
      </c>
      <c r="B42" s="1745">
        <f>VLOOKUP(29,$N$14:$Z$303,3,FALSE)</f>
        <v>25100</v>
      </c>
      <c r="C42" s="1740">
        <f>VLOOKUP(29,$N$14:$Z$303,4,FALSE)</f>
        <v>38</v>
      </c>
      <c r="D42" s="1746">
        <f>VLOOKUP(29,$N$14:$Z$303,5,FALSE)</f>
        <v>7</v>
      </c>
      <c r="E42" s="495">
        <f>VLOOKUP(29,$N$14:$Z$303,6,FALSE)</f>
        <v>148000</v>
      </c>
      <c r="F42" s="1742">
        <f>VLOOKUP(29,$N$14:$Z$303,7,FALSE)</f>
        <v>4</v>
      </c>
      <c r="G42" s="1743">
        <f>VLOOKUP(29,$N$14:$Z$303,8,FALSE)</f>
        <v>175</v>
      </c>
      <c r="H42" s="175">
        <f>VLOOKUP(29,$N$14:$Z$303,9,FALSE)</f>
        <v>120</v>
      </c>
      <c r="I42" s="405">
        <f>VLOOKUP(29,$N$14:$Z$303,10,FALSE)</f>
        <v>0.65</v>
      </c>
      <c r="J42" s="468">
        <f>VLOOKUP(29,$N$14:$Z$303,11,FALSE)</f>
        <v>8</v>
      </c>
      <c r="K42" s="491">
        <f>VLOOKUP(29,$N$14:$Z$303,12,FALSE)</f>
        <v>600</v>
      </c>
      <c r="L42" s="1744">
        <f>VLOOKUP(29,$N$14:$Z$303,13,FALSE)</f>
        <v>8</v>
      </c>
      <c r="M42" s="1073">
        <f>VLOOKUP(29,$N$14:$AA$303,14,FALSE)</f>
        <v>1</v>
      </c>
      <c r="N42" s="1073">
        <f t="shared" si="5"/>
        <v>29</v>
      </c>
      <c r="O42" s="1108" t="s">
        <v>89</v>
      </c>
      <c r="P42" s="1528">
        <v>25100</v>
      </c>
      <c r="Q42" s="132">
        <v>38</v>
      </c>
      <c r="R42" s="133">
        <v>7</v>
      </c>
      <c r="S42" s="138">
        <v>148000</v>
      </c>
      <c r="T42" s="139">
        <v>4</v>
      </c>
      <c r="U42" s="140">
        <v>175</v>
      </c>
      <c r="V42" s="1108">
        <v>120</v>
      </c>
      <c r="W42" s="1653">
        <v>0.65</v>
      </c>
      <c r="X42" s="1654">
        <v>8</v>
      </c>
      <c r="Y42" s="1655">
        <v>600</v>
      </c>
      <c r="Z42" s="1656">
        <v>8</v>
      </c>
      <c r="AA42" s="1071">
        <f t="shared" si="4"/>
        <v>1</v>
      </c>
      <c r="AB42" s="1107">
        <v>0.41</v>
      </c>
      <c r="AC42" s="1704">
        <v>1.3</v>
      </c>
      <c r="AD42" s="1705">
        <v>1.04</v>
      </c>
      <c r="AE42" s="1706" t="s">
        <v>326</v>
      </c>
      <c r="AF42" s="1534"/>
      <c r="AG42" s="578">
        <f>VLOOKUP(29,$N$14:$AD$303,15,FALSE)</f>
        <v>0.41</v>
      </c>
      <c r="AH42" s="579">
        <f>VLOOKUP(29,$N$14:$AD$303,16,FALSE)</f>
        <v>1.3</v>
      </c>
      <c r="AI42" s="592">
        <f>VLOOKUP(29,$N$14:$AD$303,17,FALSE)</f>
        <v>1.04</v>
      </c>
    </row>
    <row r="43" spans="1:35" ht="13.9" x14ac:dyDescent="0.4">
      <c r="A43" s="175" t="str">
        <f>VLOOKUP(30,$N$14:$O$303,2,FALSE)</f>
        <v>Levee Pull</v>
      </c>
      <c r="B43" s="1745">
        <f>VLOOKUP(30,$N$14:$Z$303,3,FALSE)</f>
        <v>8760</v>
      </c>
      <c r="C43" s="1917">
        <f>VLOOKUP(30,$N$14:$Z$303,4,FALSE)</f>
        <v>1</v>
      </c>
      <c r="D43" s="580">
        <f>VLOOKUP(30,$N$14:$Z$303,5,FALSE)</f>
        <v>2.5</v>
      </c>
      <c r="E43" s="495">
        <f>VLOOKUP(30,$N$14:$Z$303,6,FALSE)</f>
        <v>148000</v>
      </c>
      <c r="F43" s="1742">
        <f>VLOOKUP(30,$N$14:$Z$303,7,FALSE)</f>
        <v>4</v>
      </c>
      <c r="G43" s="1743">
        <f>VLOOKUP(30,$N$14:$Z$303,8,FALSE)</f>
        <v>175</v>
      </c>
      <c r="H43" s="175">
        <f>VLOOKUP(30,$N$14:$Z$303,9,FALSE)</f>
        <v>100</v>
      </c>
      <c r="I43" s="405">
        <f>VLOOKUP(30,$N$14:$Z$303,10,FALSE)</f>
        <v>0.25</v>
      </c>
      <c r="J43" s="468">
        <f>VLOOKUP(30,$N$14:$Z$303,11,FALSE)</f>
        <v>8</v>
      </c>
      <c r="K43" s="491">
        <f>VLOOKUP(30,$N$14:$Z$303,12,FALSE)</f>
        <v>600</v>
      </c>
      <c r="L43" s="1744">
        <f>VLOOKUP(30,$N$14:$Z$303,13,FALSE)</f>
        <v>8</v>
      </c>
      <c r="M43" s="1073">
        <f>VLOOKUP(30,$N$14:$AA$303,14,FALSE)</f>
        <v>1</v>
      </c>
      <c r="N43" s="1073">
        <f t="shared" si="5"/>
        <v>30</v>
      </c>
      <c r="O43" s="1108" t="s">
        <v>152</v>
      </c>
      <c r="P43" s="1528">
        <v>8760</v>
      </c>
      <c r="Q43" s="1918">
        <v>1</v>
      </c>
      <c r="R43" s="1721">
        <v>2.5</v>
      </c>
      <c r="S43" s="138">
        <v>148000</v>
      </c>
      <c r="T43" s="139">
        <v>4</v>
      </c>
      <c r="U43" s="140">
        <v>175</v>
      </c>
      <c r="V43" s="1108">
        <v>100</v>
      </c>
      <c r="W43" s="1653">
        <v>0.25</v>
      </c>
      <c r="X43" s="1654">
        <v>8</v>
      </c>
      <c r="Y43" s="1655">
        <v>600</v>
      </c>
      <c r="Z43" s="1656">
        <v>8</v>
      </c>
      <c r="AA43" s="1071">
        <f t="shared" si="4"/>
        <v>1</v>
      </c>
      <c r="AB43" s="1107">
        <v>0.28000000000000003</v>
      </c>
      <c r="AC43" s="1704">
        <v>1.4</v>
      </c>
      <c r="AD43" s="1705">
        <v>1.04</v>
      </c>
      <c r="AE43" s="1706" t="s">
        <v>324</v>
      </c>
      <c r="AF43" s="1534"/>
      <c r="AG43" s="578">
        <f>VLOOKUP(30,$N$14:$AD$303,15,FALSE)</f>
        <v>0.28000000000000003</v>
      </c>
      <c r="AH43" s="579">
        <f>VLOOKUP(30,$N$14:$AD$303,16,FALSE)</f>
        <v>1.4</v>
      </c>
      <c r="AI43" s="592">
        <f>VLOOKUP(30,$N$14:$AD$303,17,FALSE)</f>
        <v>1.04</v>
      </c>
    </row>
    <row r="44" spans="1:35" ht="13.9" x14ac:dyDescent="0.4">
      <c r="A44" s="175" t="str">
        <f>VLOOKUP(31,$N$14:$O$303,2,FALSE)</f>
        <v>Levee Pull, Planter/Incorporate</v>
      </c>
      <c r="B44" s="1745">
        <f>VLOOKUP(31,$N$14:$Z$303,3,FALSE)</f>
        <v>12000</v>
      </c>
      <c r="C44" s="1917">
        <f>VLOOKUP(31,$N$14:$Z$303,4,FALSE)</f>
        <v>1</v>
      </c>
      <c r="D44" s="580">
        <f>VLOOKUP(31,$N$14:$Z$303,5,FALSE)</f>
        <v>2.5</v>
      </c>
      <c r="E44" s="495">
        <f>VLOOKUP(31,$N$14:$Z$303,6,FALSE)</f>
        <v>148000</v>
      </c>
      <c r="F44" s="1742">
        <f>VLOOKUP(31,$N$14:$Z$303,7,FALSE)</f>
        <v>4</v>
      </c>
      <c r="G44" s="1743">
        <f>VLOOKUP(31,$N$14:$Z$303,8,FALSE)</f>
        <v>175</v>
      </c>
      <c r="H44" s="175">
        <f>VLOOKUP(31,$N$14:$Z$303,9,FALSE)</f>
        <v>100</v>
      </c>
      <c r="I44" s="405">
        <f>VLOOKUP(31,$N$14:$Z$303,10,FALSE)</f>
        <v>0.23</v>
      </c>
      <c r="J44" s="468">
        <f>VLOOKUP(31,$N$14:$Z$303,11,FALSE)</f>
        <v>8</v>
      </c>
      <c r="K44" s="491">
        <f>VLOOKUP(31,$N$14:$Z$303,12,FALSE)</f>
        <v>600</v>
      </c>
      <c r="L44" s="1744">
        <f>VLOOKUP(31,$N$14:$Z$303,13,FALSE)</f>
        <v>8</v>
      </c>
      <c r="M44" s="1073">
        <f>VLOOKUP(31,$N$14:$AA$303,14,FALSE)</f>
        <v>1</v>
      </c>
      <c r="N44" s="1073">
        <f t="shared" si="5"/>
        <v>31</v>
      </c>
      <c r="O44" s="1108" t="s">
        <v>407</v>
      </c>
      <c r="P44" s="1528">
        <v>12000</v>
      </c>
      <c r="Q44" s="1918">
        <v>1</v>
      </c>
      <c r="R44" s="1721">
        <v>2.5</v>
      </c>
      <c r="S44" s="138">
        <v>148000</v>
      </c>
      <c r="T44" s="139">
        <v>4</v>
      </c>
      <c r="U44" s="140">
        <v>175</v>
      </c>
      <c r="V44" s="1108">
        <v>100</v>
      </c>
      <c r="W44" s="1653">
        <v>0.23</v>
      </c>
      <c r="X44" s="1654">
        <v>8</v>
      </c>
      <c r="Y44" s="1655">
        <v>600</v>
      </c>
      <c r="Z44" s="1656">
        <v>8</v>
      </c>
      <c r="AA44" s="1071">
        <f t="shared" si="4"/>
        <v>1</v>
      </c>
      <c r="AB44" s="1107">
        <v>0.28000000000000003</v>
      </c>
      <c r="AC44" s="1704">
        <v>1.4</v>
      </c>
      <c r="AD44" s="1705">
        <v>1.04</v>
      </c>
      <c r="AE44" s="1706" t="s">
        <v>324</v>
      </c>
      <c r="AF44" s="1534"/>
      <c r="AG44" s="578">
        <f>VLOOKUP(31,$N$14:$AD$303,15,FALSE)</f>
        <v>0.28000000000000003</v>
      </c>
      <c r="AH44" s="579">
        <f>VLOOKUP(31,$N$14:$AD$303,16,FALSE)</f>
        <v>1.4</v>
      </c>
      <c r="AI44" s="592">
        <f>VLOOKUP(31,$N$14:$AD$303,17,FALSE)</f>
        <v>1.04</v>
      </c>
    </row>
    <row r="45" spans="1:35" ht="13.9" x14ac:dyDescent="0.4">
      <c r="A45" s="175" t="str">
        <f>VLOOKUP(32,$N$14:$O$303,2,FALSE)</f>
        <v>Levee Roller-Packer-Shaper</v>
      </c>
      <c r="B45" s="1745">
        <f>VLOOKUP(32,$N$14:$Z$303,3,FALSE)</f>
        <v>6190</v>
      </c>
      <c r="C45" s="1917">
        <f>VLOOKUP(32,$N$14:$Z$303,4,FALSE)</f>
        <v>1</v>
      </c>
      <c r="D45" s="580">
        <f>VLOOKUP(32,$N$14:$Z$303,5,FALSE)</f>
        <v>2.5</v>
      </c>
      <c r="E45" s="495">
        <f>VLOOKUP(32,$N$14:$Z$303,6,FALSE)</f>
        <v>148000</v>
      </c>
      <c r="F45" s="1742">
        <f>VLOOKUP(32,$N$14:$Z$303,7,FALSE)</f>
        <v>4</v>
      </c>
      <c r="G45" s="1743">
        <f>VLOOKUP(32,$N$14:$Z$303,8,FALSE)</f>
        <v>175</v>
      </c>
      <c r="H45" s="175">
        <f>VLOOKUP(32,$N$14:$Z$303,9,FALSE)</f>
        <v>100</v>
      </c>
      <c r="I45" s="405">
        <f>VLOOKUP(32,$N$14:$Z$303,10,FALSE)</f>
        <v>0.5</v>
      </c>
      <c r="J45" s="468">
        <f>VLOOKUP(32,$N$14:$Z$303,11,FALSE)</f>
        <v>8</v>
      </c>
      <c r="K45" s="491">
        <f>VLOOKUP(32,$N$14:$Z$303,12,FALSE)</f>
        <v>600</v>
      </c>
      <c r="L45" s="1744">
        <f>VLOOKUP(32,$N$14:$Z$303,13,FALSE)</f>
        <v>8</v>
      </c>
      <c r="M45" s="1073">
        <f>VLOOKUP(32,$N$14:$AA$303,14,FALSE)</f>
        <v>1</v>
      </c>
      <c r="N45" s="1073">
        <f t="shared" si="5"/>
        <v>32</v>
      </c>
      <c r="O45" s="1108" t="s">
        <v>261</v>
      </c>
      <c r="P45" s="1528">
        <v>6190</v>
      </c>
      <c r="Q45" s="1918">
        <v>1</v>
      </c>
      <c r="R45" s="1721">
        <v>2.5</v>
      </c>
      <c r="S45" s="138">
        <v>148000</v>
      </c>
      <c r="T45" s="139">
        <v>4</v>
      </c>
      <c r="U45" s="140">
        <v>175</v>
      </c>
      <c r="V45" s="1108">
        <v>100</v>
      </c>
      <c r="W45" s="1653">
        <v>0.5</v>
      </c>
      <c r="X45" s="1654">
        <v>8</v>
      </c>
      <c r="Y45" s="1655">
        <v>600</v>
      </c>
      <c r="Z45" s="1656">
        <v>8</v>
      </c>
      <c r="AA45" s="1071">
        <f t="shared" si="4"/>
        <v>1</v>
      </c>
      <c r="AB45" s="1107">
        <v>0.28000000000000003</v>
      </c>
      <c r="AC45" s="1704">
        <v>1.4</v>
      </c>
      <c r="AD45" s="1705">
        <v>1.04</v>
      </c>
      <c r="AE45" s="1706" t="s">
        <v>324</v>
      </c>
      <c r="AF45" s="1534"/>
      <c r="AG45" s="578">
        <f>VLOOKUP(32,$N$14:$AD$303,15,FALSE)</f>
        <v>0.28000000000000003</v>
      </c>
      <c r="AH45" s="579">
        <f>VLOOKUP(32,$N$14:$AD$303,16,FALSE)</f>
        <v>1.4</v>
      </c>
      <c r="AI45" s="592">
        <f>VLOOKUP(32,$N$14:$AD$303,17,FALSE)</f>
        <v>1.04</v>
      </c>
    </row>
    <row r="46" spans="1:35" ht="13.9" x14ac:dyDescent="0.4">
      <c r="A46" s="175" t="str">
        <f>VLOOKUP(33,$N$14:$O$303,2,FALSE)</f>
        <v>Install Gates &amp; Remove</v>
      </c>
      <c r="B46" s="1745">
        <f>VLOOKUP(33,$N$14:$Z$303,3,FALSE)</f>
        <v>3860</v>
      </c>
      <c r="C46" s="1917">
        <f>VLOOKUP(33,$N$14:$Z$303,4,FALSE)</f>
        <v>1</v>
      </c>
      <c r="D46" s="580">
        <f>VLOOKUP(33,$N$14:$Z$303,5,FALSE)</f>
        <v>2.5</v>
      </c>
      <c r="E46" s="495">
        <f>VLOOKUP(33,$N$14:$Z$303,6,FALSE)</f>
        <v>148000</v>
      </c>
      <c r="F46" s="1742">
        <f>VLOOKUP(33,$N$14:$Z$303,7,FALSE)</f>
        <v>4</v>
      </c>
      <c r="G46" s="1743">
        <f>VLOOKUP(33,$N$14:$Z$303,8,FALSE)</f>
        <v>175</v>
      </c>
      <c r="H46" s="175">
        <f>VLOOKUP(33,$N$14:$Z$303,9,FALSE)</f>
        <v>100</v>
      </c>
      <c r="I46" s="405">
        <f>VLOOKUP(33,$N$14:$Z$303,10,FALSE)</f>
        <v>0.25</v>
      </c>
      <c r="J46" s="468">
        <f>VLOOKUP(33,$N$14:$Z$303,11,FALSE)</f>
        <v>8</v>
      </c>
      <c r="K46" s="491">
        <f>VLOOKUP(33,$N$14:$Z$303,12,FALSE)</f>
        <v>600</v>
      </c>
      <c r="L46" s="1744">
        <f>VLOOKUP(33,$N$14:$Z$303,13,FALSE)</f>
        <v>8</v>
      </c>
      <c r="M46" s="1073">
        <f>VLOOKUP(33,$N$14:$AA$303,14,FALSE)</f>
        <v>1</v>
      </c>
      <c r="N46" s="1073">
        <f t="shared" si="5"/>
        <v>33</v>
      </c>
      <c r="O46" s="1108" t="s">
        <v>619</v>
      </c>
      <c r="P46" s="1528">
        <v>3860</v>
      </c>
      <c r="Q46" s="1918">
        <v>1</v>
      </c>
      <c r="R46" s="1721">
        <v>2.5</v>
      </c>
      <c r="S46" s="138">
        <v>148000</v>
      </c>
      <c r="T46" s="139">
        <v>4</v>
      </c>
      <c r="U46" s="140">
        <v>175</v>
      </c>
      <c r="V46" s="1108">
        <v>100</v>
      </c>
      <c r="W46" s="1653">
        <v>0.25</v>
      </c>
      <c r="X46" s="1654">
        <v>8</v>
      </c>
      <c r="Y46" s="1655">
        <v>600</v>
      </c>
      <c r="Z46" s="1656">
        <v>8</v>
      </c>
      <c r="AA46" s="1071">
        <f t="shared" si="4"/>
        <v>1</v>
      </c>
      <c r="AB46" s="1107">
        <v>0.18</v>
      </c>
      <c r="AC46" s="1704">
        <v>1.7</v>
      </c>
      <c r="AD46" s="1705">
        <v>3.12</v>
      </c>
      <c r="AE46" s="1706" t="s">
        <v>324</v>
      </c>
      <c r="AF46" s="1534"/>
      <c r="AG46" s="578">
        <f>VLOOKUP(33,$N$14:$AD$303,15,FALSE)</f>
        <v>0.18</v>
      </c>
      <c r="AH46" s="579">
        <f>VLOOKUP(33,$N$14:$AD$303,16,FALSE)</f>
        <v>1.7</v>
      </c>
      <c r="AI46" s="592">
        <f>VLOOKUP(33,$N$14:$AD$303,17,FALSE)</f>
        <v>3.12</v>
      </c>
    </row>
    <row r="47" spans="1:35" ht="13.9" x14ac:dyDescent="0.4">
      <c r="A47" s="175" t="str">
        <f>VLOOKUP(34,$N$14:$O$303,2,FALSE)</f>
        <v>Take Down Levees</v>
      </c>
      <c r="B47" s="1745">
        <f>VLOOKUP(34,$N$14:$Z$303,3,FALSE)</f>
        <v>8270</v>
      </c>
      <c r="C47" s="1919">
        <f>VLOOKUP(34,$N$14:$Z$303,4,FALSE)</f>
        <v>1</v>
      </c>
      <c r="D47" s="1920">
        <f>VLOOKUP(34,$N$14:$Z$303,5,FALSE)</f>
        <v>2.5</v>
      </c>
      <c r="E47" s="1745">
        <f>VLOOKUP(34,$N$14:$Z$303,6,FALSE)</f>
        <v>148000</v>
      </c>
      <c r="F47" s="1742">
        <f>VLOOKUP(34,$N$14:$Z$303,7,FALSE)</f>
        <v>4</v>
      </c>
      <c r="G47" s="1747">
        <f>VLOOKUP(34,$N$14:$Z$303,8,FALSE)</f>
        <v>175</v>
      </c>
      <c r="H47" s="175">
        <f>VLOOKUP(34,$N$14:$Z$303,9,FALSE)</f>
        <v>100</v>
      </c>
      <c r="I47" s="405">
        <f>VLOOKUP(34,$N$14:$Z$303,10,FALSE)</f>
        <v>0.25</v>
      </c>
      <c r="J47" s="468">
        <f>VLOOKUP(34,$N$14:$Z$303,11,FALSE)</f>
        <v>8</v>
      </c>
      <c r="K47" s="491">
        <f>VLOOKUP(34,$N$14:$Z$303,12,FALSE)</f>
        <v>600</v>
      </c>
      <c r="L47" s="1744">
        <f>VLOOKUP(34,$N$14:$Z$303,13,FALSE)</f>
        <v>8</v>
      </c>
      <c r="M47" s="1073">
        <f>VLOOKUP(34,$N$14:$AA$303,14,FALSE)</f>
        <v>1</v>
      </c>
      <c r="N47" s="1073">
        <f>IF($A$8=1,N46+1,0)</f>
        <v>34</v>
      </c>
      <c r="O47" s="1108" t="s">
        <v>879</v>
      </c>
      <c r="P47" s="1528">
        <v>8270</v>
      </c>
      <c r="Q47" s="1921">
        <v>1</v>
      </c>
      <c r="R47" s="1922">
        <v>2.5</v>
      </c>
      <c r="S47" s="141">
        <v>148000</v>
      </c>
      <c r="T47" s="139">
        <v>4</v>
      </c>
      <c r="U47" s="142">
        <v>175</v>
      </c>
      <c r="V47" s="1108">
        <v>100</v>
      </c>
      <c r="W47" s="1653">
        <v>0.25</v>
      </c>
      <c r="X47" s="1654">
        <v>8</v>
      </c>
      <c r="Y47" s="1655">
        <v>600</v>
      </c>
      <c r="Z47" s="1656">
        <v>8</v>
      </c>
      <c r="AA47" s="1071">
        <f t="shared" si="4"/>
        <v>1</v>
      </c>
      <c r="AB47" s="1107">
        <v>0.28000000000000003</v>
      </c>
      <c r="AC47" s="1704">
        <v>1.4</v>
      </c>
      <c r="AD47" s="1705">
        <v>1.04</v>
      </c>
      <c r="AE47" s="1706" t="s">
        <v>324</v>
      </c>
      <c r="AF47" s="1534"/>
      <c r="AG47" s="578">
        <f>VLOOKUP(34,$N$14:$AD$303,15,FALSE)</f>
        <v>0.28000000000000003</v>
      </c>
      <c r="AH47" s="579">
        <f>VLOOKUP(34,$N$14:$AD$303,16,FALSE)</f>
        <v>1.4</v>
      </c>
      <c r="AI47" s="592">
        <f>VLOOKUP(34,$N$14:$AD$303,17,FALSE)</f>
        <v>1.04</v>
      </c>
    </row>
    <row r="48" spans="1:35" ht="13.9" x14ac:dyDescent="0.4">
      <c r="A48" s="175" t="str">
        <f>VLOOKUP(35,$N$14:$O$303,2,FALSE)</f>
        <v>Peanut Digger/Inverter</v>
      </c>
      <c r="B48" s="1748">
        <f>VLOOKUP(35,$N$14:$Z$303,3,FALSE)</f>
        <v>48000</v>
      </c>
      <c r="C48" s="1740">
        <f>VLOOKUP(35,$N$14:$Z$303,4,FALSE)</f>
        <v>19</v>
      </c>
      <c r="D48" s="1746">
        <f>VLOOKUP(35,$N$14:$Z$303,5,FALSE)</f>
        <v>3</v>
      </c>
      <c r="E48" s="495">
        <f>VLOOKUP(35,$N$14:$Z$303,6,FALSE)</f>
        <v>248000</v>
      </c>
      <c r="F48" s="1742">
        <f>VLOOKUP(35,$N$14:$Z$303,7,FALSE)</f>
        <v>4</v>
      </c>
      <c r="G48" s="1743">
        <f>VLOOKUP(35,$N$14:$Z$303,8,FALSE)</f>
        <v>195</v>
      </c>
      <c r="H48" s="175">
        <f>VLOOKUP(35,$N$14:$Z$303,9,FALSE)</f>
        <v>200</v>
      </c>
      <c r="I48" s="405">
        <f>VLOOKUP(35,$N$14:$Z$303,10,FALSE)</f>
        <v>0.65</v>
      </c>
      <c r="J48" s="468">
        <f>VLOOKUP(35,$N$14:$Z$303,11,FALSE)</f>
        <v>8</v>
      </c>
      <c r="K48" s="491">
        <f>VLOOKUP(35,$N$14:$Z$303,12,FALSE)</f>
        <v>600</v>
      </c>
      <c r="L48" s="1744">
        <f>VLOOKUP(35,$N$14:$Z$303,13,FALSE)</f>
        <v>8</v>
      </c>
      <c r="M48" s="1073">
        <f>VLOOKUP(35,$N$14:$AA$303,14,FALSE)</f>
        <v>1</v>
      </c>
      <c r="N48" s="1073">
        <f t="shared" ref="N48:N54" si="6">IF($A$8=1,N47+1,0)</f>
        <v>35</v>
      </c>
      <c r="O48" s="1108" t="s">
        <v>433</v>
      </c>
      <c r="P48" s="1528">
        <v>48000</v>
      </c>
      <c r="Q48" s="132">
        <v>19</v>
      </c>
      <c r="R48" s="133">
        <v>3</v>
      </c>
      <c r="S48" s="138">
        <v>248000</v>
      </c>
      <c r="T48" s="139">
        <v>4</v>
      </c>
      <c r="U48" s="140">
        <v>195</v>
      </c>
      <c r="V48" s="1108">
        <v>200</v>
      </c>
      <c r="W48" s="1653">
        <v>0.65</v>
      </c>
      <c r="X48" s="1654">
        <v>8</v>
      </c>
      <c r="Y48" s="1655">
        <v>600</v>
      </c>
      <c r="Z48" s="1656">
        <v>8</v>
      </c>
      <c r="AA48" s="1071">
        <f t="shared" si="4"/>
        <v>1</v>
      </c>
      <c r="AB48" s="1107">
        <v>0.28000000000000003</v>
      </c>
      <c r="AC48" s="1704">
        <v>1.4</v>
      </c>
      <c r="AD48" s="1705">
        <v>1.04</v>
      </c>
      <c r="AE48" s="1706" t="s">
        <v>324</v>
      </c>
      <c r="AF48" s="1534"/>
      <c r="AG48" s="578">
        <f>VLOOKUP(35,$N$14:$AD$303,15,FALSE)</f>
        <v>0.28000000000000003</v>
      </c>
      <c r="AH48" s="579">
        <f>VLOOKUP(35,$N$14:$AD$303,16,FALSE)</f>
        <v>1.4</v>
      </c>
      <c r="AI48" s="592">
        <f>VLOOKUP(35,$N$14:$AD$303,17,FALSE)</f>
        <v>1.04</v>
      </c>
    </row>
    <row r="49" spans="1:35" ht="13.9" x14ac:dyDescent="0.4">
      <c r="A49" s="175" t="str">
        <f>VLOOKUP(36,$N$14:$O$303,2,FALSE)</f>
        <v>Peanut Conditioner</v>
      </c>
      <c r="B49" s="1748">
        <f>VLOOKUP(36,$N$14:$Z$303,3,FALSE)</f>
        <v>18900</v>
      </c>
      <c r="C49" s="1740">
        <f>VLOOKUP(36,$N$14:$Z$303,4,FALSE)</f>
        <v>19</v>
      </c>
      <c r="D49" s="1746">
        <f>VLOOKUP(36,$N$14:$Z$303,5,FALSE)</f>
        <v>3</v>
      </c>
      <c r="E49" s="495">
        <f>VLOOKUP(36,$N$14:$Z$303,6,FALSE)</f>
        <v>248000</v>
      </c>
      <c r="F49" s="1742">
        <f>VLOOKUP(36,$N$14:$Z$303,7,FALSE)</f>
        <v>4</v>
      </c>
      <c r="G49" s="1743">
        <f>VLOOKUP(36,$N$14:$Z$303,8,FALSE)</f>
        <v>195</v>
      </c>
      <c r="H49" s="175">
        <f>VLOOKUP(36,$N$14:$Z$303,9,FALSE)</f>
        <v>200</v>
      </c>
      <c r="I49" s="405">
        <f>VLOOKUP(36,$N$14:$Z$303,10,FALSE)</f>
        <v>0.65</v>
      </c>
      <c r="J49" s="468">
        <f>VLOOKUP(36,$N$14:$Z$303,11,FALSE)</f>
        <v>8</v>
      </c>
      <c r="K49" s="491">
        <f>VLOOKUP(36,$N$14:$Z$303,12,FALSE)</f>
        <v>600</v>
      </c>
      <c r="L49" s="1744">
        <f>VLOOKUP(36,$N$14:$Z$303,13,FALSE)</f>
        <v>8</v>
      </c>
      <c r="M49" s="1073">
        <f>VLOOKUP(36,$N$14:$AA$303,14,FALSE)</f>
        <v>1</v>
      </c>
      <c r="N49" s="1073">
        <f t="shared" si="6"/>
        <v>36</v>
      </c>
      <c r="O49" s="1108" t="s">
        <v>436</v>
      </c>
      <c r="P49" s="1528">
        <v>18900</v>
      </c>
      <c r="Q49" s="132">
        <v>19</v>
      </c>
      <c r="R49" s="133">
        <v>3</v>
      </c>
      <c r="S49" s="138">
        <v>248000</v>
      </c>
      <c r="T49" s="139">
        <v>4</v>
      </c>
      <c r="U49" s="140">
        <v>195</v>
      </c>
      <c r="V49" s="1108">
        <v>200</v>
      </c>
      <c r="W49" s="1653">
        <v>0.65</v>
      </c>
      <c r="X49" s="1654">
        <v>8</v>
      </c>
      <c r="Y49" s="1655">
        <v>600</v>
      </c>
      <c r="Z49" s="1656">
        <v>8</v>
      </c>
      <c r="AA49" s="1071">
        <f t="shared" ref="AA49:AA54" si="7">AA48</f>
        <v>1</v>
      </c>
      <c r="AB49" s="1107">
        <v>0.27</v>
      </c>
      <c r="AC49" s="1704">
        <v>1.4</v>
      </c>
      <c r="AD49" s="1705">
        <v>1.04</v>
      </c>
      <c r="AE49" s="1706" t="s">
        <v>324</v>
      </c>
      <c r="AF49" s="1534"/>
      <c r="AG49" s="578">
        <f>VLOOKUP(36,$N$14:$AD$303,15,FALSE)</f>
        <v>0.27</v>
      </c>
      <c r="AH49" s="579">
        <f>VLOOKUP(36,$N$14:$AD$303,16,FALSE)</f>
        <v>1.4</v>
      </c>
      <c r="AI49" s="592">
        <f>VLOOKUP(36,$N$14:$AD$303,17,FALSE)</f>
        <v>1.04</v>
      </c>
    </row>
    <row r="50" spans="1:35" ht="13.9" x14ac:dyDescent="0.4">
      <c r="A50" s="175" t="str">
        <f>VLOOKUP(37,$N$14:$O$303,2,FALSE)</f>
        <v>Peanut Conditiner &amp; Lifter</v>
      </c>
      <c r="B50" s="1748">
        <f>VLOOKUP(37,$N$14:$Z$303,3,FALSE)</f>
        <v>15600</v>
      </c>
      <c r="C50" s="1740">
        <f>VLOOKUP(37,$N$14:$Z$303,4,FALSE)</f>
        <v>19</v>
      </c>
      <c r="D50" s="1746">
        <f>VLOOKUP(37,$N$14:$Z$303,5,FALSE)</f>
        <v>3</v>
      </c>
      <c r="E50" s="495">
        <f>VLOOKUP(37,$N$14:$Z$303,6,FALSE)</f>
        <v>248000</v>
      </c>
      <c r="F50" s="1742">
        <f>VLOOKUP(37,$N$14:$Z$303,7,FALSE)</f>
        <v>4</v>
      </c>
      <c r="G50" s="1743">
        <f>VLOOKUP(37,$N$14:$Z$303,8,FALSE)</f>
        <v>195</v>
      </c>
      <c r="H50" s="175">
        <f>VLOOKUP(37,$N$14:$Z$303,9,FALSE)</f>
        <v>200</v>
      </c>
      <c r="I50" s="405">
        <f>VLOOKUP(37,$N$14:$Z$303,10,FALSE)</f>
        <v>0.65</v>
      </c>
      <c r="J50" s="468">
        <f>VLOOKUP(37,$N$14:$Z$303,11,FALSE)</f>
        <v>8</v>
      </c>
      <c r="K50" s="491">
        <f>VLOOKUP(37,$N$14:$Z$303,12,FALSE)</f>
        <v>600</v>
      </c>
      <c r="L50" s="1744">
        <f>VLOOKUP(37,$N$14:$Z$303,13,FALSE)</f>
        <v>8</v>
      </c>
      <c r="M50" s="1073">
        <f>VLOOKUP(37,$N$14:$AA$303,14,FALSE)</f>
        <v>1</v>
      </c>
      <c r="N50" s="1073">
        <f t="shared" si="6"/>
        <v>37</v>
      </c>
      <c r="O50" s="1108" t="s">
        <v>519</v>
      </c>
      <c r="P50" s="1528">
        <v>15600</v>
      </c>
      <c r="Q50" s="132">
        <v>19</v>
      </c>
      <c r="R50" s="133">
        <v>3</v>
      </c>
      <c r="S50" s="138">
        <v>248000</v>
      </c>
      <c r="T50" s="139">
        <v>4</v>
      </c>
      <c r="U50" s="140">
        <v>195</v>
      </c>
      <c r="V50" s="1108">
        <v>200</v>
      </c>
      <c r="W50" s="1653">
        <v>0.65</v>
      </c>
      <c r="X50" s="1654">
        <v>8</v>
      </c>
      <c r="Y50" s="1655">
        <v>600</v>
      </c>
      <c r="Z50" s="1656">
        <v>8</v>
      </c>
      <c r="AA50" s="1071">
        <f t="shared" si="7"/>
        <v>1</v>
      </c>
      <c r="AB50" s="1107">
        <v>0.27</v>
      </c>
      <c r="AC50" s="1704">
        <v>1.4</v>
      </c>
      <c r="AD50" s="1705">
        <v>1.04</v>
      </c>
      <c r="AE50" s="1706" t="s">
        <v>324</v>
      </c>
      <c r="AF50" s="1534"/>
      <c r="AG50" s="578">
        <f>VLOOKUP(37,$N$14:$AD$303,15,FALSE)</f>
        <v>0.27</v>
      </c>
      <c r="AH50" s="579">
        <f>VLOOKUP(37,$N$14:$AD$303,16,FALSE)</f>
        <v>1.4</v>
      </c>
      <c r="AI50" s="592">
        <f>VLOOKUP(37,$N$14:$AD$303,17,FALSE)</f>
        <v>1.04</v>
      </c>
    </row>
    <row r="51" spans="1:35" ht="13.9" x14ac:dyDescent="0.4">
      <c r="A51" s="175" t="str">
        <f>VLOOKUP(38,$N$14:$O$303,2,FALSE)</f>
        <v>Mower, Stalk Shredder</v>
      </c>
      <c r="B51" s="1745">
        <f>VLOOKUP(38,$N$14:$Z$303,3,FALSE)</f>
        <v>33100</v>
      </c>
      <c r="C51" s="1749">
        <f>VLOOKUP(38,$N$14:$Z$303,4,FALSE)</f>
        <v>20</v>
      </c>
      <c r="D51" s="1750">
        <f>VLOOKUP(38,$N$14:$Z$303,5,FALSE)</f>
        <v>7</v>
      </c>
      <c r="E51" s="1745">
        <f>VLOOKUP(38,$N$14:$Z$303,6,FALSE)</f>
        <v>248000</v>
      </c>
      <c r="F51" s="1742">
        <f>VLOOKUP(38,$N$14:$Z$303,7,FALSE)</f>
        <v>4</v>
      </c>
      <c r="G51" s="1747">
        <f>VLOOKUP(38,$N$14:$Z$303,8,FALSE)</f>
        <v>195</v>
      </c>
      <c r="H51" s="175">
        <f>VLOOKUP(38,$N$14:$Z$303,9,FALSE)</f>
        <v>160</v>
      </c>
      <c r="I51" s="405">
        <f>VLOOKUP(38,$N$14:$Z$303,10,FALSE)</f>
        <v>0.8</v>
      </c>
      <c r="J51" s="468">
        <f>VLOOKUP(38,$N$14:$Z$303,11,FALSE)</f>
        <v>8</v>
      </c>
      <c r="K51" s="491">
        <f>VLOOKUP(38,$N$14:$Z$303,12,FALSE)</f>
        <v>600</v>
      </c>
      <c r="L51" s="1744">
        <f>VLOOKUP(38,$N$14:$Z$303,13,FALSE)</f>
        <v>8</v>
      </c>
      <c r="M51" s="1073">
        <f>VLOOKUP(38,$N$14:$AA$303,14,FALSE)</f>
        <v>1</v>
      </c>
      <c r="N51" s="1073">
        <f t="shared" si="6"/>
        <v>38</v>
      </c>
      <c r="O51" s="1108" t="s">
        <v>232</v>
      </c>
      <c r="P51" s="1528">
        <v>33100</v>
      </c>
      <c r="Q51" s="538">
        <v>20</v>
      </c>
      <c r="R51" s="723">
        <v>7</v>
      </c>
      <c r="S51" s="141">
        <v>248000</v>
      </c>
      <c r="T51" s="139">
        <v>4</v>
      </c>
      <c r="U51" s="142">
        <v>195</v>
      </c>
      <c r="V51" s="1108">
        <v>160</v>
      </c>
      <c r="W51" s="1653">
        <v>0.8</v>
      </c>
      <c r="X51" s="1654">
        <v>8</v>
      </c>
      <c r="Y51" s="1655">
        <v>600</v>
      </c>
      <c r="Z51" s="1656">
        <v>8</v>
      </c>
      <c r="AA51" s="1071">
        <f t="shared" si="7"/>
        <v>1</v>
      </c>
      <c r="AB51" s="1107">
        <v>0.44</v>
      </c>
      <c r="AC51" s="1704">
        <v>2</v>
      </c>
      <c r="AD51" s="1705">
        <v>1.1000000000000001</v>
      </c>
      <c r="AE51" s="1706" t="s">
        <v>330</v>
      </c>
      <c r="AF51" s="1534"/>
      <c r="AG51" s="578">
        <f>VLOOKUP(38,$N$14:$AD$303,15,FALSE)</f>
        <v>0.44</v>
      </c>
      <c r="AH51" s="579">
        <f>VLOOKUP(38,$N$14:$AD$303,16,FALSE)</f>
        <v>2</v>
      </c>
      <c r="AI51" s="592">
        <f>VLOOKUP(38,$N$14:$AD$303,17,FALSE)</f>
        <v>1.1000000000000001</v>
      </c>
    </row>
    <row r="52" spans="1:35" ht="13.9" x14ac:dyDescent="0.4">
      <c r="A52" s="175" t="str">
        <f>VLOOKUP(39,$N$14:$O$303,2,FALSE)</f>
        <v>Stubble Roller</v>
      </c>
      <c r="B52" s="495">
        <f>VLOOKUP(39,$N$14:$Z$303,3,FALSE)</f>
        <v>27300</v>
      </c>
      <c r="C52" s="1740">
        <f>VLOOKUP(39,$N$14:$Z$303,4,FALSE)</f>
        <v>32</v>
      </c>
      <c r="D52" s="1746">
        <f>VLOOKUP(39,$N$14:$Z$303,5,FALSE)</f>
        <v>6</v>
      </c>
      <c r="E52" s="495">
        <f>VLOOKUP(39,$N$14:$Z$303,6,FALSE)</f>
        <v>308000</v>
      </c>
      <c r="F52" s="1751">
        <f>VLOOKUP(39,$N$14:$Z$303,7,FALSE)</f>
        <v>4</v>
      </c>
      <c r="G52" s="1743">
        <f>VLOOKUP(39,$N$14:$Z$303,8,FALSE)</f>
        <v>230</v>
      </c>
      <c r="H52" s="175">
        <f>VLOOKUP(39,$N$14:$Z$303,9,FALSE)</f>
        <v>120</v>
      </c>
      <c r="I52" s="405">
        <f>VLOOKUP(39,$N$14:$Z$303,10,FALSE)</f>
        <v>0.85</v>
      </c>
      <c r="J52" s="468">
        <f>VLOOKUP(39,$N$14:$Z$303,11,FALSE)</f>
        <v>8</v>
      </c>
      <c r="K52" s="491">
        <f>VLOOKUP(39,$N$14:$Z$303,12,FALSE)</f>
        <v>600</v>
      </c>
      <c r="L52" s="1744">
        <f>VLOOKUP(39,$N$14:$Z$303,13,FALSE)</f>
        <v>8</v>
      </c>
      <c r="M52" s="1073">
        <f>VLOOKUP(39,$N$14:$AA$303,14,FALSE)</f>
        <v>1</v>
      </c>
      <c r="N52" s="1073">
        <f t="shared" si="6"/>
        <v>39</v>
      </c>
      <c r="O52" s="1108" t="s">
        <v>882</v>
      </c>
      <c r="P52" s="1528">
        <v>27300</v>
      </c>
      <c r="Q52" s="132">
        <v>32</v>
      </c>
      <c r="R52" s="133">
        <v>6</v>
      </c>
      <c r="S52" s="138">
        <v>308000</v>
      </c>
      <c r="T52" s="153">
        <v>4</v>
      </c>
      <c r="U52" s="140">
        <v>230</v>
      </c>
      <c r="V52" s="1108">
        <v>120</v>
      </c>
      <c r="W52" s="1653">
        <v>0.85</v>
      </c>
      <c r="X52" s="1654">
        <v>8</v>
      </c>
      <c r="Y52" s="1655">
        <v>600</v>
      </c>
      <c r="Z52" s="1656">
        <v>8</v>
      </c>
      <c r="AA52" s="1071">
        <f t="shared" si="7"/>
        <v>1</v>
      </c>
      <c r="AB52" s="1107">
        <v>0.16</v>
      </c>
      <c r="AC52" s="1704">
        <v>1.3</v>
      </c>
      <c r="AD52" s="1705">
        <v>1.04</v>
      </c>
      <c r="AE52" s="1706" t="s">
        <v>325</v>
      </c>
      <c r="AF52" s="1534"/>
      <c r="AG52" s="578">
        <f>VLOOKUP(39,$N$14:$AD$303,15,FALSE)</f>
        <v>0.16</v>
      </c>
      <c r="AH52" s="579">
        <f>VLOOKUP(39,$N$14:$AD$303,16,FALSE)</f>
        <v>1.3</v>
      </c>
      <c r="AI52" s="592">
        <f>VLOOKUP(39,$N$14:$AD$303,17,FALSE)</f>
        <v>1.04</v>
      </c>
    </row>
    <row r="53" spans="1:35" ht="13.9" x14ac:dyDescent="0.4">
      <c r="A53" s="175" t="str">
        <f>VLOOKUP(40,$N$14:$O$303,2,FALSE)</f>
        <v>Other Equipment</v>
      </c>
      <c r="B53" s="1745">
        <f>VLOOKUP(40,$N$14:$Z$303,3,FALSE)</f>
        <v>0</v>
      </c>
      <c r="C53" s="1740">
        <f>VLOOKUP(40,$N$14:$Z$303,4,FALSE)</f>
        <v>1</v>
      </c>
      <c r="D53" s="1746">
        <f>VLOOKUP(40,$N$14:$Z$303,5,FALSE)</f>
        <v>1</v>
      </c>
      <c r="E53" s="495">
        <f>VLOOKUP(40,$N$14:$Z$303,6,FALSE)</f>
        <v>308000</v>
      </c>
      <c r="F53" s="1742">
        <f>VLOOKUP(40,$N$14:$Z$303,7,FALSE)</f>
        <v>4</v>
      </c>
      <c r="G53" s="1743">
        <f>VLOOKUP(40,$N$14:$Z$303,8,FALSE)</f>
        <v>230</v>
      </c>
      <c r="H53" s="175">
        <f>VLOOKUP(40,$N$14:$Z$303,9,FALSE)</f>
        <v>100</v>
      </c>
      <c r="I53" s="405">
        <f>VLOOKUP(40,$N$14:$Z$303,10,FALSE)</f>
        <v>0.7</v>
      </c>
      <c r="J53" s="468">
        <f>VLOOKUP(40,$N$14:$Z$303,11,FALSE)</f>
        <v>8</v>
      </c>
      <c r="K53" s="491">
        <f>VLOOKUP(40,$N$14:$Z$303,12,FALSE)</f>
        <v>600</v>
      </c>
      <c r="L53" s="1744">
        <f>VLOOKUP(40,$N$14:$Z$303,13,FALSE)</f>
        <v>8</v>
      </c>
      <c r="M53" s="1073">
        <f>VLOOKUP(40,$N$14:$AA$303,14,FALSE)</f>
        <v>1</v>
      </c>
      <c r="N53" s="1073">
        <f t="shared" si="6"/>
        <v>40</v>
      </c>
      <c r="O53" s="1108" t="s">
        <v>561</v>
      </c>
      <c r="P53" s="1528">
        <v>0</v>
      </c>
      <c r="Q53" s="132">
        <v>1</v>
      </c>
      <c r="R53" s="133">
        <v>1</v>
      </c>
      <c r="S53" s="138">
        <v>308000</v>
      </c>
      <c r="T53" s="139">
        <v>4</v>
      </c>
      <c r="U53" s="140">
        <v>230</v>
      </c>
      <c r="V53" s="1108">
        <v>100</v>
      </c>
      <c r="W53" s="1653">
        <v>0.7</v>
      </c>
      <c r="X53" s="1654">
        <v>8</v>
      </c>
      <c r="Y53" s="1655">
        <v>600</v>
      </c>
      <c r="Z53" s="1656">
        <v>8</v>
      </c>
      <c r="AA53" s="1071">
        <f t="shared" si="7"/>
        <v>1</v>
      </c>
      <c r="AB53" s="1107">
        <v>0.63</v>
      </c>
      <c r="AC53" s="1704">
        <v>1.3</v>
      </c>
      <c r="AD53" s="1705">
        <v>1.33</v>
      </c>
      <c r="AE53" s="1706" t="s">
        <v>327</v>
      </c>
      <c r="AF53" s="1534"/>
      <c r="AG53" s="578">
        <f>VLOOKUP(40,$N$14:$AD$303,15,FALSE)</f>
        <v>0.63</v>
      </c>
      <c r="AH53" s="579">
        <f>VLOOKUP(40,$N$14:$AD$303,16,FALSE)</f>
        <v>1.3</v>
      </c>
      <c r="AI53" s="592">
        <f>VLOOKUP(40,$N$14:$AD$303,17,FALSE)</f>
        <v>1.33</v>
      </c>
    </row>
    <row r="54" spans="1:35" ht="14.25" thickBot="1" x14ac:dyDescent="0.45">
      <c r="A54" s="185" t="str">
        <f>VLOOKUP(41,$N$14:$O$303,2,FALSE)</f>
        <v>Other Equipment</v>
      </c>
      <c r="B54" s="1752">
        <f>VLOOKUP(41,$N$14:$Z$303,3,FALSE)</f>
        <v>0</v>
      </c>
      <c r="C54" s="1753">
        <f>VLOOKUP(41,$N$14:$Z$303,4,FALSE)</f>
        <v>1</v>
      </c>
      <c r="D54" s="1754">
        <f>VLOOKUP(41,$N$14:$Z$303,5,FALSE)</f>
        <v>1</v>
      </c>
      <c r="E54" s="493">
        <f>VLOOKUP(41,$N$14:$Z$303,6,FALSE)</f>
        <v>308000</v>
      </c>
      <c r="F54" s="1755">
        <f>VLOOKUP(41,$N$14:$Z$303,7,FALSE)</f>
        <v>4</v>
      </c>
      <c r="G54" s="1756">
        <f>VLOOKUP(41,$N$14:$Z$303,8,FALSE)</f>
        <v>230</v>
      </c>
      <c r="H54" s="185">
        <f>VLOOKUP(41,$N$14:$Z$303,9,FALSE)</f>
        <v>100</v>
      </c>
      <c r="I54" s="488">
        <f>VLOOKUP(41,$N$14:$Z$303,10,FALSE)</f>
        <v>0.7</v>
      </c>
      <c r="J54" s="487">
        <f>VLOOKUP(41,$N$14:$Z$303,11,FALSE)</f>
        <v>8</v>
      </c>
      <c r="K54" s="493">
        <f>VLOOKUP(41,$N$14:$Z$303,12,FALSE)</f>
        <v>600</v>
      </c>
      <c r="L54" s="1757">
        <f>VLOOKUP(41,$N$14:$Z$303,13,FALSE)</f>
        <v>8</v>
      </c>
      <c r="M54" s="1073">
        <f>VLOOKUP(41,$N$14:$AA$303,14,FALSE)</f>
        <v>1</v>
      </c>
      <c r="N54" s="1073">
        <f t="shared" si="6"/>
        <v>41</v>
      </c>
      <c r="O54" s="1109" t="s">
        <v>561</v>
      </c>
      <c r="P54" s="1530">
        <v>0</v>
      </c>
      <c r="Q54" s="134">
        <v>1</v>
      </c>
      <c r="R54" s="734">
        <v>1</v>
      </c>
      <c r="S54" s="143">
        <v>308000</v>
      </c>
      <c r="T54" s="144">
        <v>4</v>
      </c>
      <c r="U54" s="145">
        <v>230</v>
      </c>
      <c r="V54" s="1109">
        <v>100</v>
      </c>
      <c r="W54" s="1657">
        <v>0.7</v>
      </c>
      <c r="X54" s="1658">
        <v>8</v>
      </c>
      <c r="Y54" s="143">
        <v>600</v>
      </c>
      <c r="Z54" s="1659">
        <v>8</v>
      </c>
      <c r="AA54" s="1071">
        <f t="shared" si="7"/>
        <v>1</v>
      </c>
      <c r="AB54" s="1707">
        <v>0.63</v>
      </c>
      <c r="AC54" s="1708">
        <v>1.3</v>
      </c>
      <c r="AD54" s="1709">
        <v>1.33</v>
      </c>
      <c r="AE54" s="1703" t="s">
        <v>327</v>
      </c>
      <c r="AF54" s="1534"/>
      <c r="AG54" s="582">
        <f>VLOOKUP(41,$N$14:$AD$303,15,FALSE)</f>
        <v>0.63</v>
      </c>
      <c r="AH54" s="583">
        <f>VLOOKUP(41,$N$14:$AD$303,16,FALSE)</f>
        <v>1.3</v>
      </c>
      <c r="AI54" s="593">
        <f>VLOOKUP(41,$N$14:$AD$303,17,FALSE)</f>
        <v>1.33</v>
      </c>
    </row>
    <row r="55" spans="1:35" ht="13.9" x14ac:dyDescent="0.4">
      <c r="A55" s="83"/>
      <c r="B55" s="83"/>
      <c r="C55" s="83"/>
      <c r="D55" s="89"/>
      <c r="E55" s="84"/>
      <c r="F55" s="89"/>
      <c r="G55" s="83"/>
      <c r="H55" s="83"/>
      <c r="I55" s="83"/>
      <c r="J55" s="83"/>
      <c r="K55" s="83"/>
      <c r="L55" s="83"/>
      <c r="M55" s="1071"/>
      <c r="N55" s="1071"/>
      <c r="O55" s="1660"/>
      <c r="P55" s="1660"/>
      <c r="Q55" s="1660"/>
      <c r="R55" s="1660"/>
      <c r="S55" s="1660"/>
      <c r="T55" s="1660"/>
      <c r="U55" s="1660"/>
      <c r="V55" s="1660"/>
      <c r="W55" s="1660"/>
      <c r="X55" s="1661"/>
      <c r="Y55" s="1662"/>
      <c r="Z55" s="1661"/>
      <c r="AA55" s="1071"/>
      <c r="AB55" s="1660"/>
      <c r="AC55" s="1660"/>
      <c r="AD55" s="1660"/>
      <c r="AE55" s="1660"/>
      <c r="AF55" s="1534"/>
      <c r="AG55" s="3"/>
      <c r="AH55" s="3"/>
      <c r="AI55" s="3"/>
    </row>
    <row r="56" spans="1:35" ht="13.9" x14ac:dyDescent="0.4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1071"/>
      <c r="N56" s="1071"/>
      <c r="O56" s="1663"/>
      <c r="P56" s="1663"/>
      <c r="Q56" s="1663"/>
      <c r="R56" s="1663"/>
      <c r="S56" s="1663"/>
      <c r="T56" s="1663"/>
      <c r="U56" s="1663"/>
      <c r="V56" s="1663"/>
      <c r="W56" s="1663"/>
      <c r="X56" s="1663"/>
      <c r="Y56" s="1663"/>
      <c r="Z56" s="1663"/>
      <c r="AA56" s="1071"/>
      <c r="AB56" s="1663"/>
      <c r="AC56" s="1663"/>
      <c r="AD56" s="1663"/>
      <c r="AE56" s="1663"/>
      <c r="AF56" s="1534"/>
      <c r="AG56" s="3"/>
      <c r="AH56" s="3"/>
      <c r="AI56" s="3"/>
    </row>
    <row r="57" spans="1:35" ht="14.25" thickBot="1" x14ac:dyDescent="0.45">
      <c r="A57" s="1758" t="s">
        <v>74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1071"/>
      <c r="N57" s="1071"/>
      <c r="O57" s="1664" t="s">
        <v>74</v>
      </c>
      <c r="P57" s="1665"/>
      <c r="Q57" s="1663"/>
      <c r="R57" s="1663"/>
      <c r="S57" s="1663"/>
      <c r="T57" s="1663"/>
      <c r="U57" s="1663"/>
      <c r="V57" s="1663"/>
      <c r="W57" s="1663"/>
      <c r="X57" s="1663"/>
      <c r="Y57" s="1663"/>
      <c r="Z57" s="1663"/>
      <c r="AA57" s="1071"/>
      <c r="AB57" s="1663"/>
      <c r="AC57" s="1663"/>
      <c r="AD57" s="1663"/>
      <c r="AE57" s="1663"/>
      <c r="AF57" s="1534"/>
      <c r="AG57" s="3"/>
      <c r="AH57" s="3"/>
      <c r="AI57" s="3"/>
    </row>
    <row r="58" spans="1:35" ht="13.9" x14ac:dyDescent="0.4">
      <c r="A58" s="788" t="str">
        <f>VLOOKUP(42,$N$14:$O$303,2,FALSE)</f>
        <v>Self-Propelled Sprayer</v>
      </c>
      <c r="B58" s="1759">
        <f>VLOOKUP(42,$N$14:$Z$303,3,FALSE)</f>
        <v>348000</v>
      </c>
      <c r="C58" s="1732">
        <f>VLOOKUP(42,$N$14:$Z$303,4,FALSE)</f>
        <v>90</v>
      </c>
      <c r="D58" s="1907">
        <f>VLOOKUP(42,$N$14:$Z$303,5,FALSE)</f>
        <v>12</v>
      </c>
      <c r="E58" s="1307">
        <f>VLOOKUP(42,$N$14:$Z$303,6,FALSE)</f>
        <v>0</v>
      </c>
      <c r="F58" s="1307">
        <f>VLOOKUP(42,$N$14:$Z$303,7,FALSE)</f>
        <v>0</v>
      </c>
      <c r="G58" s="1736">
        <f>VLOOKUP(42,$N$14:$Z$303,8,FALSE)</f>
        <v>250</v>
      </c>
      <c r="H58" s="1737">
        <f>VLOOKUP(42,$N$14:$Z$303,9,FALSE)</f>
        <v>120</v>
      </c>
      <c r="I58" s="485">
        <f>VLOOKUP(42,$N$14:$Z$303,10,FALSE)</f>
        <v>0.65</v>
      </c>
      <c r="J58" s="486">
        <f>VLOOKUP(42,$N$14:$Z$303,11,FALSE)</f>
        <v>8</v>
      </c>
      <c r="K58" s="1301">
        <f>VLOOKUP(42,$N$14:$Z$303,12,FALSE)</f>
        <v>0</v>
      </c>
      <c r="L58" s="1909">
        <f>VLOOKUP(42,$N$14:$Z$303,13,FALSE)</f>
        <v>0</v>
      </c>
      <c r="M58" s="1073">
        <f>VLOOKUP(42,$N$14:$AA$303,14,FALSE)</f>
        <v>1</v>
      </c>
      <c r="N58" s="1073">
        <f>IF($A$8=1,N54+1,0)</f>
        <v>42</v>
      </c>
      <c r="O58" s="1666" t="s">
        <v>256</v>
      </c>
      <c r="P58" s="147">
        <v>348000</v>
      </c>
      <c r="Q58" s="131">
        <v>90</v>
      </c>
      <c r="R58" s="152">
        <v>12</v>
      </c>
      <c r="S58" s="1667"/>
      <c r="T58" s="1668"/>
      <c r="U58" s="137">
        <v>250</v>
      </c>
      <c r="V58" s="1648">
        <v>120</v>
      </c>
      <c r="W58" s="1649">
        <v>0.65</v>
      </c>
      <c r="X58" s="1650">
        <v>8</v>
      </c>
      <c r="Y58" s="1669"/>
      <c r="Z58" s="1670"/>
      <c r="AA58" s="1071">
        <f>AA54</f>
        <v>1</v>
      </c>
      <c r="AB58" s="1710">
        <v>0.11</v>
      </c>
      <c r="AC58" s="1711">
        <v>1.8</v>
      </c>
      <c r="AD58" s="1666">
        <v>1.25</v>
      </c>
      <c r="AE58" s="1712" t="s">
        <v>326</v>
      </c>
      <c r="AF58" s="1534"/>
      <c r="AG58" s="576">
        <f>VLOOKUP(42,$N$14:$AD$303,15,FALSE)</f>
        <v>0.11</v>
      </c>
      <c r="AH58" s="790">
        <f>VLOOKUP(42,$N$14:$AD$303,16,FALSE)</f>
        <v>1.8</v>
      </c>
      <c r="AI58" s="591">
        <f>VLOOKUP(42,$N$14:$AD$303,17,FALSE)</f>
        <v>1.25</v>
      </c>
    </row>
    <row r="59" spans="1:35" ht="13.9" x14ac:dyDescent="0.4">
      <c r="A59" s="595" t="str">
        <f>VLOOKUP(43,$N$14:$O$303,2,FALSE)</f>
        <v>ATV with  Spot, Levee Sprayer</v>
      </c>
      <c r="B59" s="1745">
        <f>VLOOKUP(43,$N$14:$Z$303,3,FALSE)</f>
        <v>16900</v>
      </c>
      <c r="C59" s="1917">
        <f>VLOOKUP(43,$N$14:$Z$303,4,FALSE)</f>
        <v>1</v>
      </c>
      <c r="D59" s="1923">
        <f>VLOOKUP(43,$N$14:$Z$303,5,FALSE)</f>
        <v>2.5</v>
      </c>
      <c r="E59" s="1307">
        <f>VLOOKUP(43,$N$14:$Z$303,6,FALSE)</f>
        <v>0</v>
      </c>
      <c r="F59" s="1307">
        <f>VLOOKUP(43,$N$14:$Z$303,7,FALSE)</f>
        <v>0</v>
      </c>
      <c r="G59" s="1766">
        <f>VLOOKUP(43,$N$14:$Z$303,8,FALSE)</f>
        <v>50</v>
      </c>
      <c r="H59" s="175">
        <f>VLOOKUP(43,$N$14:$Z$303,9,FALSE)</f>
        <v>80</v>
      </c>
      <c r="I59" s="405">
        <f>VLOOKUP(43,$N$14:$Z$303,10,FALSE)</f>
        <v>0.25</v>
      </c>
      <c r="J59" s="468">
        <f>VLOOKUP(43,$N$14:$Z$303,11,FALSE)</f>
        <v>8</v>
      </c>
      <c r="K59" s="1302">
        <f>VLOOKUP(43,$N$14:$Z$303,12,FALSE)</f>
        <v>0</v>
      </c>
      <c r="L59" s="1910">
        <f>VLOOKUP(43,$N$14:$Z$303,13,FALSE)</f>
        <v>0</v>
      </c>
      <c r="M59" s="1073">
        <f>VLOOKUP(43,$N$14:$AA$303,14,FALSE)</f>
        <v>1</v>
      </c>
      <c r="N59" s="1073">
        <f>IF($A$8=1,N58+1,0)</f>
        <v>43</v>
      </c>
      <c r="O59" s="1671" t="s">
        <v>262</v>
      </c>
      <c r="P59" s="129">
        <v>16900</v>
      </c>
      <c r="Q59" s="1918">
        <v>1</v>
      </c>
      <c r="R59" s="1721">
        <v>2.5</v>
      </c>
      <c r="S59" s="1672"/>
      <c r="T59" s="1673"/>
      <c r="U59" s="154">
        <v>50</v>
      </c>
      <c r="V59" s="1108">
        <v>80</v>
      </c>
      <c r="W59" s="1653">
        <v>0.25</v>
      </c>
      <c r="X59" s="1654">
        <v>8</v>
      </c>
      <c r="Y59" s="1674"/>
      <c r="Z59" s="1675"/>
      <c r="AA59" s="1071">
        <f>AA58</f>
        <v>1</v>
      </c>
      <c r="AB59" s="1107">
        <v>0.28000000000000003</v>
      </c>
      <c r="AC59" s="1704">
        <v>1.4</v>
      </c>
      <c r="AD59" s="1705">
        <v>1.04</v>
      </c>
      <c r="AE59" s="1713" t="s">
        <v>329</v>
      </c>
      <c r="AF59" s="1534"/>
      <c r="AG59" s="578">
        <f>VLOOKUP(43,$N$14:$AD$303,15,FALSE)</f>
        <v>0.28000000000000003</v>
      </c>
      <c r="AH59" s="579">
        <f>VLOOKUP(43,$N$14:$AD$303,16,FALSE)</f>
        <v>1.4</v>
      </c>
      <c r="AI59" s="592">
        <f>VLOOKUP(43,$N$14:$AD$303,17,FALSE)</f>
        <v>1.04</v>
      </c>
    </row>
    <row r="60" spans="1:35" ht="14.25" thickBot="1" x14ac:dyDescent="0.45">
      <c r="A60" s="789" t="str">
        <f>VLOOKUP(44,$N$14:$O$303,2,FALSE)</f>
        <v>Dry Box Spreader</v>
      </c>
      <c r="B60" s="1761">
        <f>VLOOKUP(44,$N$14:$Z$303,3,FALSE)</f>
        <v>464900</v>
      </c>
      <c r="C60" s="1762">
        <f>VLOOKUP(44,$N$14:$Z$303,4,FALSE)</f>
        <v>80</v>
      </c>
      <c r="D60" s="1908">
        <f>VLOOKUP(44,$N$14:$Z$303,5,FALSE)</f>
        <v>12</v>
      </c>
      <c r="E60" s="1307">
        <f>VLOOKUP(44,$N$14:$Z$303,6,FALSE)</f>
        <v>0</v>
      </c>
      <c r="F60" s="1307">
        <f>VLOOKUP(44,$N$14:$Z$303,7,FALSE)</f>
        <v>0</v>
      </c>
      <c r="G60" s="1763">
        <f>VLOOKUP(44,$N$14:$Z$303,8,FALSE)</f>
        <v>250</v>
      </c>
      <c r="H60" s="185">
        <f>VLOOKUP(44,$N$14:$Z$303,9,FALSE)</f>
        <v>120</v>
      </c>
      <c r="I60" s="488">
        <f>VLOOKUP(44,$N$14:$Z$303,10,FALSE)</f>
        <v>0.65</v>
      </c>
      <c r="J60" s="487">
        <f>VLOOKUP(44,$N$14:$Z$303,11,FALSE)</f>
        <v>8</v>
      </c>
      <c r="K60" s="1303">
        <f>VLOOKUP(44,$N$14:$Z$303,12,FALSE)</f>
        <v>0</v>
      </c>
      <c r="L60" s="1911">
        <f>VLOOKUP(44,$N$14:$Z$303,13,FALSE)</f>
        <v>0</v>
      </c>
      <c r="M60" s="1073">
        <f>VLOOKUP(44,$N$14:$AA$303,14,FALSE)</f>
        <v>1</v>
      </c>
      <c r="N60" s="1073">
        <f>IF($A$8=1,N59+1,0)</f>
        <v>44</v>
      </c>
      <c r="O60" s="1676" t="s">
        <v>962</v>
      </c>
      <c r="P60" s="151">
        <v>464900</v>
      </c>
      <c r="Q60" s="741">
        <v>80</v>
      </c>
      <c r="R60" s="795">
        <v>12</v>
      </c>
      <c r="S60" s="1677"/>
      <c r="T60" s="1678"/>
      <c r="U60" s="155">
        <v>250</v>
      </c>
      <c r="V60" s="1109">
        <v>120</v>
      </c>
      <c r="W60" s="1657">
        <v>0.65</v>
      </c>
      <c r="X60" s="1658">
        <v>8</v>
      </c>
      <c r="Y60" s="1679"/>
      <c r="Z60" s="1680"/>
      <c r="AA60" s="1071">
        <f>AA59</f>
        <v>1</v>
      </c>
      <c r="AB60" s="1707">
        <v>0.11</v>
      </c>
      <c r="AC60" s="1714">
        <v>1.8</v>
      </c>
      <c r="AD60" s="1676">
        <v>1.25</v>
      </c>
      <c r="AE60" s="1715" t="s">
        <v>326</v>
      </c>
      <c r="AF60" s="1534"/>
      <c r="AG60" s="582">
        <f>VLOOKUP(44,$N$14:$AD$303,15,FALSE)</f>
        <v>0.11</v>
      </c>
      <c r="AH60" s="791">
        <f>VLOOKUP(44,$N$14:$AD$303,16,FALSE)</f>
        <v>1.8</v>
      </c>
      <c r="AI60" s="593">
        <f>VLOOKUP(44,$N$14:$AD$303,17,FALSE)</f>
        <v>1.25</v>
      </c>
    </row>
    <row r="61" spans="1:35" ht="13.9" x14ac:dyDescent="0.4">
      <c r="A61" s="83"/>
      <c r="B61" s="83"/>
      <c r="C61" s="83"/>
      <c r="D61" s="83"/>
      <c r="E61" s="83"/>
      <c r="F61" s="83"/>
      <c r="G61" s="83"/>
      <c r="H61" s="83"/>
      <c r="I61" s="83"/>
      <c r="J61" s="89"/>
      <c r="K61" s="84"/>
      <c r="L61" s="89"/>
      <c r="M61" s="1071"/>
      <c r="N61" s="1071"/>
      <c r="O61" s="1660"/>
      <c r="P61" s="1660"/>
      <c r="Q61" s="1660"/>
      <c r="R61" s="1660"/>
      <c r="S61" s="1660"/>
      <c r="T61" s="1660"/>
      <c r="U61" s="1660"/>
      <c r="V61" s="1660"/>
      <c r="W61" s="1660"/>
      <c r="X61" s="1661"/>
      <c r="Y61" s="1662"/>
      <c r="Z61" s="1661"/>
      <c r="AA61" s="1071"/>
      <c r="AB61" s="1660"/>
      <c r="AC61" s="1660"/>
      <c r="AD61" s="1660"/>
      <c r="AE61" s="1660"/>
      <c r="AF61" s="1534"/>
      <c r="AG61" s="83"/>
      <c r="AH61" s="83"/>
      <c r="AI61" s="83"/>
    </row>
    <row r="62" spans="1:35" ht="13.9" x14ac:dyDescent="0.4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1071"/>
      <c r="N62" s="1071"/>
      <c r="O62" s="1663"/>
      <c r="P62" s="1663"/>
      <c r="Q62" s="1663"/>
      <c r="R62" s="1663"/>
      <c r="S62" s="1663"/>
      <c r="T62" s="1663"/>
      <c r="U62" s="1663"/>
      <c r="V62" s="1663"/>
      <c r="W62" s="1663"/>
      <c r="X62" s="1663"/>
      <c r="Y62" s="1663"/>
      <c r="Z62" s="1663"/>
      <c r="AA62" s="1071"/>
      <c r="AB62" s="1663"/>
      <c r="AC62" s="1663"/>
      <c r="AD62" s="1663"/>
      <c r="AE62" s="1663"/>
      <c r="AF62" s="1534"/>
      <c r="AG62" s="3"/>
      <c r="AH62" s="3"/>
      <c r="AI62" s="3"/>
    </row>
    <row r="63" spans="1:35" ht="14.25" thickBot="1" x14ac:dyDescent="0.45">
      <c r="A63" s="1758" t="s">
        <v>79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1071"/>
      <c r="N63" s="1071"/>
      <c r="O63" s="1664" t="s">
        <v>79</v>
      </c>
      <c r="P63" s="1665"/>
      <c r="Q63" s="1663"/>
      <c r="R63" s="1663"/>
      <c r="S63" s="1663"/>
      <c r="T63" s="1663"/>
      <c r="U63" s="1663"/>
      <c r="V63" s="1663"/>
      <c r="W63" s="1663"/>
      <c r="X63" s="1663"/>
      <c r="Y63" s="1663"/>
      <c r="Z63" s="1663"/>
      <c r="AA63" s="1071"/>
      <c r="AB63" s="1663"/>
      <c r="AC63" s="1663"/>
      <c r="AD63" s="1663"/>
      <c r="AE63" s="1663"/>
      <c r="AF63" s="1534"/>
      <c r="AG63" s="3"/>
      <c r="AH63" s="3"/>
      <c r="AI63" s="3"/>
    </row>
    <row r="64" spans="1:35" ht="13.9" x14ac:dyDescent="0.4">
      <c r="A64" s="788" t="str">
        <f>VLOOKUP(45,$N$14:$O$303,2,FALSE)</f>
        <v>Cotton Picker</v>
      </c>
      <c r="B64" s="1764">
        <f>VLOOKUP(45,$N$14:$Z$303,3,FALSE)</f>
        <v>478000</v>
      </c>
      <c r="C64" s="1732">
        <f>VLOOKUP(45,$N$14:$Z$303,4,FALSE)</f>
        <v>19</v>
      </c>
      <c r="D64" s="1760">
        <f>VLOOKUP(45,$N$14:$Z$303,5,FALSE)</f>
        <v>3.5</v>
      </c>
      <c r="E64" s="1912">
        <f>VLOOKUP(45,$N$14:$Z$303,6,FALSE)</f>
        <v>0</v>
      </c>
      <c r="F64" s="1735">
        <f>VLOOKUP(45,$N$14:$Z$303,7,FALSE)</f>
        <v>0</v>
      </c>
      <c r="G64" s="1736">
        <f>VLOOKUP(45,$N$14:$Z$303,8,FALSE)</f>
        <v>355</v>
      </c>
      <c r="H64" s="1737">
        <f>VLOOKUP(45,$N$14:$Z$303,9,FALSE)</f>
        <v>200</v>
      </c>
      <c r="I64" s="485">
        <f>VLOOKUP(45,$N$14:$Z$303,10,FALSE)</f>
        <v>0.7</v>
      </c>
      <c r="J64" s="486">
        <f>VLOOKUP(45,$N$14:$Z$303,11,FALSE)</f>
        <v>8</v>
      </c>
      <c r="K64" s="1301">
        <f>VLOOKUP(45,$N$14:$Z$303,12,FALSE)</f>
        <v>0</v>
      </c>
      <c r="L64" s="1909">
        <f>VLOOKUP(45,$N$14:$Z$303,13,FALSE)</f>
        <v>0</v>
      </c>
      <c r="M64" s="1073">
        <f>VLOOKUP(45,$N$14:$AA$303,14,FALSE)</f>
        <v>1</v>
      </c>
      <c r="N64" s="1073">
        <f>IF($A$8=1,N60+1,0)</f>
        <v>45</v>
      </c>
      <c r="O64" s="1666" t="s">
        <v>73</v>
      </c>
      <c r="P64" s="1531">
        <v>478000</v>
      </c>
      <c r="Q64" s="131">
        <v>19</v>
      </c>
      <c r="R64" s="152">
        <v>3.5</v>
      </c>
      <c r="S64" s="1681"/>
      <c r="T64" s="1668"/>
      <c r="U64" s="137">
        <v>355</v>
      </c>
      <c r="V64" s="1648">
        <v>200</v>
      </c>
      <c r="W64" s="1649">
        <v>0.7</v>
      </c>
      <c r="X64" s="1650">
        <v>8</v>
      </c>
      <c r="Y64" s="1669"/>
      <c r="Z64" s="1670"/>
      <c r="AA64" s="1071">
        <f>AA60</f>
        <v>1</v>
      </c>
      <c r="AB64" s="1710">
        <v>0.11</v>
      </c>
      <c r="AC64" s="1716">
        <v>1.8</v>
      </c>
      <c r="AD64" s="1717">
        <v>1.1100000000000001</v>
      </c>
      <c r="AE64" s="1718" t="s">
        <v>349</v>
      </c>
      <c r="AF64" s="1534"/>
      <c r="AG64" s="576">
        <f>VLOOKUP(45,$N$14:$AD$303,15,FALSE)</f>
        <v>0.11</v>
      </c>
      <c r="AH64" s="577">
        <f>VLOOKUP(45,$N$14:$AD$303,16,FALSE)</f>
        <v>1.8</v>
      </c>
      <c r="AI64" s="591">
        <f>VLOOKUP(45,$N$14:$AD$303,17,FALSE)</f>
        <v>1.1100000000000001</v>
      </c>
    </row>
    <row r="65" spans="1:35" ht="13.9" x14ac:dyDescent="0.4">
      <c r="A65" s="595" t="str">
        <f>VLOOKUP(46,$N$14:$O$303,2,FALSE)</f>
        <v>Boll Buggy with Tractor</v>
      </c>
      <c r="B65" s="1765">
        <f>VLOOKUP(46,$N$14:$Z$303,3,FALSE)</f>
        <v>30500</v>
      </c>
      <c r="C65" s="1917">
        <f>VLOOKUP(46,$N$14:$Z$303,4,FALSE)</f>
        <v>19</v>
      </c>
      <c r="D65" s="1924">
        <f>VLOOKUP(46,$N$14:$Z$303,5,FALSE)</f>
        <v>3.5</v>
      </c>
      <c r="E65" s="496">
        <f>VLOOKUP(46,$N$14:$Z$303,6,FALSE)</f>
        <v>248000</v>
      </c>
      <c r="F65" s="1751">
        <f>VLOOKUP(46,$N$14:$Z$303,7,FALSE)</f>
        <v>4</v>
      </c>
      <c r="G65" s="1766">
        <f>VLOOKUP(46,$N$14:$Z$303,8,FALSE)</f>
        <v>195</v>
      </c>
      <c r="H65" s="175">
        <f>VLOOKUP(46,$N$14:$Z$303,9,FALSE)</f>
        <v>200</v>
      </c>
      <c r="I65" s="405">
        <f>VLOOKUP(46,$N$14:$Z$303,10,FALSE)</f>
        <v>0.7</v>
      </c>
      <c r="J65" s="468">
        <f>VLOOKUP(46,$N$14:$Z$303,11,FALSE)</f>
        <v>8</v>
      </c>
      <c r="K65" s="491">
        <f>VLOOKUP(46,$N$14:$Z$303,12,FALSE)</f>
        <v>600</v>
      </c>
      <c r="L65" s="1744">
        <f>VLOOKUP(46,$N$14:$Z$303,13,FALSE)</f>
        <v>8</v>
      </c>
      <c r="M65" s="1073">
        <f>VLOOKUP(46,$N$14:$AA$303,14,FALSE)</f>
        <v>1</v>
      </c>
      <c r="N65" s="1073">
        <f>IF($A$8=1,N64+1,0)</f>
        <v>46</v>
      </c>
      <c r="O65" s="1671" t="s">
        <v>984</v>
      </c>
      <c r="P65" s="1528">
        <v>30500</v>
      </c>
      <c r="Q65" s="1918">
        <f>Q64</f>
        <v>19</v>
      </c>
      <c r="R65" s="1925">
        <f>R64</f>
        <v>3.5</v>
      </c>
      <c r="S65" s="138">
        <v>248000</v>
      </c>
      <c r="T65" s="153">
        <v>4</v>
      </c>
      <c r="U65" s="154">
        <v>195</v>
      </c>
      <c r="V65" s="1108">
        <v>200</v>
      </c>
      <c r="W65" s="1653">
        <v>0.7</v>
      </c>
      <c r="X65" s="1654">
        <v>8</v>
      </c>
      <c r="Y65" s="1655">
        <v>600</v>
      </c>
      <c r="Z65" s="1656">
        <v>8</v>
      </c>
      <c r="AA65" s="1071">
        <f>AA64</f>
        <v>1</v>
      </c>
      <c r="AB65" s="1107">
        <v>0.19</v>
      </c>
      <c r="AC65" s="1704">
        <v>1.3</v>
      </c>
      <c r="AD65" s="1719">
        <v>1.1100000000000001</v>
      </c>
      <c r="AE65" s="1706" t="s">
        <v>327</v>
      </c>
      <c r="AF65" s="1534"/>
      <c r="AG65" s="578">
        <f>VLOOKUP(46,$N$14:$AD$303,15,FALSE)</f>
        <v>0.19</v>
      </c>
      <c r="AH65" s="579">
        <f>VLOOKUP(46,$N$14:$AD$303,16,FALSE)</f>
        <v>1.3</v>
      </c>
      <c r="AI65" s="792">
        <f>VLOOKUP(46,$N$14:$AD$303,17,FALSE)</f>
        <v>1.1100000000000001</v>
      </c>
    </row>
    <row r="66" spans="1:35" ht="13.9" x14ac:dyDescent="0.4">
      <c r="A66" s="595" t="str">
        <f>VLOOKUP(47,$N$14:$O$303,2,FALSE)</f>
        <v>Module Builder with Tractor</v>
      </c>
      <c r="B66" s="1765">
        <f>VLOOKUP(47,$N$14:$Z$303,3,FALSE)</f>
        <v>34700</v>
      </c>
      <c r="C66" s="1919">
        <f>VLOOKUP(47,$N$14:$Z$303,4,FALSE)</f>
        <v>19</v>
      </c>
      <c r="D66" s="1924">
        <f>VLOOKUP(47,$N$14:$Z$303,5,FALSE)</f>
        <v>3.5</v>
      </c>
      <c r="E66" s="496">
        <f>VLOOKUP(47,$N$14:$Z$303,6,FALSE)</f>
        <v>248000</v>
      </c>
      <c r="F66" s="1751">
        <f>VLOOKUP(47,$N$14:$Z$303,7,FALSE)</f>
        <v>4</v>
      </c>
      <c r="G66" s="1766">
        <f>VLOOKUP(47,$N$14:$Z$303,8,FALSE)</f>
        <v>195</v>
      </c>
      <c r="H66" s="1462">
        <f>VLOOKUP(47,$N$14:$Z$303,9,FALSE)</f>
        <v>200</v>
      </c>
      <c r="I66" s="1915">
        <f>VLOOKUP(47,$N$14:$Z$303,10,FALSE)</f>
        <v>0.7</v>
      </c>
      <c r="J66" s="494">
        <f>VLOOKUP(47,$N$14:$Z$303,11,FALSE)</f>
        <v>8</v>
      </c>
      <c r="K66" s="495">
        <f>VLOOKUP(47,$N$14:$Z$303,12,FALSE)</f>
        <v>600</v>
      </c>
      <c r="L66" s="1767">
        <f>VLOOKUP(47,$N$14:$Z$303,13,FALSE)</f>
        <v>8</v>
      </c>
      <c r="M66" s="1073">
        <f>VLOOKUP(47,$N$14:$AA$303,14,FALSE)</f>
        <v>1</v>
      </c>
      <c r="N66" s="1073">
        <f t="shared" ref="N66:N81" si="8">IF($A$8=1,N65+1,0)</f>
        <v>47</v>
      </c>
      <c r="O66" s="1671" t="s">
        <v>983</v>
      </c>
      <c r="P66" s="1528">
        <v>34700</v>
      </c>
      <c r="Q66" s="1921">
        <f>Q64</f>
        <v>19</v>
      </c>
      <c r="R66" s="1925">
        <f>R64</f>
        <v>3.5</v>
      </c>
      <c r="S66" s="138">
        <v>248000</v>
      </c>
      <c r="T66" s="153">
        <v>4</v>
      </c>
      <c r="U66" s="154">
        <v>195</v>
      </c>
      <c r="V66" s="1682">
        <v>200</v>
      </c>
      <c r="W66" s="1916">
        <v>0.7</v>
      </c>
      <c r="X66" s="1683">
        <v>8</v>
      </c>
      <c r="Y66" s="138">
        <v>600</v>
      </c>
      <c r="Z66" s="1684">
        <v>8</v>
      </c>
      <c r="AA66" s="1071">
        <f t="shared" ref="AA66:AA81" si="9">AA65</f>
        <v>1</v>
      </c>
      <c r="AB66" s="1720">
        <v>0.19</v>
      </c>
      <c r="AC66" s="1721">
        <v>1.3</v>
      </c>
      <c r="AD66" s="1722">
        <v>3.33</v>
      </c>
      <c r="AE66" s="1706" t="s">
        <v>327</v>
      </c>
      <c r="AF66" s="1534"/>
      <c r="AG66" s="1113">
        <f>VLOOKUP(47,$N$14:$AD$303,15,FALSE)</f>
        <v>0.19</v>
      </c>
      <c r="AH66" s="580">
        <f>VLOOKUP(47,$N$14:$AD$303,16,FALSE)</f>
        <v>1.3</v>
      </c>
      <c r="AI66" s="793">
        <f>VLOOKUP(47,$N$14:$AD$303,17,FALSE)</f>
        <v>3.33</v>
      </c>
    </row>
    <row r="67" spans="1:35" ht="13.9" x14ac:dyDescent="0.4">
      <c r="A67" s="595" t="str">
        <f>VLOOKUP(48,$N$14:$O$303,2,FALSE)</f>
        <v>Cotton Picker: Module-Building</v>
      </c>
      <c r="B67" s="1765">
        <f>VLOOKUP(48,$N$14:$Z$303,3,FALSE)</f>
        <v>960000</v>
      </c>
      <c r="C67" s="1740">
        <f>VLOOKUP(48,$N$14:$Z$303,4,FALSE)</f>
        <v>19</v>
      </c>
      <c r="D67" s="1768">
        <f>VLOOKUP(48,$N$14:$Z$303,5,FALSE)</f>
        <v>3.7</v>
      </c>
      <c r="E67" s="1771">
        <f>VLOOKUP(48,$N$14:$Z$303,6,FALSE)</f>
        <v>0</v>
      </c>
      <c r="F67" s="1742">
        <f>VLOOKUP(48,$N$14:$Z$303,7,FALSE)</f>
        <v>0</v>
      </c>
      <c r="G67" s="1743">
        <f>VLOOKUP(48,$N$14:$Z$303,8,FALSE)</f>
        <v>560</v>
      </c>
      <c r="H67" s="175">
        <f>VLOOKUP(48,$N$14:$Z$303,9,FALSE)</f>
        <v>200</v>
      </c>
      <c r="I67" s="405">
        <f>VLOOKUP(48,$N$14:$Z$303,10,FALSE)</f>
        <v>0.85</v>
      </c>
      <c r="J67" s="468">
        <f>VLOOKUP(48,$N$14:$Z$303,11,FALSE)</f>
        <v>8</v>
      </c>
      <c r="K67" s="1302">
        <f>VLOOKUP(48,$N$14:$Z$303,12,FALSE)</f>
        <v>0</v>
      </c>
      <c r="L67" s="1910">
        <f>VLOOKUP(48,$N$14:$Z$303,13,FALSE)</f>
        <v>0</v>
      </c>
      <c r="M67" s="1073">
        <f>VLOOKUP(48,$N$14:$AA$303,14,FALSE)</f>
        <v>1</v>
      </c>
      <c r="N67" s="1073">
        <f t="shared" si="8"/>
        <v>48</v>
      </c>
      <c r="O67" s="1671" t="s">
        <v>270</v>
      </c>
      <c r="P67" s="1528">
        <v>960000</v>
      </c>
      <c r="Q67" s="132">
        <v>19</v>
      </c>
      <c r="R67" s="317">
        <v>3.7</v>
      </c>
      <c r="S67" s="1685"/>
      <c r="T67" s="1686"/>
      <c r="U67" s="140">
        <v>560</v>
      </c>
      <c r="V67" s="1108">
        <v>200</v>
      </c>
      <c r="W67" s="1653">
        <v>0.85</v>
      </c>
      <c r="X67" s="1654">
        <v>8</v>
      </c>
      <c r="Y67" s="1687"/>
      <c r="Z67" s="1688"/>
      <c r="AA67" s="1071">
        <f t="shared" si="9"/>
        <v>1</v>
      </c>
      <c r="AB67" s="1107">
        <v>0.11</v>
      </c>
      <c r="AC67" s="1704">
        <v>1.8</v>
      </c>
      <c r="AD67" s="1705">
        <v>1.1100000000000001</v>
      </c>
      <c r="AE67" s="1706" t="s">
        <v>349</v>
      </c>
      <c r="AF67" s="1534"/>
      <c r="AG67" s="578">
        <f>VLOOKUP(48,$N$14:$AD$303,15,FALSE)</f>
        <v>0.11</v>
      </c>
      <c r="AH67" s="579">
        <f>VLOOKUP(48,$N$14:$AD$303,16,FALSE)</f>
        <v>1.8</v>
      </c>
      <c r="AI67" s="592">
        <f>VLOOKUP(48,$N$14:$AD$303,17,FALSE)</f>
        <v>1.1100000000000001</v>
      </c>
    </row>
    <row r="68" spans="1:35" ht="13.9" x14ac:dyDescent="0.4">
      <c r="A68" s="595" t="str">
        <f>VLOOKUP(49,$N$14:$O$303,2,FALSE)</f>
        <v>Module Handler with Tractor</v>
      </c>
      <c r="B68" s="1765">
        <f>VLOOKUP(49,$N$14:$Z$303,3,FALSE)</f>
        <v>13750</v>
      </c>
      <c r="C68" s="1919">
        <f>VLOOKUP(49,$N$14:$Z$303,4,FALSE)</f>
        <v>1</v>
      </c>
      <c r="D68" s="1924">
        <f>VLOOKUP(49,$N$14:$Z$303,5,FALSE)</f>
        <v>3.7</v>
      </c>
      <c r="E68" s="1769">
        <f>VLOOKUP(49,$N$14:$Z$303,6,FALSE)</f>
        <v>248000</v>
      </c>
      <c r="F68" s="1742">
        <f>VLOOKUP(49,$N$14:$Z$303,7,FALSE)</f>
        <v>4</v>
      </c>
      <c r="G68" s="1743">
        <f>VLOOKUP(49,$N$14:$Z$303,8,FALSE)</f>
        <v>195</v>
      </c>
      <c r="H68" s="1462">
        <f>VLOOKUP(49,$N$14:$Z$303,9,FALSE)</f>
        <v>10</v>
      </c>
      <c r="I68" s="1915">
        <f>VLOOKUP(49,$N$14:$Z$303,10,FALSE)</f>
        <v>0.9</v>
      </c>
      <c r="J68" s="494">
        <f>VLOOKUP(49,$N$14:$Z$303,11,FALSE)</f>
        <v>8</v>
      </c>
      <c r="K68" s="491">
        <f>VLOOKUP(49,$N$14:$Z$303,12,FALSE)</f>
        <v>600</v>
      </c>
      <c r="L68" s="1744">
        <f>VLOOKUP(49,$N$14:$Z$303,13,FALSE)</f>
        <v>8</v>
      </c>
      <c r="M68" s="1073">
        <f>VLOOKUP(49,$N$14:$AA$303,14,FALSE)</f>
        <v>1</v>
      </c>
      <c r="N68" s="1073">
        <f t="shared" si="8"/>
        <v>49</v>
      </c>
      <c r="O68" s="1671" t="s">
        <v>982</v>
      </c>
      <c r="P68" s="1528">
        <v>13750</v>
      </c>
      <c r="Q68" s="1921">
        <v>1</v>
      </c>
      <c r="R68" s="1925">
        <f>R67</f>
        <v>3.7</v>
      </c>
      <c r="S68" s="1105">
        <v>248000</v>
      </c>
      <c r="T68" s="153">
        <v>4</v>
      </c>
      <c r="U68" s="140">
        <v>195</v>
      </c>
      <c r="V68" s="1682">
        <v>10</v>
      </c>
      <c r="W68" s="1916">
        <v>0.9</v>
      </c>
      <c r="X68" s="1683">
        <v>8</v>
      </c>
      <c r="Y68" s="1655">
        <v>600</v>
      </c>
      <c r="Z68" s="1656">
        <v>8</v>
      </c>
      <c r="AA68" s="1071">
        <f t="shared" si="9"/>
        <v>1</v>
      </c>
      <c r="AB68" s="1107">
        <v>0.19</v>
      </c>
      <c r="AC68" s="1704">
        <v>1.3</v>
      </c>
      <c r="AD68" s="1705">
        <v>1.1100000000000001</v>
      </c>
      <c r="AE68" s="1706" t="s">
        <v>327</v>
      </c>
      <c r="AF68" s="1534"/>
      <c r="AG68" s="578">
        <f>VLOOKUP(49,$N$14:$AD$303,15,FALSE)</f>
        <v>0.19</v>
      </c>
      <c r="AH68" s="579">
        <f>VLOOKUP(49,$N$14:$AD$303,16,FALSE)</f>
        <v>1.3</v>
      </c>
      <c r="AI68" s="592">
        <f>VLOOKUP(49,$N$14:$AD$303,17,FALSE)</f>
        <v>1.1100000000000001</v>
      </c>
    </row>
    <row r="69" spans="1:35" ht="13.9" x14ac:dyDescent="0.4">
      <c r="A69" s="595" t="str">
        <f>VLOOKUP(50,$N$14:$O$303,2,FALSE)</f>
        <v>Combine</v>
      </c>
      <c r="B69" s="1765">
        <f>VLOOKUP(50,$N$14:$Z$303,3,FALSE)</f>
        <v>739000</v>
      </c>
      <c r="C69" s="1919">
        <f>VLOOKUP(50,$N$14:$Z$303,4,FALSE)</f>
        <v>30</v>
      </c>
      <c r="D69" s="1926">
        <f>VLOOKUP(50,$N$14:$Z$303,5,FALSE)</f>
        <v>3.5</v>
      </c>
      <c r="E69" s="1765">
        <f>VLOOKUP(50,$N$14:$Z$303,6,FALSE)</f>
        <v>0</v>
      </c>
      <c r="F69" s="1742">
        <f>VLOOKUP(50,$N$14:$Z$303,7,FALSE)</f>
        <v>0</v>
      </c>
      <c r="G69" s="1747">
        <f>VLOOKUP(50,$N$14:$Z$303,8,FALSE)</f>
        <v>325</v>
      </c>
      <c r="H69" s="175">
        <f>VLOOKUP(50,$N$14:$Z$303,9,FALSE)</f>
        <v>300</v>
      </c>
      <c r="I69" s="405">
        <f>VLOOKUP(50,$N$14:$Z$303,10,FALSE)</f>
        <v>0.7</v>
      </c>
      <c r="J69" s="468">
        <f>VLOOKUP(50,$N$14:$Z$303,11,FALSE)</f>
        <v>8</v>
      </c>
      <c r="K69" s="1302">
        <f>VLOOKUP(50,$N$14:$Z$303,12,FALSE)</f>
        <v>0</v>
      </c>
      <c r="L69" s="1910">
        <f>VLOOKUP(50,$N$14:$Z$303,13,FALSE)</f>
        <v>0</v>
      </c>
      <c r="M69" s="1073">
        <f>VLOOKUP(50,$N$14:$AA$303,14,FALSE)</f>
        <v>1</v>
      </c>
      <c r="N69" s="1073">
        <f t="shared" si="8"/>
        <v>50</v>
      </c>
      <c r="O69" s="1671" t="s">
        <v>127</v>
      </c>
      <c r="P69" s="1528">
        <v>739000</v>
      </c>
      <c r="Q69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69" s="1925">
        <f>MAX(IF(Machine!$B$70&gt;0,1,Machine!$B$70)*Machine!$E$70,IF(Machine!$B$71&gt;0,1,Machine!$B$71)*Machine!$E$71,IF(Machine!$B$72&gt;0,1,Machine!$B$72)*Machine!$E$72,IF(Machine!$B$73&gt;0,1,Machine!$B$73)*Machine!$E$73,1)</f>
        <v>3.5</v>
      </c>
      <c r="S69" s="1950">
        <v>0</v>
      </c>
      <c r="T69" s="1686"/>
      <c r="U69" s="142">
        <v>325</v>
      </c>
      <c r="V69" s="1108">
        <v>300</v>
      </c>
      <c r="W69" s="1653">
        <v>0.7</v>
      </c>
      <c r="X69" s="1654">
        <v>8</v>
      </c>
      <c r="Y69" s="1687"/>
      <c r="Z69" s="1688"/>
      <c r="AA69" s="1071">
        <f t="shared" si="9"/>
        <v>1</v>
      </c>
      <c r="AB69" s="1723">
        <v>0.04</v>
      </c>
      <c r="AC69" s="1724">
        <v>2.1</v>
      </c>
      <c r="AD69" s="1725">
        <v>1.1100000000000001</v>
      </c>
      <c r="AE69" s="1706" t="s">
        <v>349</v>
      </c>
      <c r="AF69" s="1534"/>
      <c r="AG69" s="1114">
        <f>VLOOKUP(50,$N$14:$AD$303,15,FALSE)</f>
        <v>0.04</v>
      </c>
      <c r="AH69" s="581">
        <f>VLOOKUP(50,$N$14:$AD$303,16,FALSE)</f>
        <v>2.1</v>
      </c>
      <c r="AI69" s="594">
        <f>VLOOKUP(50,$N$14:$AD$303,17,FALSE)</f>
        <v>1.1100000000000001</v>
      </c>
    </row>
    <row r="70" spans="1:35" ht="13.9" x14ac:dyDescent="0.4">
      <c r="A70" s="595" t="str">
        <f>VLOOKUP(51,$N$14:$O$303,2,FALSE)</f>
        <v>Corn Head</v>
      </c>
      <c r="B70" s="1765">
        <f>VLOOKUP(51,$N$14:$Z$303,3,FALSE)</f>
        <v>67900</v>
      </c>
      <c r="C70" s="1770">
        <f>VLOOKUP(51,$N$14:$Z$303,4,FALSE)</f>
        <v>25</v>
      </c>
      <c r="D70" s="1914">
        <f>VLOOKUP(51,$N$14:$Z$303,5,FALSE)</f>
        <v>3.5</v>
      </c>
      <c r="E70" s="1765">
        <f>VLOOKUP(51,$N$14:$Z$303,6,FALSE)</f>
        <v>0</v>
      </c>
      <c r="F70" s="1742">
        <f>VLOOKUP(51,$N$14:$Z$303,7,FALSE)</f>
        <v>0</v>
      </c>
      <c r="G70" s="1913">
        <f>VLOOKUP(51,$N$14:$Z$303,8,FALSE)</f>
        <v>0</v>
      </c>
      <c r="H70" s="175">
        <f>VLOOKUP(51,$N$14:$Z$303,9,FALSE)</f>
        <v>300</v>
      </c>
      <c r="I70" s="405">
        <f>VLOOKUP(51,$N$14:$Z$303,10,FALSE)</f>
        <v>0.7</v>
      </c>
      <c r="J70" s="468">
        <f>VLOOKUP(51,$N$14:$Z$303,11,FALSE)</f>
        <v>8</v>
      </c>
      <c r="K70" s="1302">
        <f>VLOOKUP(51,$N$14:$Z$303,12,FALSE)</f>
        <v>0</v>
      </c>
      <c r="L70" s="1910">
        <f>VLOOKUP(51,$N$14:$Z$303,13,FALSE)</f>
        <v>0</v>
      </c>
      <c r="M70" s="1073">
        <f>VLOOKUP(51,$N$14:$AA$303,14,FALSE)</f>
        <v>1</v>
      </c>
      <c r="N70" s="1073">
        <f t="shared" si="8"/>
        <v>51</v>
      </c>
      <c r="O70" s="1671" t="s">
        <v>128</v>
      </c>
      <c r="P70" s="1528">
        <v>67900</v>
      </c>
      <c r="Q70" s="1520">
        <v>25</v>
      </c>
      <c r="R70" s="1521">
        <v>3.5</v>
      </c>
      <c r="S70" s="1951">
        <v>0</v>
      </c>
      <c r="T70" s="1689"/>
      <c r="U70" s="1953">
        <v>0</v>
      </c>
      <c r="V70" s="1108">
        <v>300</v>
      </c>
      <c r="W70" s="1653">
        <v>0.7</v>
      </c>
      <c r="X70" s="1654">
        <v>8</v>
      </c>
      <c r="Y70" s="1687"/>
      <c r="Z70" s="1688"/>
      <c r="AA70" s="1071">
        <f t="shared" si="9"/>
        <v>1</v>
      </c>
      <c r="AB70" s="1107">
        <v>0.12</v>
      </c>
      <c r="AC70" s="1704">
        <v>2.2999999999999998</v>
      </c>
      <c r="AD70" s="1726"/>
      <c r="AE70" s="1706" t="s">
        <v>349</v>
      </c>
      <c r="AF70" s="1534"/>
      <c r="AG70" s="578">
        <f>VLOOKUP(51,$N$14:$AD$303,15,FALSE)</f>
        <v>0.12</v>
      </c>
      <c r="AH70" s="579">
        <f>VLOOKUP(51,$N$14:$AD$303,16,FALSE)</f>
        <v>2.2999999999999998</v>
      </c>
      <c r="AI70" s="592">
        <f>VLOOKUP(51,$N$14:$AD$303,17,FALSE)</f>
        <v>0</v>
      </c>
    </row>
    <row r="71" spans="1:35" ht="13.9" x14ac:dyDescent="0.4">
      <c r="A71" s="595" t="str">
        <f>VLOOKUP(52,$N$14:$O$303,2,FALSE)</f>
        <v>Soybean Head</v>
      </c>
      <c r="B71" s="1765">
        <f>VLOOKUP(52,$N$14:$Z$303,3,FALSE)</f>
        <v>43800</v>
      </c>
      <c r="C71" s="1770">
        <f>VLOOKUP(52,$N$14:$Z$303,4,FALSE)</f>
        <v>30</v>
      </c>
      <c r="D71" s="1914">
        <f>VLOOKUP(52,$N$14:$Z$303,5,FALSE)</f>
        <v>4.5</v>
      </c>
      <c r="E71" s="1765">
        <f>VLOOKUP(52,$N$14:$Z$303,6,FALSE)</f>
        <v>0</v>
      </c>
      <c r="F71" s="1742">
        <f>VLOOKUP(52,$N$14:$Z$303,7,FALSE)</f>
        <v>0</v>
      </c>
      <c r="G71" s="1913">
        <f>VLOOKUP(52,$N$14:$Z$303,8,FALSE)</f>
        <v>0</v>
      </c>
      <c r="H71" s="175">
        <f>VLOOKUP(52,$N$14:$Z$303,9,FALSE)</f>
        <v>300</v>
      </c>
      <c r="I71" s="405">
        <f>VLOOKUP(52,$N$14:$Z$303,10,FALSE)</f>
        <v>0.7</v>
      </c>
      <c r="J71" s="468">
        <f>VLOOKUP(52,$N$14:$Z$303,11,FALSE)</f>
        <v>8</v>
      </c>
      <c r="K71" s="1302">
        <f>VLOOKUP(52,$N$14:$Z$303,12,FALSE)</f>
        <v>0</v>
      </c>
      <c r="L71" s="1910">
        <f>VLOOKUP(52,$N$14:$Z$303,13,FALSE)</f>
        <v>0</v>
      </c>
      <c r="M71" s="1073">
        <f>VLOOKUP(52,$N$14:$AA$303,14,FALSE)</f>
        <v>1</v>
      </c>
      <c r="N71" s="1073">
        <f t="shared" si="8"/>
        <v>52</v>
      </c>
      <c r="O71" s="1671" t="s">
        <v>129</v>
      </c>
      <c r="P71" s="1528">
        <v>43800</v>
      </c>
      <c r="Q71" s="1520">
        <v>30</v>
      </c>
      <c r="R71" s="1521">
        <v>4.5</v>
      </c>
      <c r="S71" s="1951">
        <v>0</v>
      </c>
      <c r="T71" s="1689"/>
      <c r="U71" s="1953">
        <v>0</v>
      </c>
      <c r="V71" s="1108">
        <v>300</v>
      </c>
      <c r="W71" s="1653">
        <v>0.7</v>
      </c>
      <c r="X71" s="1654">
        <v>8</v>
      </c>
      <c r="Y71" s="1687"/>
      <c r="Z71" s="1688"/>
      <c r="AA71" s="1071">
        <f t="shared" si="9"/>
        <v>1</v>
      </c>
      <c r="AB71" s="1107">
        <v>0.12</v>
      </c>
      <c r="AC71" s="1704">
        <v>2.2999999999999998</v>
      </c>
      <c r="AD71" s="1726"/>
      <c r="AE71" s="1706" t="s">
        <v>349</v>
      </c>
      <c r="AF71" s="1534"/>
      <c r="AG71" s="578">
        <f>VLOOKUP(52,$N$14:$AD$303,15,FALSE)</f>
        <v>0.12</v>
      </c>
      <c r="AH71" s="579">
        <f>VLOOKUP(52,$N$14:$AD$303,16,FALSE)</f>
        <v>2.2999999999999998</v>
      </c>
      <c r="AI71" s="592">
        <f>VLOOKUP(52,$N$14:$AD$303,17,FALSE)</f>
        <v>0</v>
      </c>
    </row>
    <row r="72" spans="1:35" ht="13.9" x14ac:dyDescent="0.4">
      <c r="A72" s="595" t="str">
        <f>VLOOKUP(53,$N$14:$O$303,2,FALSE)</f>
        <v>Rice Head</v>
      </c>
      <c r="B72" s="1765">
        <f>VLOOKUP(53,$N$14:$Z$303,3,FALSE)</f>
        <v>78600</v>
      </c>
      <c r="C72" s="1770">
        <f>VLOOKUP(53,$N$14:$Z$303,4,FALSE)</f>
        <v>30</v>
      </c>
      <c r="D72" s="1914">
        <f>VLOOKUP(53,$N$14:$Z$303,5,FALSE)</f>
        <v>2.5</v>
      </c>
      <c r="E72" s="1765">
        <f>VLOOKUP(53,$N$14:$Z$303,6,FALSE)</f>
        <v>0</v>
      </c>
      <c r="F72" s="1742">
        <f>VLOOKUP(53,$N$14:$Z$303,7,FALSE)</f>
        <v>0</v>
      </c>
      <c r="G72" s="1913">
        <f>VLOOKUP(53,$N$14:$Z$303,8,FALSE)</f>
        <v>0</v>
      </c>
      <c r="H72" s="175">
        <f>VLOOKUP(53,$N$14:$Z$303,9,FALSE)</f>
        <v>300</v>
      </c>
      <c r="I72" s="405">
        <f>VLOOKUP(53,$N$14:$Z$303,10,FALSE)</f>
        <v>0.7</v>
      </c>
      <c r="J72" s="468">
        <f>VLOOKUP(53,$N$14:$Z$303,11,FALSE)</f>
        <v>8</v>
      </c>
      <c r="K72" s="1302">
        <f>VLOOKUP(53,$N$14:$Z$303,12,FALSE)</f>
        <v>0</v>
      </c>
      <c r="L72" s="1910">
        <f>VLOOKUP(53,$N$14:$Z$303,13,FALSE)</f>
        <v>0</v>
      </c>
      <c r="M72" s="1073">
        <f>VLOOKUP(53,$N$14:$AA$303,14,FALSE)</f>
        <v>1</v>
      </c>
      <c r="N72" s="1073">
        <f t="shared" si="8"/>
        <v>53</v>
      </c>
      <c r="O72" s="1671" t="s">
        <v>130</v>
      </c>
      <c r="P72" s="1528">
        <v>78600</v>
      </c>
      <c r="Q72" s="1520">
        <v>30</v>
      </c>
      <c r="R72" s="1521">
        <v>2.5</v>
      </c>
      <c r="S72" s="1951">
        <v>0</v>
      </c>
      <c r="T72" s="1689"/>
      <c r="U72" s="1953">
        <v>0</v>
      </c>
      <c r="V72" s="1108">
        <v>300</v>
      </c>
      <c r="W72" s="1653">
        <v>0.7</v>
      </c>
      <c r="X72" s="1654">
        <v>8</v>
      </c>
      <c r="Y72" s="1687"/>
      <c r="Z72" s="1688"/>
      <c r="AA72" s="1071">
        <f t="shared" si="9"/>
        <v>1</v>
      </c>
      <c r="AB72" s="1107">
        <v>0.12</v>
      </c>
      <c r="AC72" s="1704">
        <v>2.2999999999999998</v>
      </c>
      <c r="AD72" s="1726"/>
      <c r="AE72" s="1706" t="s">
        <v>349</v>
      </c>
      <c r="AF72" s="1534"/>
      <c r="AG72" s="578">
        <f>VLOOKUP(53,$N$14:$AD$303,15,FALSE)</f>
        <v>0.12</v>
      </c>
      <c r="AH72" s="579">
        <f>VLOOKUP(53,$N$14:$AD$303,16,FALSE)</f>
        <v>2.2999999999999998</v>
      </c>
      <c r="AI72" s="592">
        <f>VLOOKUP(53,$N$14:$AD$303,17,FALSE)</f>
        <v>0</v>
      </c>
    </row>
    <row r="73" spans="1:35" ht="13.9" x14ac:dyDescent="0.4">
      <c r="A73" s="595" t="str">
        <f>VLOOKUP(54,$N$14:$O$303,2,FALSE)</f>
        <v>Wheat/Sorghum Head</v>
      </c>
      <c r="B73" s="1765">
        <f>VLOOKUP(54,$N$14:$Z$303,3,FALSE)</f>
        <v>29100</v>
      </c>
      <c r="C73" s="1770">
        <f>VLOOKUP(54,$N$14:$Z$303,4,FALSE)</f>
        <v>30</v>
      </c>
      <c r="D73" s="1914">
        <f>VLOOKUP(54,$N$14:$Z$303,5,FALSE)</f>
        <v>3.5</v>
      </c>
      <c r="E73" s="1765">
        <f>VLOOKUP(54,$N$14:$Z$303,6,FALSE)</f>
        <v>0</v>
      </c>
      <c r="F73" s="1742">
        <f>VLOOKUP(54,$N$14:$Z$303,7,FALSE)</f>
        <v>0</v>
      </c>
      <c r="G73" s="1913">
        <f>VLOOKUP(54,$N$14:$Z$303,8,FALSE)</f>
        <v>0</v>
      </c>
      <c r="H73" s="175">
        <f>VLOOKUP(54,$N$14:$Z$303,9,FALSE)</f>
        <v>300</v>
      </c>
      <c r="I73" s="405">
        <f>VLOOKUP(54,$N$14:$Z$303,10,FALSE)</f>
        <v>0.7</v>
      </c>
      <c r="J73" s="468">
        <f>VLOOKUP(54,$N$14:$Z$303,11,FALSE)</f>
        <v>8</v>
      </c>
      <c r="K73" s="1302">
        <f>VLOOKUP(54,$N$14:$Z$303,12,FALSE)</f>
        <v>0</v>
      </c>
      <c r="L73" s="1910">
        <f>VLOOKUP(54,$N$14:$Z$303,13,FALSE)</f>
        <v>0</v>
      </c>
      <c r="M73" s="1073">
        <f>VLOOKUP(54,$N$14:$AA$303,14,FALSE)</f>
        <v>1</v>
      </c>
      <c r="N73" s="1073">
        <f t="shared" si="8"/>
        <v>54</v>
      </c>
      <c r="O73" s="1671" t="s">
        <v>160</v>
      </c>
      <c r="P73" s="1528">
        <v>29100</v>
      </c>
      <c r="Q73" s="1520">
        <v>30</v>
      </c>
      <c r="R73" s="1521">
        <v>3.5</v>
      </c>
      <c r="S73" s="1952">
        <v>0</v>
      </c>
      <c r="T73" s="1690"/>
      <c r="U73" s="1953">
        <v>0</v>
      </c>
      <c r="V73" s="1108">
        <v>300</v>
      </c>
      <c r="W73" s="1653">
        <v>0.7</v>
      </c>
      <c r="X73" s="1654">
        <v>8</v>
      </c>
      <c r="Y73" s="1687"/>
      <c r="Z73" s="1688"/>
      <c r="AA73" s="1071">
        <f t="shared" si="9"/>
        <v>1</v>
      </c>
      <c r="AB73" s="1107">
        <v>0.12</v>
      </c>
      <c r="AC73" s="1704">
        <v>2.2999999999999998</v>
      </c>
      <c r="AD73" s="1726"/>
      <c r="AE73" s="1706" t="s">
        <v>349</v>
      </c>
      <c r="AF73" s="1534"/>
      <c r="AG73" s="578">
        <f>VLOOKUP(54,$N$14:$AD$303,15,FALSE)</f>
        <v>0.12</v>
      </c>
      <c r="AH73" s="579">
        <f>VLOOKUP(54,$N$14:$AD$303,16,FALSE)</f>
        <v>2.2999999999999998</v>
      </c>
      <c r="AI73" s="592">
        <f>VLOOKUP(54,$N$14:$AD$303,17,FALSE)</f>
        <v>0</v>
      </c>
    </row>
    <row r="74" spans="1:35" ht="13.9" x14ac:dyDescent="0.4">
      <c r="A74" s="595" t="str">
        <f>VLOOKUP(55,$N$14:$O$303,2,FALSE)</f>
        <v>Grain Cart with Tractor</v>
      </c>
      <c r="B74" s="1765">
        <f>VLOOKUP(55,$N$14:$Z$303,3,FALSE)</f>
        <v>58400</v>
      </c>
      <c r="C74" s="1919">
        <f>VLOOKUP(55,$N$14:$Z$303,4,FALSE)</f>
        <v>30</v>
      </c>
      <c r="D74" s="1924">
        <f>VLOOKUP(55,$N$14:$Z$303,5,FALSE)</f>
        <v>3.5</v>
      </c>
      <c r="E74" s="1769">
        <f>VLOOKUP(55,$N$14:$Z$303,6,FALSE)</f>
        <v>248000</v>
      </c>
      <c r="F74" s="1742">
        <f>VLOOKUP(55,$N$14:$Z$303,7,FALSE)</f>
        <v>4</v>
      </c>
      <c r="G74" s="1747">
        <f>VLOOKUP(55,$N$14:$Z$303,8,FALSE)</f>
        <v>195</v>
      </c>
      <c r="H74" s="1462">
        <f>VLOOKUP(55,$N$14:$Z$303,9,FALSE)</f>
        <v>300</v>
      </c>
      <c r="I74" s="1915">
        <f>VLOOKUP(55,$N$14:$Z$303,10,FALSE)</f>
        <v>0.7</v>
      </c>
      <c r="J74" s="494">
        <f>VLOOKUP(55,$N$14:$Z$303,11,FALSE)</f>
        <v>8</v>
      </c>
      <c r="K74" s="495">
        <f>VLOOKUP(55,$N$14:$Z$303,12,FALSE)</f>
        <v>600</v>
      </c>
      <c r="L74" s="1767">
        <f>VLOOKUP(55,$N$14:$Z$303,13,FALSE)</f>
        <v>8</v>
      </c>
      <c r="M74" s="1073">
        <f>VLOOKUP(55,$N$14:$AA$303,14,FALSE)</f>
        <v>1</v>
      </c>
      <c r="N74" s="1073">
        <f t="shared" si="8"/>
        <v>55</v>
      </c>
      <c r="O74" s="1671" t="s">
        <v>980</v>
      </c>
      <c r="P74" s="1528">
        <v>58400</v>
      </c>
      <c r="Q74" s="1921">
        <f>Q69</f>
        <v>30</v>
      </c>
      <c r="R74" s="1925">
        <f>R69</f>
        <v>3.5</v>
      </c>
      <c r="S74" s="1105">
        <v>248000</v>
      </c>
      <c r="T74" s="139">
        <v>4</v>
      </c>
      <c r="U74" s="142">
        <v>195</v>
      </c>
      <c r="V74" s="1682">
        <v>300</v>
      </c>
      <c r="W74" s="1916">
        <v>0.7</v>
      </c>
      <c r="X74" s="1683">
        <v>8</v>
      </c>
      <c r="Y74" s="138">
        <v>600</v>
      </c>
      <c r="Z74" s="1684">
        <v>8</v>
      </c>
      <c r="AA74" s="1071">
        <f t="shared" si="9"/>
        <v>1</v>
      </c>
      <c r="AB74" s="1720">
        <v>0.19</v>
      </c>
      <c r="AC74" s="1721">
        <v>1.3</v>
      </c>
      <c r="AD74" s="1722">
        <v>1.1100000000000001</v>
      </c>
      <c r="AE74" s="1706" t="s">
        <v>327</v>
      </c>
      <c r="AF74" s="1534"/>
      <c r="AG74" s="1113">
        <f>VLOOKUP(55,$N$14:$AD$303,15,FALSE)</f>
        <v>0.19</v>
      </c>
      <c r="AH74" s="580">
        <f>VLOOKUP(55,$N$14:$AD$303,16,FALSE)</f>
        <v>1.3</v>
      </c>
      <c r="AI74" s="793">
        <f>VLOOKUP(55,$N$14:$AD$303,17,FALSE)</f>
        <v>1.1100000000000001</v>
      </c>
    </row>
    <row r="75" spans="1:35" ht="13.9" x14ac:dyDescent="0.4">
      <c r="A75" s="595" t="str">
        <f>VLOOKUP(56,$N$14:$O$303,2,FALSE)</f>
        <v>Other Harvest</v>
      </c>
      <c r="B75" s="1765">
        <f>VLOOKUP(56,$N$14:$Z$303,3,FALSE)</f>
        <v>0</v>
      </c>
      <c r="C75" s="1749">
        <f>VLOOKUP(56,$N$14:$Z$303,4,FALSE)</f>
        <v>19</v>
      </c>
      <c r="D75" s="1750">
        <f>VLOOKUP(56,$N$14:$Z$303,5,FALSE)</f>
        <v>2.5</v>
      </c>
      <c r="E75" s="1773">
        <f>VLOOKUP(56,$N$14:$Z$303,6,FALSE)</f>
        <v>0</v>
      </c>
      <c r="F75" s="1809">
        <f>VLOOKUP(56,$N$14:$Z$303,7,FALSE)</f>
        <v>0</v>
      </c>
      <c r="G75" s="1747">
        <f>VLOOKUP(56,$N$14:$Z$303,8,FALSE)</f>
        <v>230</v>
      </c>
      <c r="H75" s="175">
        <f>VLOOKUP(56,$N$14:$Z$303,9,FALSE)</f>
        <v>200</v>
      </c>
      <c r="I75" s="405">
        <f>VLOOKUP(56,$N$14:$Z$303,10,FALSE)</f>
        <v>0.65</v>
      </c>
      <c r="J75" s="468">
        <f>VLOOKUP(56,$N$14:$Z$303,11,FALSE)</f>
        <v>8</v>
      </c>
      <c r="K75" s="1302">
        <f>VLOOKUP(56,$N$14:$Z$303,12,FALSE)</f>
        <v>0</v>
      </c>
      <c r="L75" s="1910">
        <f>VLOOKUP(56,$N$14:$Z$303,13,FALSE)</f>
        <v>0</v>
      </c>
      <c r="M75" s="1073">
        <f>VLOOKUP(56,$N$14:$AA$303,14,FALSE)</f>
        <v>1</v>
      </c>
      <c r="N75" s="1073">
        <f t="shared" si="8"/>
        <v>56</v>
      </c>
      <c r="O75" s="1671" t="s">
        <v>562</v>
      </c>
      <c r="P75" s="1105">
        <v>0</v>
      </c>
      <c r="Q75" s="538">
        <v>19</v>
      </c>
      <c r="R75" s="723">
        <v>2.5</v>
      </c>
      <c r="S75" s="1952">
        <v>0</v>
      </c>
      <c r="T75" s="1690"/>
      <c r="U75" s="142">
        <v>230</v>
      </c>
      <c r="V75" s="1108">
        <v>200</v>
      </c>
      <c r="W75" s="1653">
        <v>0.65</v>
      </c>
      <c r="X75" s="1654">
        <v>8</v>
      </c>
      <c r="Y75" s="1687"/>
      <c r="Z75" s="1688"/>
      <c r="AA75" s="1071">
        <f t="shared" si="9"/>
        <v>1</v>
      </c>
      <c r="AB75" s="1107">
        <v>0.04</v>
      </c>
      <c r="AC75" s="1704">
        <v>2.1</v>
      </c>
      <c r="AD75" s="1671">
        <v>1.1100000000000001</v>
      </c>
      <c r="AE75" s="1706" t="s">
        <v>349</v>
      </c>
      <c r="AF75" s="1534"/>
      <c r="AG75" s="578">
        <f>VLOOKUP(56,$N$14:$AD$303,15,FALSE)</f>
        <v>0.04</v>
      </c>
      <c r="AH75" s="579">
        <f>VLOOKUP(56,$N$14:$AD$303,16,FALSE)</f>
        <v>2.1</v>
      </c>
      <c r="AI75" s="592">
        <f>VLOOKUP(56,$N$14:$AD$303,17,FALSE)</f>
        <v>1.1100000000000001</v>
      </c>
    </row>
    <row r="76" spans="1:35" ht="13.9" x14ac:dyDescent="0.4">
      <c r="A76" s="595" t="str">
        <f>VLOOKUP(57,$N$14:$O$303,2,FALSE)</f>
        <v>Peanut Harvester, with Tractor</v>
      </c>
      <c r="B76" s="1765">
        <f>VLOOKUP(57,$N$14:$Z$303,3,FALSE)</f>
        <v>179000</v>
      </c>
      <c r="C76" s="1749">
        <f>VLOOKUP(57,$N$14:$Z$303,4,FALSE)</f>
        <v>19</v>
      </c>
      <c r="D76" s="1750">
        <f>VLOOKUP(57,$N$14:$Z$303,5,FALSE)</f>
        <v>2</v>
      </c>
      <c r="E76" s="496">
        <f>VLOOKUP(57,$N$14:$Z$303,6,FALSE)</f>
        <v>308000</v>
      </c>
      <c r="F76" s="1742">
        <f>VLOOKUP(57,$N$14:$Z$303,7,FALSE)</f>
        <v>4</v>
      </c>
      <c r="G76" s="1747">
        <f>VLOOKUP(57,$N$14:$Z$303,8,FALSE)</f>
        <v>230</v>
      </c>
      <c r="H76" s="175">
        <f>VLOOKUP(57,$N$14:$Z$303,9,FALSE)</f>
        <v>200</v>
      </c>
      <c r="I76" s="405">
        <f>VLOOKUP(57,$N$14:$Z$303,10,FALSE)</f>
        <v>0.65</v>
      </c>
      <c r="J76" s="468">
        <f>VLOOKUP(57,$N$14:$Z$303,11,FALSE)</f>
        <v>8</v>
      </c>
      <c r="K76" s="491">
        <f>VLOOKUP(57,$N$14:$Z$303,12,FALSE)</f>
        <v>600</v>
      </c>
      <c r="L76" s="1744">
        <f>VLOOKUP(57,$N$14:$Z$303,13,FALSE)</f>
        <v>8</v>
      </c>
      <c r="M76" s="1073">
        <f>VLOOKUP(57,$N$14:$AA$303,14,FALSE)</f>
        <v>1</v>
      </c>
      <c r="N76" s="1073">
        <f t="shared" si="8"/>
        <v>57</v>
      </c>
      <c r="O76" s="1671" t="s">
        <v>981</v>
      </c>
      <c r="P76" s="1528">
        <v>179000</v>
      </c>
      <c r="Q76" s="538">
        <v>19</v>
      </c>
      <c r="R76" s="723">
        <v>2</v>
      </c>
      <c r="S76" s="138">
        <v>308000</v>
      </c>
      <c r="T76" s="139">
        <v>4</v>
      </c>
      <c r="U76" s="142">
        <v>230</v>
      </c>
      <c r="V76" s="1108">
        <v>200</v>
      </c>
      <c r="W76" s="1653">
        <v>0.65</v>
      </c>
      <c r="X76" s="1654">
        <v>8</v>
      </c>
      <c r="Y76" s="1655">
        <v>600</v>
      </c>
      <c r="Z76" s="1656">
        <v>8</v>
      </c>
      <c r="AA76" s="1071">
        <f t="shared" si="9"/>
        <v>1</v>
      </c>
      <c r="AB76" s="1107">
        <v>0.04</v>
      </c>
      <c r="AC76" s="1704">
        <v>2.1</v>
      </c>
      <c r="AD76" s="1671">
        <v>1.1100000000000001</v>
      </c>
      <c r="AE76" s="1706" t="s">
        <v>349</v>
      </c>
      <c r="AF76" s="1534"/>
      <c r="AG76" s="578">
        <f>VLOOKUP(57,$N$14:$AD$303,15,FALSE)</f>
        <v>0.04</v>
      </c>
      <c r="AH76" s="579">
        <f>VLOOKUP(57,$N$14:$AD$303,16,FALSE)</f>
        <v>2.1</v>
      </c>
      <c r="AI76" s="592">
        <f>VLOOKUP(57,$N$14:$AD$303,17,FALSE)</f>
        <v>1.1100000000000001</v>
      </c>
    </row>
    <row r="77" spans="1:35" ht="13.9" x14ac:dyDescent="0.4">
      <c r="A77" s="595" t="str">
        <f>VLOOKUP(58,$N$14:$O$303,2,FALSE)</f>
        <v>Peanut Dump Cart with Tractor</v>
      </c>
      <c r="B77" s="1765">
        <f>VLOOKUP(58,$N$14:$Z$303,3,FALSE)</f>
        <v>57500</v>
      </c>
      <c r="C77" s="1919">
        <f>VLOOKUP(58,$N$14:$Z$303,4,FALSE)</f>
        <v>19</v>
      </c>
      <c r="D77" s="1924">
        <f>VLOOKUP(58,$N$14:$Z$303,5,FALSE)</f>
        <v>2</v>
      </c>
      <c r="E77" s="1771">
        <f>VLOOKUP(58,$N$14:$Z$303,6,FALSE)</f>
        <v>248000</v>
      </c>
      <c r="F77" s="1772">
        <f>VLOOKUP(58,$N$14:$Z$303,7,FALSE)</f>
        <v>4</v>
      </c>
      <c r="G77" s="1747">
        <f>VLOOKUP(58,$N$14:$Z$303,8,FALSE)</f>
        <v>195</v>
      </c>
      <c r="H77" s="175">
        <f>VLOOKUP(58,$N$14:$Z$303,9,FALSE)</f>
        <v>200</v>
      </c>
      <c r="I77" s="405">
        <f>VLOOKUP(58,$N$14:$Z$303,10,FALSE)</f>
        <v>0.65</v>
      </c>
      <c r="J77" s="468">
        <f>VLOOKUP(58,$N$14:$Z$303,11,FALSE)</f>
        <v>8</v>
      </c>
      <c r="K77" s="491">
        <f>VLOOKUP(58,$N$14:$Z$303,12,FALSE)</f>
        <v>600</v>
      </c>
      <c r="L77" s="1744">
        <f>VLOOKUP(58,$N$14:$Z$303,13,FALSE)</f>
        <v>8</v>
      </c>
      <c r="M77" s="1073">
        <f>VLOOKUP(58,$N$14:$AA$303,14,FALSE)</f>
        <v>1</v>
      </c>
      <c r="N77" s="1073">
        <f t="shared" si="8"/>
        <v>58</v>
      </c>
      <c r="O77" s="1671" t="s">
        <v>985</v>
      </c>
      <c r="P77" s="1528">
        <v>57500</v>
      </c>
      <c r="Q77" s="1921">
        <f>IF(Machine!$B$75&gt;0,Q75,Q76)</f>
        <v>19</v>
      </c>
      <c r="R77" s="1925">
        <f>IF(Machine!$B$75&gt;0,R75,R76)</f>
        <v>2</v>
      </c>
      <c r="S77" s="149">
        <v>248000</v>
      </c>
      <c r="T77" s="139">
        <v>4</v>
      </c>
      <c r="U77" s="142">
        <v>195</v>
      </c>
      <c r="V77" s="1108">
        <v>200</v>
      </c>
      <c r="W77" s="1653">
        <v>0.65</v>
      </c>
      <c r="X77" s="1654">
        <v>8</v>
      </c>
      <c r="Y77" s="1655">
        <v>600</v>
      </c>
      <c r="Z77" s="1656">
        <v>8</v>
      </c>
      <c r="AA77" s="1071">
        <f t="shared" si="9"/>
        <v>1</v>
      </c>
      <c r="AB77" s="1107">
        <v>0.19</v>
      </c>
      <c r="AC77" s="1704">
        <v>1.3</v>
      </c>
      <c r="AD77" s="1727">
        <v>1.1100000000000001</v>
      </c>
      <c r="AE77" s="1706" t="s">
        <v>327</v>
      </c>
      <c r="AF77" s="1534"/>
      <c r="AG77" s="578">
        <f>VLOOKUP(58,$N$14:$AD$303,15,FALSE)</f>
        <v>0.19</v>
      </c>
      <c r="AH77" s="579">
        <f>VLOOKUP(58,$N$14:$AD$303,16,FALSE)</f>
        <v>1.3</v>
      </c>
      <c r="AI77" s="792">
        <f>VLOOKUP(58,$N$14:$AD$303,17,FALSE)</f>
        <v>1.1100000000000001</v>
      </c>
    </row>
    <row r="78" spans="1:35" ht="13.9" x14ac:dyDescent="0.4">
      <c r="A78" s="595" t="str">
        <f>VLOOKUP(59,$N$14:$O$303,2,FALSE)</f>
        <v>Peanut Wagon, 28 ft., with Tractor</v>
      </c>
      <c r="B78" s="1765">
        <f>VLOOKUP(59,$N$14:$Z$303,3,FALSE)</f>
        <v>7800</v>
      </c>
      <c r="C78" s="1919">
        <f>VLOOKUP(59,$N$14:$Z$303,4,FALSE)</f>
        <v>19</v>
      </c>
      <c r="D78" s="1924">
        <f>VLOOKUP(59,$N$14:$Z$303,5,FALSE)</f>
        <v>2</v>
      </c>
      <c r="E78" s="1773">
        <f>VLOOKUP(59,$N$14:$Z$303,6,FALSE)</f>
        <v>248000</v>
      </c>
      <c r="F78" s="1751">
        <f>VLOOKUP(59,$N$14:$Z$303,7,FALSE)</f>
        <v>4</v>
      </c>
      <c r="G78" s="1747">
        <f>VLOOKUP(59,$N$14:$Z$303,8,FALSE)</f>
        <v>195</v>
      </c>
      <c r="H78" s="1462">
        <f>VLOOKUP(59,$N$14:$Z$303,9,FALSE)</f>
        <v>200</v>
      </c>
      <c r="I78" s="1915">
        <f>VLOOKUP(59,$N$14:$Z$303,10,FALSE)</f>
        <v>0.65</v>
      </c>
      <c r="J78" s="494">
        <f>VLOOKUP(59,$N$14:$Z$303,11,FALSE)</f>
        <v>8</v>
      </c>
      <c r="K78" s="495">
        <f>VLOOKUP(59,$N$14:$Z$303,12,FALSE)</f>
        <v>600</v>
      </c>
      <c r="L78" s="1767">
        <f>VLOOKUP(59,$N$14:$Z$303,13,FALSE)</f>
        <v>8</v>
      </c>
      <c r="M78" s="1073">
        <f>VLOOKUP(59,$N$14:$AA$303,14,FALSE)</f>
        <v>1</v>
      </c>
      <c r="N78" s="1073">
        <f t="shared" si="8"/>
        <v>59</v>
      </c>
      <c r="O78" s="1671" t="s">
        <v>986</v>
      </c>
      <c r="P78" s="1528">
        <v>7800</v>
      </c>
      <c r="Q78" s="1921">
        <f>Q77</f>
        <v>19</v>
      </c>
      <c r="R78" s="1925">
        <f>R77</f>
        <v>2</v>
      </c>
      <c r="S78" s="149">
        <v>248000</v>
      </c>
      <c r="T78" s="139">
        <v>4</v>
      </c>
      <c r="U78" s="142">
        <v>195</v>
      </c>
      <c r="V78" s="1682">
        <v>200</v>
      </c>
      <c r="W78" s="1653">
        <v>0.65</v>
      </c>
      <c r="X78" s="1683">
        <v>8</v>
      </c>
      <c r="Y78" s="138">
        <v>600</v>
      </c>
      <c r="Z78" s="1684">
        <v>8</v>
      </c>
      <c r="AA78" s="1071">
        <f t="shared" si="9"/>
        <v>1</v>
      </c>
      <c r="AB78" s="1720">
        <v>0.19</v>
      </c>
      <c r="AC78" s="1721">
        <v>1.3</v>
      </c>
      <c r="AD78" s="1728">
        <v>1.1100000000000001</v>
      </c>
      <c r="AE78" s="1706" t="s">
        <v>327</v>
      </c>
      <c r="AF78" s="1534"/>
      <c r="AG78" s="1113">
        <f>VLOOKUP(59,$N$14:$AD$303,15,FALSE)</f>
        <v>0.19</v>
      </c>
      <c r="AH78" s="580">
        <f>VLOOKUP(59,$N$14:$AD$303,16,FALSE)</f>
        <v>1.3</v>
      </c>
      <c r="AI78" s="793">
        <f>VLOOKUP(59,$N$14:$AD$303,17,FALSE)</f>
        <v>1.1100000000000001</v>
      </c>
    </row>
    <row r="79" spans="1:35" ht="13.9" x14ac:dyDescent="0.4">
      <c r="A79" s="595" t="str">
        <f>VLOOKUP(60,$N$14:$O$303,2,FALSE)</f>
        <v>Other Harvest</v>
      </c>
      <c r="B79" s="1774">
        <f>VLOOKUP(60,$N$14:$Z$303,3,FALSE)</f>
        <v>0</v>
      </c>
      <c r="C79" s="1775">
        <f>VLOOKUP(60,$N$14:$Z$303,4,FALSE)</f>
        <v>1</v>
      </c>
      <c r="D79" s="1768">
        <f>VLOOKUP(60,$N$14:$Z$303,5,FALSE)</f>
        <v>1</v>
      </c>
      <c r="E79" s="1773">
        <f>VLOOKUP(60,$N$14:$Z$303,6,FALSE)</f>
        <v>0</v>
      </c>
      <c r="F79" s="1751">
        <f>VLOOKUP(60,$N$14:$Z$303,7,FALSE)</f>
        <v>0</v>
      </c>
      <c r="G79" s="1743">
        <f>VLOOKUP(60,$N$14:$Z$303,8,FALSE)</f>
        <v>325</v>
      </c>
      <c r="H79" s="175">
        <f>VLOOKUP(60,$N$14:$Z$303,9,FALSE)</f>
        <v>200</v>
      </c>
      <c r="I79" s="405">
        <f>VLOOKUP(60,$N$14:$Z$303,10,FALSE)</f>
        <v>0.7</v>
      </c>
      <c r="J79" s="468">
        <f>VLOOKUP(60,$N$14:$Z$303,11,FALSE)</f>
        <v>8</v>
      </c>
      <c r="K79" s="1302">
        <f>VLOOKUP(60,$N$14:$Z$303,12,FALSE)</f>
        <v>0</v>
      </c>
      <c r="L79" s="1910">
        <f>VLOOKUP(60,$N$14:$Z$303,13,FALSE)</f>
        <v>0</v>
      </c>
      <c r="M79" s="1073">
        <f>VLOOKUP(60,$N$14:$AA$303,14,FALSE)</f>
        <v>1</v>
      </c>
      <c r="N79" s="1073">
        <f t="shared" si="8"/>
        <v>60</v>
      </c>
      <c r="O79" s="1671" t="s">
        <v>562</v>
      </c>
      <c r="P79" s="1528">
        <v>0</v>
      </c>
      <c r="Q79" s="738">
        <v>1</v>
      </c>
      <c r="R79" s="317">
        <v>1</v>
      </c>
      <c r="S79" s="1952">
        <v>0</v>
      </c>
      <c r="T79" s="1691"/>
      <c r="U79" s="140">
        <v>325</v>
      </c>
      <c r="V79" s="1108">
        <v>200</v>
      </c>
      <c r="W79" s="1653">
        <v>0.7</v>
      </c>
      <c r="X79" s="1654">
        <v>8</v>
      </c>
      <c r="Y79" s="1687"/>
      <c r="Z79" s="1688"/>
      <c r="AA79" s="1071">
        <f t="shared" si="9"/>
        <v>1</v>
      </c>
      <c r="AB79" s="1107">
        <v>0.11</v>
      </c>
      <c r="AC79" s="1704">
        <v>1.8</v>
      </c>
      <c r="AD79" s="1705">
        <v>1.1100000000000001</v>
      </c>
      <c r="AE79" s="1706" t="s">
        <v>349</v>
      </c>
      <c r="AF79" s="1534"/>
      <c r="AG79" s="578">
        <f>VLOOKUP(60,$N$14:$AD$303,15,FALSE)</f>
        <v>0.11</v>
      </c>
      <c r="AH79" s="579">
        <f>VLOOKUP(60,$N$14:$AD$303,16,FALSE)</f>
        <v>1.8</v>
      </c>
      <c r="AI79" s="592">
        <f>VLOOKUP(60,$N$14:$AD$303,17,FALSE)</f>
        <v>1.1100000000000001</v>
      </c>
    </row>
    <row r="80" spans="1:35" ht="13.9" x14ac:dyDescent="0.4">
      <c r="A80" s="595" t="str">
        <f>VLOOKUP(61,$N$14:$O$303,2,FALSE)</f>
        <v>Other Harvest</v>
      </c>
      <c r="B80" s="1765">
        <f>VLOOKUP(61,$N$14:$Z$303,3,FALSE)</f>
        <v>0</v>
      </c>
      <c r="C80" s="1917">
        <f>VLOOKUP(61,$N$14:$Z$303,4,FALSE)</f>
        <v>1</v>
      </c>
      <c r="D80" s="1924">
        <f>VLOOKUP(61,$N$14:$Z$303,5,FALSE)</f>
        <v>1</v>
      </c>
      <c r="E80" s="496">
        <f>VLOOKUP(61,$N$14:$Z$303,6,FALSE)</f>
        <v>248000</v>
      </c>
      <c r="F80" s="1751">
        <f>VLOOKUP(61,$N$14:$Z$303,7,FALSE)</f>
        <v>4</v>
      </c>
      <c r="G80" s="1766">
        <f>VLOOKUP(61,$N$14:$Z$303,8,FALSE)</f>
        <v>195</v>
      </c>
      <c r="H80" s="175">
        <f>VLOOKUP(61,$N$14:$Z$303,9,FALSE)</f>
        <v>200</v>
      </c>
      <c r="I80" s="405">
        <f>VLOOKUP(61,$N$14:$Z$303,10,FALSE)</f>
        <v>0.7</v>
      </c>
      <c r="J80" s="468">
        <f>VLOOKUP(61,$N$14:$Z$303,11,FALSE)</f>
        <v>8</v>
      </c>
      <c r="K80" s="491">
        <f>VLOOKUP(61,$N$14:$Z$303,12,FALSE)</f>
        <v>600</v>
      </c>
      <c r="L80" s="1744">
        <f>VLOOKUP(61,$N$14:$Z$303,13,FALSE)</f>
        <v>8</v>
      </c>
      <c r="M80" s="1073">
        <f>VLOOKUP(61,$N$14:$AA$303,14,FALSE)</f>
        <v>1</v>
      </c>
      <c r="N80" s="1073">
        <f t="shared" si="8"/>
        <v>61</v>
      </c>
      <c r="O80" s="1671" t="s">
        <v>562</v>
      </c>
      <c r="P80" s="1528">
        <v>0</v>
      </c>
      <c r="Q80" s="1918">
        <f>Q79</f>
        <v>1</v>
      </c>
      <c r="R80" s="1925">
        <f>R79</f>
        <v>1</v>
      </c>
      <c r="S80" s="138">
        <v>248000</v>
      </c>
      <c r="T80" s="153">
        <v>4</v>
      </c>
      <c r="U80" s="154">
        <v>195</v>
      </c>
      <c r="V80" s="1108">
        <v>200</v>
      </c>
      <c r="W80" s="1653">
        <v>0.7</v>
      </c>
      <c r="X80" s="1654">
        <v>8</v>
      </c>
      <c r="Y80" s="1655">
        <v>600</v>
      </c>
      <c r="Z80" s="1656">
        <v>8</v>
      </c>
      <c r="AA80" s="1071">
        <f t="shared" si="9"/>
        <v>1</v>
      </c>
      <c r="AB80" s="1107">
        <v>0.19</v>
      </c>
      <c r="AC80" s="1704">
        <v>1.3</v>
      </c>
      <c r="AD80" s="1719">
        <v>1.1100000000000001</v>
      </c>
      <c r="AE80" s="1706" t="s">
        <v>327</v>
      </c>
      <c r="AF80" s="1534"/>
      <c r="AG80" s="578">
        <f>VLOOKUP(61,$N$14:$AD$303,15,FALSE)</f>
        <v>0.19</v>
      </c>
      <c r="AH80" s="579">
        <f>VLOOKUP(61,$N$14:$AD$303,16,FALSE)</f>
        <v>1.3</v>
      </c>
      <c r="AI80" s="792">
        <f>VLOOKUP(61,$N$14:$AD$303,17,FALSE)</f>
        <v>1.1100000000000001</v>
      </c>
    </row>
    <row r="81" spans="1:35" ht="14.25" thickBot="1" x14ac:dyDescent="0.45">
      <c r="A81" s="789" t="str">
        <f>VLOOKUP(62,$N$14:$O$303,2,FALSE)</f>
        <v>Other Harvest</v>
      </c>
      <c r="B81" s="1776">
        <f>VLOOKUP(62,$N$14:$Z$303,3,FALSE)</f>
        <v>0</v>
      </c>
      <c r="C81" s="1927">
        <f>VLOOKUP(62,$N$14:$Z$303,4,FALSE)</f>
        <v>1</v>
      </c>
      <c r="D81" s="1928">
        <f>VLOOKUP(62,$N$14:$Z$303,5,FALSE)</f>
        <v>1</v>
      </c>
      <c r="E81" s="188">
        <f>VLOOKUP(62,$N$14:$Z$303,6,FALSE)</f>
        <v>248000</v>
      </c>
      <c r="F81" s="1777">
        <f>VLOOKUP(62,$N$14:$Z$303,7,FALSE)</f>
        <v>4</v>
      </c>
      <c r="G81" s="1778">
        <f>VLOOKUP(62,$N$14:$Z$303,8,FALSE)</f>
        <v>195</v>
      </c>
      <c r="H81" s="185">
        <f>VLOOKUP(62,$N$14:$Z$303,9,FALSE)</f>
        <v>200</v>
      </c>
      <c r="I81" s="488">
        <f>VLOOKUP(62,$N$14:$Z$303,10,FALSE)</f>
        <v>0.7</v>
      </c>
      <c r="J81" s="487">
        <f>VLOOKUP(62,$N$14:$Z$303,11,FALSE)</f>
        <v>8</v>
      </c>
      <c r="K81" s="493">
        <f>VLOOKUP(62,$N$14:$Z$303,12,FALSE)</f>
        <v>600</v>
      </c>
      <c r="L81" s="1757">
        <f>VLOOKUP(62,$N$14:$Z$303,13,FALSE)</f>
        <v>8</v>
      </c>
      <c r="M81" s="1073">
        <f>VLOOKUP(62,$N$14:$AA$303,14,FALSE)</f>
        <v>1</v>
      </c>
      <c r="N81" s="1073">
        <f t="shared" si="8"/>
        <v>62</v>
      </c>
      <c r="O81" s="1676" t="s">
        <v>562</v>
      </c>
      <c r="P81" s="1532">
        <v>0</v>
      </c>
      <c r="Q81" s="1929">
        <f>Q79</f>
        <v>1</v>
      </c>
      <c r="R81" s="1930">
        <f>R79</f>
        <v>1</v>
      </c>
      <c r="S81" s="143">
        <v>248000</v>
      </c>
      <c r="T81" s="535">
        <v>4</v>
      </c>
      <c r="U81" s="740">
        <v>195</v>
      </c>
      <c r="V81" s="1109">
        <v>200</v>
      </c>
      <c r="W81" s="1657">
        <v>0.7</v>
      </c>
      <c r="X81" s="1658">
        <v>8</v>
      </c>
      <c r="Y81" s="143">
        <v>600</v>
      </c>
      <c r="Z81" s="1659">
        <v>8</v>
      </c>
      <c r="AA81" s="1071">
        <f t="shared" si="9"/>
        <v>1</v>
      </c>
      <c r="AB81" s="1707">
        <v>0.19</v>
      </c>
      <c r="AC81" s="1708">
        <v>1.3</v>
      </c>
      <c r="AD81" s="1729">
        <v>1.1100000000000001</v>
      </c>
      <c r="AE81" s="1703" t="s">
        <v>327</v>
      </c>
      <c r="AF81" s="1534"/>
      <c r="AG81" s="582">
        <f>VLOOKUP(62,$N$14:$AD$303,15,FALSE)</f>
        <v>0.19</v>
      </c>
      <c r="AH81" s="583">
        <f>VLOOKUP(62,$N$14:$AD$303,16,FALSE)</f>
        <v>1.3</v>
      </c>
      <c r="AI81" s="1130">
        <f>VLOOKUP(62,$N$14:$AD$303,17,FALSE)</f>
        <v>1.1100000000000001</v>
      </c>
    </row>
    <row r="82" spans="1:35" ht="13.9" x14ac:dyDescent="0.4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1071"/>
      <c r="N82" s="1071"/>
      <c r="O82" s="1660"/>
      <c r="P82" s="1660"/>
      <c r="Q82" s="1660"/>
      <c r="R82" s="1660"/>
      <c r="S82" s="1660"/>
      <c r="T82" s="1660"/>
      <c r="U82" s="1660"/>
      <c r="V82" s="1660"/>
      <c r="W82" s="1660"/>
      <c r="X82" s="1661"/>
      <c r="Y82" s="1662"/>
      <c r="Z82" s="1661"/>
      <c r="AA82" s="83"/>
      <c r="AB82" s="1660"/>
      <c r="AC82" s="1660"/>
      <c r="AD82" s="1660"/>
      <c r="AE82" s="1660"/>
      <c r="AF82" s="1534"/>
      <c r="AG82" s="83"/>
      <c r="AH82" s="83"/>
      <c r="AI82" s="83"/>
    </row>
    <row r="83" spans="1:35" ht="14.25" thickBo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1071"/>
      <c r="N83" s="1071"/>
      <c r="O83" s="1621" t="s">
        <v>712</v>
      </c>
      <c r="P83" s="1622">
        <v>2</v>
      </c>
      <c r="Q83" s="1621"/>
      <c r="R83" s="1621"/>
      <c r="S83" s="1621"/>
      <c r="T83" s="1621"/>
      <c r="U83" s="1621"/>
      <c r="V83" s="1623"/>
      <c r="W83" s="1623"/>
      <c r="X83" s="1623"/>
      <c r="Y83" s="1623"/>
      <c r="Z83" s="1623"/>
      <c r="AA83" s="1173"/>
      <c r="AB83" s="1623"/>
      <c r="AC83" s="1623"/>
      <c r="AD83" s="1623"/>
      <c r="AE83" s="1623"/>
      <c r="AF83" s="3"/>
      <c r="AG83" s="3"/>
      <c r="AH83" s="3"/>
      <c r="AI83" s="3"/>
    </row>
    <row r="84" spans="1:35" ht="14.25" thickBo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1071"/>
      <c r="N84" s="1071"/>
      <c r="O84" s="1624"/>
      <c r="P84" s="1624"/>
      <c r="Q84" s="1624"/>
      <c r="R84" s="1624"/>
      <c r="S84" s="1624"/>
      <c r="T84" s="1624"/>
      <c r="U84" s="1624"/>
      <c r="V84" s="1625" t="s">
        <v>709</v>
      </c>
      <c r="W84" s="1625"/>
      <c r="X84" s="1626"/>
      <c r="Y84" s="1627" t="s">
        <v>322</v>
      </c>
      <c r="Z84" s="1628"/>
      <c r="AA84" s="1533"/>
      <c r="AB84" s="1692" t="s">
        <v>455</v>
      </c>
      <c r="AC84" s="1693"/>
      <c r="AD84" s="1694"/>
      <c r="AE84" s="1695"/>
      <c r="AF84" s="3"/>
      <c r="AG84" s="3"/>
      <c r="AH84" s="3"/>
      <c r="AI84" s="3"/>
    </row>
    <row r="85" spans="1:35" ht="13.9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071"/>
      <c r="N85" s="1071"/>
      <c r="O85" s="1629"/>
      <c r="P85" s="1102" t="s">
        <v>175</v>
      </c>
      <c r="Q85" s="1103"/>
      <c r="R85" s="1104" t="s">
        <v>202</v>
      </c>
      <c r="S85" s="1102" t="s">
        <v>344</v>
      </c>
      <c r="T85" s="1630" t="s">
        <v>68</v>
      </c>
      <c r="U85" s="1631" t="s">
        <v>52</v>
      </c>
      <c r="V85" s="415"/>
      <c r="W85" s="1632"/>
      <c r="X85" s="1633" t="s">
        <v>24</v>
      </c>
      <c r="Y85" s="1634"/>
      <c r="Z85" s="1635" t="s">
        <v>24</v>
      </c>
      <c r="AA85" s="1565"/>
      <c r="AB85" s="1696" t="s">
        <v>254</v>
      </c>
      <c r="AC85" s="1697"/>
      <c r="AD85" s="1698"/>
      <c r="AE85" s="1698"/>
      <c r="AF85" s="3"/>
      <c r="AG85" s="3"/>
      <c r="AH85" s="3"/>
      <c r="AI85" s="3"/>
    </row>
    <row r="86" spans="1:35" ht="13.9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1071"/>
      <c r="N86" s="1071"/>
      <c r="O86" s="1636"/>
      <c r="P86" s="380" t="s">
        <v>343</v>
      </c>
      <c r="Q86" s="378" t="s">
        <v>43</v>
      </c>
      <c r="R86" s="379" t="s">
        <v>203</v>
      </c>
      <c r="S86" s="380" t="s">
        <v>343</v>
      </c>
      <c r="T86" s="1637" t="s">
        <v>59</v>
      </c>
      <c r="U86" s="1638" t="s">
        <v>57</v>
      </c>
      <c r="V86" s="30" t="s">
        <v>36</v>
      </c>
      <c r="W86" s="23" t="s">
        <v>45</v>
      </c>
      <c r="X86" s="1639" t="s">
        <v>25</v>
      </c>
      <c r="Y86" s="30" t="s">
        <v>36</v>
      </c>
      <c r="Z86" s="1640" t="s">
        <v>25</v>
      </c>
      <c r="AA86" s="1071"/>
      <c r="AB86" s="30" t="s">
        <v>58</v>
      </c>
      <c r="AC86" s="1699" t="s">
        <v>58</v>
      </c>
      <c r="AD86" s="1700" t="s">
        <v>55</v>
      </c>
      <c r="AE86" s="1701" t="s">
        <v>966</v>
      </c>
      <c r="AF86" s="3"/>
      <c r="AG86" s="3"/>
      <c r="AH86" s="3"/>
      <c r="AI86" s="3"/>
    </row>
    <row r="87" spans="1:35" ht="14.25" thickBo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071"/>
      <c r="N87" s="1071"/>
      <c r="O87" s="1641" t="s">
        <v>158</v>
      </c>
      <c r="P87" s="380" t="s">
        <v>342</v>
      </c>
      <c r="Q87" s="378" t="s">
        <v>44</v>
      </c>
      <c r="R87" s="379" t="s">
        <v>201</v>
      </c>
      <c r="S87" s="1642" t="s">
        <v>342</v>
      </c>
      <c r="T87" s="1643" t="s">
        <v>188</v>
      </c>
      <c r="U87" s="1644" t="s">
        <v>2</v>
      </c>
      <c r="V87" s="1645" t="s">
        <v>37</v>
      </c>
      <c r="W87" s="1646" t="s">
        <v>46</v>
      </c>
      <c r="X87" s="1646" t="s">
        <v>26</v>
      </c>
      <c r="Y87" s="1645" t="s">
        <v>37</v>
      </c>
      <c r="Z87" s="1647" t="s">
        <v>26</v>
      </c>
      <c r="AA87" s="1071"/>
      <c r="AB87" s="1645" t="s">
        <v>76</v>
      </c>
      <c r="AC87" s="1647" t="s">
        <v>77</v>
      </c>
      <c r="AD87" s="1702" t="s">
        <v>31</v>
      </c>
      <c r="AE87" s="1703" t="s">
        <v>312</v>
      </c>
      <c r="AF87" s="3"/>
      <c r="AG87" s="3"/>
      <c r="AH87" s="3"/>
      <c r="AI87" s="3"/>
    </row>
    <row r="88" spans="1:35" ht="13.9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071"/>
      <c r="N88" s="1073">
        <f>IF($A$8=2,1,0)</f>
        <v>0</v>
      </c>
      <c r="O88" s="1106" t="s">
        <v>247</v>
      </c>
      <c r="P88" s="1528">
        <v>17200</v>
      </c>
      <c r="Q88" s="131">
        <v>19</v>
      </c>
      <c r="R88" s="975">
        <v>4</v>
      </c>
      <c r="S88" s="135">
        <v>308000</v>
      </c>
      <c r="T88" s="136">
        <v>4</v>
      </c>
      <c r="U88" s="137">
        <v>230</v>
      </c>
      <c r="V88" s="1648">
        <v>160</v>
      </c>
      <c r="W88" s="1649">
        <v>0.85</v>
      </c>
      <c r="X88" s="1650">
        <v>8</v>
      </c>
      <c r="Y88" s="1651">
        <v>600</v>
      </c>
      <c r="Z88" s="1652">
        <v>8</v>
      </c>
      <c r="AA88" s="1174">
        <f>IF(SUM(N88:N155)=1953,P83,0)</f>
        <v>0</v>
      </c>
      <c r="AB88" s="1107">
        <v>0.28999999999999998</v>
      </c>
      <c r="AC88" s="1704">
        <v>1.8</v>
      </c>
      <c r="AD88" s="1705">
        <v>1.04</v>
      </c>
      <c r="AE88" s="1706" t="s">
        <v>324</v>
      </c>
      <c r="AF88" s="3"/>
      <c r="AG88" s="3"/>
      <c r="AH88" s="3"/>
      <c r="AI88" s="3"/>
    </row>
    <row r="89" spans="1:35" ht="13.9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071"/>
      <c r="N89" s="1073">
        <f t="shared" ref="N89:N128" si="10">IF($A$8=2,N88+1,0)</f>
        <v>0</v>
      </c>
      <c r="O89" s="1106" t="s">
        <v>974</v>
      </c>
      <c r="P89" s="1528">
        <v>20400</v>
      </c>
      <c r="Q89" s="132">
        <v>25</v>
      </c>
      <c r="R89" s="977">
        <v>4</v>
      </c>
      <c r="S89" s="138">
        <v>308000</v>
      </c>
      <c r="T89" s="139">
        <v>4</v>
      </c>
      <c r="U89" s="140">
        <v>230</v>
      </c>
      <c r="V89" s="1108">
        <v>160</v>
      </c>
      <c r="W89" s="1653">
        <v>0.85</v>
      </c>
      <c r="X89" s="1654">
        <v>8</v>
      </c>
      <c r="Y89" s="1655">
        <v>600</v>
      </c>
      <c r="Z89" s="1656">
        <v>8</v>
      </c>
      <c r="AA89" s="1071">
        <f>AA88</f>
        <v>0</v>
      </c>
      <c r="AB89" s="1107">
        <v>0.28999999999999998</v>
      </c>
      <c r="AC89" s="1704">
        <v>1.8</v>
      </c>
      <c r="AD89" s="1705">
        <v>1.04</v>
      </c>
      <c r="AE89" s="1706" t="s">
        <v>324</v>
      </c>
      <c r="AF89" s="3"/>
      <c r="AG89" s="3"/>
      <c r="AH89" s="3"/>
      <c r="AI89" s="3"/>
    </row>
    <row r="90" spans="1:35" ht="13.9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1071"/>
      <c r="N90" s="1073">
        <f t="shared" si="10"/>
        <v>0</v>
      </c>
      <c r="O90" s="1106" t="s">
        <v>975</v>
      </c>
      <c r="P90" s="1528">
        <v>14000</v>
      </c>
      <c r="Q90" s="132">
        <v>12</v>
      </c>
      <c r="R90" s="977">
        <v>4</v>
      </c>
      <c r="S90" s="138">
        <v>308000</v>
      </c>
      <c r="T90" s="139">
        <v>4</v>
      </c>
      <c r="U90" s="140">
        <v>230</v>
      </c>
      <c r="V90" s="1108">
        <v>160</v>
      </c>
      <c r="W90" s="1653">
        <v>0.85</v>
      </c>
      <c r="X90" s="1654">
        <v>8</v>
      </c>
      <c r="Y90" s="1655">
        <v>600</v>
      </c>
      <c r="Z90" s="1656">
        <v>8</v>
      </c>
      <c r="AA90" s="1071">
        <f t="shared" ref="AA90:AA101" si="11">AA89</f>
        <v>0</v>
      </c>
      <c r="AB90" s="1107">
        <v>0.28999999999999998</v>
      </c>
      <c r="AC90" s="1704">
        <v>1.8</v>
      </c>
      <c r="AD90" s="1705">
        <v>1.04</v>
      </c>
      <c r="AE90" s="1706" t="s">
        <v>324</v>
      </c>
      <c r="AF90" s="3"/>
      <c r="AG90" s="3"/>
      <c r="AH90" s="3"/>
      <c r="AI90" s="3"/>
    </row>
    <row r="91" spans="1:35" ht="13.9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1071"/>
      <c r="N91" s="1073">
        <f t="shared" si="10"/>
        <v>0</v>
      </c>
      <c r="O91" s="1106" t="s">
        <v>1009</v>
      </c>
      <c r="P91" s="1528">
        <v>55700</v>
      </c>
      <c r="Q91" s="132">
        <v>38</v>
      </c>
      <c r="R91" s="977">
        <v>4</v>
      </c>
      <c r="S91" s="138">
        <v>308000</v>
      </c>
      <c r="T91" s="139">
        <v>4</v>
      </c>
      <c r="U91" s="140">
        <v>230</v>
      </c>
      <c r="V91" s="1108">
        <v>160</v>
      </c>
      <c r="W91" s="1653">
        <v>0.85</v>
      </c>
      <c r="X91" s="1654">
        <v>8</v>
      </c>
      <c r="Y91" s="1655">
        <v>600</v>
      </c>
      <c r="Z91" s="1656">
        <v>8</v>
      </c>
      <c r="AA91" s="1071">
        <f t="shared" si="11"/>
        <v>0</v>
      </c>
      <c r="AB91" s="1107">
        <v>0.18</v>
      </c>
      <c r="AC91" s="1704">
        <v>1.7</v>
      </c>
      <c r="AD91" s="1705">
        <v>1.04</v>
      </c>
      <c r="AE91" s="1706" t="s">
        <v>324</v>
      </c>
      <c r="AF91" s="3"/>
      <c r="AG91" s="3"/>
      <c r="AH91" s="3"/>
      <c r="AI91" s="3"/>
    </row>
    <row r="92" spans="1:35" ht="13.9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1071"/>
      <c r="N92" s="1073">
        <f t="shared" si="10"/>
        <v>0</v>
      </c>
      <c r="O92" s="1106" t="s">
        <v>1008</v>
      </c>
      <c r="P92" s="1528">
        <v>35285</v>
      </c>
      <c r="Q92" s="132">
        <v>38</v>
      </c>
      <c r="R92" s="977">
        <v>4</v>
      </c>
      <c r="S92" s="138">
        <v>308000</v>
      </c>
      <c r="T92" s="139">
        <v>4</v>
      </c>
      <c r="U92" s="140">
        <v>230</v>
      </c>
      <c r="V92" s="1108">
        <v>160</v>
      </c>
      <c r="W92" s="1653">
        <v>0.85</v>
      </c>
      <c r="X92" s="1654">
        <v>8</v>
      </c>
      <c r="Y92" s="1655">
        <v>600</v>
      </c>
      <c r="Z92" s="1656">
        <v>8</v>
      </c>
      <c r="AA92" s="1071">
        <f t="shared" si="11"/>
        <v>0</v>
      </c>
      <c r="AB92" s="1107">
        <v>0.28999999999999998</v>
      </c>
      <c r="AC92" s="1704">
        <v>1.8</v>
      </c>
      <c r="AD92" s="1705">
        <v>1.04</v>
      </c>
      <c r="AE92" s="1706" t="s">
        <v>324</v>
      </c>
      <c r="AF92" s="3"/>
      <c r="AG92" s="3"/>
      <c r="AH92" s="3"/>
      <c r="AI92" s="3"/>
    </row>
    <row r="93" spans="1:35" ht="13.9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071"/>
      <c r="N93" s="1073">
        <f t="shared" si="10"/>
        <v>0</v>
      </c>
      <c r="O93" s="1107" t="s">
        <v>255</v>
      </c>
      <c r="P93" s="1528">
        <v>75000</v>
      </c>
      <c r="Q93" s="132">
        <v>32</v>
      </c>
      <c r="R93" s="977">
        <v>5.5</v>
      </c>
      <c r="S93" s="138">
        <v>308000</v>
      </c>
      <c r="T93" s="139">
        <v>4</v>
      </c>
      <c r="U93" s="140">
        <v>230</v>
      </c>
      <c r="V93" s="1108">
        <v>160</v>
      </c>
      <c r="W93" s="1653">
        <v>0.85</v>
      </c>
      <c r="X93" s="1654">
        <v>8</v>
      </c>
      <c r="Y93" s="1655">
        <v>600</v>
      </c>
      <c r="Z93" s="1656">
        <v>8</v>
      </c>
      <c r="AA93" s="1071">
        <f t="shared" si="11"/>
        <v>0</v>
      </c>
      <c r="AB93" s="1107">
        <v>0.18</v>
      </c>
      <c r="AC93" s="1704">
        <v>1.7</v>
      </c>
      <c r="AD93" s="1705">
        <v>1.04</v>
      </c>
      <c r="AE93" s="1706" t="s">
        <v>324</v>
      </c>
      <c r="AF93" s="3"/>
      <c r="AG93" s="3"/>
      <c r="AH93" s="3"/>
      <c r="AI93" s="3"/>
    </row>
    <row r="94" spans="1:35" ht="13.9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1071"/>
      <c r="N94" s="1073">
        <f t="shared" si="10"/>
        <v>0</v>
      </c>
      <c r="O94" s="1107" t="s">
        <v>146</v>
      </c>
      <c r="P94" s="1528">
        <v>51700</v>
      </c>
      <c r="Q94" s="132">
        <v>38</v>
      </c>
      <c r="R94" s="977">
        <v>4.5</v>
      </c>
      <c r="S94" s="138">
        <v>308000</v>
      </c>
      <c r="T94" s="139">
        <v>4</v>
      </c>
      <c r="U94" s="140">
        <v>230</v>
      </c>
      <c r="V94" s="1108">
        <v>160</v>
      </c>
      <c r="W94" s="1653">
        <v>0.8</v>
      </c>
      <c r="X94" s="1654">
        <v>8</v>
      </c>
      <c r="Y94" s="1655">
        <v>600</v>
      </c>
      <c r="Z94" s="1656">
        <v>8</v>
      </c>
      <c r="AA94" s="1071">
        <f t="shared" si="11"/>
        <v>0</v>
      </c>
      <c r="AB94" s="1107">
        <v>0.18</v>
      </c>
      <c r="AC94" s="1704">
        <v>1.7</v>
      </c>
      <c r="AD94" s="1705">
        <v>1.04</v>
      </c>
      <c r="AE94" s="1706" t="s">
        <v>324</v>
      </c>
      <c r="AF94" s="3"/>
      <c r="AG94" s="3"/>
      <c r="AH94" s="3"/>
      <c r="AI94" s="3"/>
    </row>
    <row r="95" spans="1:35" ht="13.9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1071"/>
      <c r="N95" s="1073">
        <f t="shared" si="10"/>
        <v>0</v>
      </c>
      <c r="O95" s="1107" t="s">
        <v>147</v>
      </c>
      <c r="P95" s="1528">
        <v>48400</v>
      </c>
      <c r="Q95" s="132">
        <v>32</v>
      </c>
      <c r="R95" s="977">
        <v>5</v>
      </c>
      <c r="S95" s="138">
        <v>308000</v>
      </c>
      <c r="T95" s="139">
        <v>4</v>
      </c>
      <c r="U95" s="140">
        <v>230</v>
      </c>
      <c r="V95" s="1108">
        <v>160</v>
      </c>
      <c r="W95" s="1653">
        <v>0.85</v>
      </c>
      <c r="X95" s="1654">
        <v>8</v>
      </c>
      <c r="Y95" s="1655">
        <v>600</v>
      </c>
      <c r="Z95" s="1656">
        <v>8</v>
      </c>
      <c r="AA95" s="1071">
        <f t="shared" si="11"/>
        <v>0</v>
      </c>
      <c r="AB95" s="1107">
        <v>0.28000000000000003</v>
      </c>
      <c r="AC95" s="1704">
        <v>1.4</v>
      </c>
      <c r="AD95" s="1705">
        <v>1.04</v>
      </c>
      <c r="AE95" s="1706" t="s">
        <v>324</v>
      </c>
      <c r="AF95" s="3"/>
      <c r="AG95" s="3"/>
      <c r="AH95" s="3"/>
      <c r="AI95" s="3"/>
    </row>
    <row r="96" spans="1:35" ht="13.9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1071"/>
      <c r="N96" s="1073">
        <f t="shared" si="10"/>
        <v>0</v>
      </c>
      <c r="O96" s="1107" t="s">
        <v>236</v>
      </c>
      <c r="P96" s="1528">
        <v>41785</v>
      </c>
      <c r="Q96" s="132">
        <v>40</v>
      </c>
      <c r="R96" s="977">
        <v>7</v>
      </c>
      <c r="S96" s="138">
        <v>248000</v>
      </c>
      <c r="T96" s="139">
        <v>4</v>
      </c>
      <c r="U96" s="140">
        <v>195</v>
      </c>
      <c r="V96" s="1108">
        <v>160</v>
      </c>
      <c r="W96" s="1653">
        <v>0.85</v>
      </c>
      <c r="X96" s="1654">
        <v>8</v>
      </c>
      <c r="Y96" s="1655">
        <v>600</v>
      </c>
      <c r="Z96" s="1656">
        <v>8</v>
      </c>
      <c r="AA96" s="1071">
        <f t="shared" si="11"/>
        <v>0</v>
      </c>
      <c r="AB96" s="1107">
        <v>0.27</v>
      </c>
      <c r="AC96" s="1704">
        <v>1.4</v>
      </c>
      <c r="AD96" s="1705">
        <v>1.04</v>
      </c>
      <c r="AE96" s="1706" t="s">
        <v>324</v>
      </c>
      <c r="AF96" s="3"/>
      <c r="AG96" s="3"/>
      <c r="AH96" s="3"/>
      <c r="AI96" s="3"/>
    </row>
    <row r="97" spans="14:31" ht="13.9" x14ac:dyDescent="0.4">
      <c r="N97" s="1073">
        <f t="shared" si="10"/>
        <v>0</v>
      </c>
      <c r="O97" s="1107" t="s">
        <v>148</v>
      </c>
      <c r="P97" s="1528">
        <v>21800</v>
      </c>
      <c r="Q97" s="132">
        <v>38</v>
      </c>
      <c r="R97" s="977">
        <v>6</v>
      </c>
      <c r="S97" s="138">
        <v>308000</v>
      </c>
      <c r="T97" s="139">
        <v>4</v>
      </c>
      <c r="U97" s="140">
        <v>230</v>
      </c>
      <c r="V97" s="1108">
        <v>120</v>
      </c>
      <c r="W97" s="1653">
        <v>0.85</v>
      </c>
      <c r="X97" s="1654">
        <v>8</v>
      </c>
      <c r="Y97" s="1655">
        <v>600</v>
      </c>
      <c r="Z97" s="1656">
        <v>8</v>
      </c>
      <c r="AA97" s="1071">
        <f t="shared" si="11"/>
        <v>0</v>
      </c>
      <c r="AB97" s="1107">
        <v>0.16</v>
      </c>
      <c r="AC97" s="1704">
        <v>1.3</v>
      </c>
      <c r="AD97" s="1705">
        <v>1.04</v>
      </c>
      <c r="AE97" s="1706" t="s">
        <v>325</v>
      </c>
    </row>
    <row r="98" spans="14:31" ht="13.9" x14ac:dyDescent="0.4">
      <c r="N98" s="1073">
        <f t="shared" si="10"/>
        <v>0</v>
      </c>
      <c r="O98" s="1107" t="s">
        <v>246</v>
      </c>
      <c r="P98" s="1528">
        <v>32500</v>
      </c>
      <c r="Q98" s="132">
        <v>38</v>
      </c>
      <c r="R98" s="977">
        <v>5</v>
      </c>
      <c r="S98" s="138">
        <v>308000</v>
      </c>
      <c r="T98" s="139">
        <v>4</v>
      </c>
      <c r="U98" s="140">
        <v>230</v>
      </c>
      <c r="V98" s="1108">
        <v>120</v>
      </c>
      <c r="W98" s="1653">
        <v>0.85</v>
      </c>
      <c r="X98" s="1654">
        <v>8</v>
      </c>
      <c r="Y98" s="1655">
        <v>600</v>
      </c>
      <c r="Z98" s="1656">
        <v>8</v>
      </c>
      <c r="AA98" s="1071">
        <f t="shared" si="11"/>
        <v>0</v>
      </c>
      <c r="AB98" s="1107">
        <v>0.16</v>
      </c>
      <c r="AC98" s="1704">
        <v>1.3</v>
      </c>
      <c r="AD98" s="1705">
        <v>1.04</v>
      </c>
      <c r="AE98" s="1706" t="s">
        <v>324</v>
      </c>
    </row>
    <row r="99" spans="14:31" ht="13.9" x14ac:dyDescent="0.4">
      <c r="N99" s="1073">
        <f t="shared" si="10"/>
        <v>0</v>
      </c>
      <c r="O99" s="1107" t="s">
        <v>149</v>
      </c>
      <c r="P99" s="1528">
        <v>7800</v>
      </c>
      <c r="Q99" s="1918">
        <v>1</v>
      </c>
      <c r="R99" s="1721">
        <v>10</v>
      </c>
      <c r="S99" s="138">
        <v>148000</v>
      </c>
      <c r="T99" s="139">
        <v>4</v>
      </c>
      <c r="U99" s="140">
        <v>175</v>
      </c>
      <c r="V99" s="1108">
        <v>50</v>
      </c>
      <c r="W99" s="1653">
        <v>0.95</v>
      </c>
      <c r="X99" s="1654">
        <v>8</v>
      </c>
      <c r="Y99" s="1655">
        <v>600</v>
      </c>
      <c r="Z99" s="1656">
        <v>8</v>
      </c>
      <c r="AA99" s="1071">
        <f t="shared" si="11"/>
        <v>0</v>
      </c>
      <c r="AB99" s="1107">
        <v>0.28000000000000003</v>
      </c>
      <c r="AC99" s="1704">
        <v>1.4</v>
      </c>
      <c r="AD99" s="1705">
        <v>1.04</v>
      </c>
      <c r="AE99" s="1706" t="s">
        <v>324</v>
      </c>
    </row>
    <row r="100" spans="14:31" ht="13.9" x14ac:dyDescent="0.4">
      <c r="N100" s="1073">
        <f t="shared" si="10"/>
        <v>0</v>
      </c>
      <c r="O100" s="1107" t="s">
        <v>959</v>
      </c>
      <c r="P100" s="1528">
        <v>92900</v>
      </c>
      <c r="Q100" s="132">
        <v>30</v>
      </c>
      <c r="R100" s="133">
        <v>7</v>
      </c>
      <c r="S100" s="138">
        <v>308000</v>
      </c>
      <c r="T100" s="139">
        <v>4</v>
      </c>
      <c r="U100" s="140">
        <v>230</v>
      </c>
      <c r="V100" s="1108">
        <v>160</v>
      </c>
      <c r="W100" s="1653">
        <v>0.8</v>
      </c>
      <c r="X100" s="1654">
        <v>8</v>
      </c>
      <c r="Y100" s="1655">
        <v>600</v>
      </c>
      <c r="Z100" s="1656">
        <v>8</v>
      </c>
      <c r="AA100" s="1071">
        <f t="shared" si="11"/>
        <v>0</v>
      </c>
      <c r="AB100" s="1107">
        <v>0.23</v>
      </c>
      <c r="AC100" s="1704">
        <v>1.4</v>
      </c>
      <c r="AD100" s="1705">
        <v>1.04</v>
      </c>
      <c r="AE100" s="1706" t="s">
        <v>324</v>
      </c>
    </row>
    <row r="101" spans="14:31" ht="13.9" x14ac:dyDescent="0.4">
      <c r="N101" s="1073">
        <f t="shared" si="10"/>
        <v>0</v>
      </c>
      <c r="O101" s="1107" t="s">
        <v>350</v>
      </c>
      <c r="P101" s="1528">
        <v>34900</v>
      </c>
      <c r="Q101" s="132">
        <v>45</v>
      </c>
      <c r="R101" s="133">
        <v>7</v>
      </c>
      <c r="S101" s="138">
        <v>308000</v>
      </c>
      <c r="T101" s="139">
        <v>4</v>
      </c>
      <c r="U101" s="140">
        <v>230</v>
      </c>
      <c r="V101" s="1108">
        <v>120</v>
      </c>
      <c r="W101" s="1653">
        <v>0.8</v>
      </c>
      <c r="X101" s="1654">
        <v>8</v>
      </c>
      <c r="Y101" s="1655">
        <v>600</v>
      </c>
      <c r="Z101" s="1656">
        <v>8</v>
      </c>
      <c r="AA101" s="1071">
        <f t="shared" si="11"/>
        <v>0</v>
      </c>
      <c r="AB101" s="1107">
        <v>0.23</v>
      </c>
      <c r="AC101" s="1704">
        <v>1.4</v>
      </c>
      <c r="AD101" s="1705">
        <v>1.04</v>
      </c>
      <c r="AE101" s="1706" t="s">
        <v>324</v>
      </c>
    </row>
    <row r="102" spans="14:31" ht="13.9" x14ac:dyDescent="0.4">
      <c r="N102" s="1073">
        <f t="shared" si="10"/>
        <v>0</v>
      </c>
      <c r="O102" s="1107" t="s">
        <v>83</v>
      </c>
      <c r="P102" s="1528">
        <v>76800</v>
      </c>
      <c r="Q102" s="132">
        <v>42</v>
      </c>
      <c r="R102" s="133">
        <v>7</v>
      </c>
      <c r="S102" s="138">
        <v>308000</v>
      </c>
      <c r="T102" s="139">
        <v>4</v>
      </c>
      <c r="U102" s="140">
        <v>230</v>
      </c>
      <c r="V102" s="1108">
        <v>160</v>
      </c>
      <c r="W102" s="1653">
        <v>0.85</v>
      </c>
      <c r="X102" s="1654">
        <v>8</v>
      </c>
      <c r="Y102" s="1655">
        <v>600</v>
      </c>
      <c r="Z102" s="1656">
        <v>8</v>
      </c>
      <c r="AA102" s="1071">
        <f>AA88</f>
        <v>0</v>
      </c>
      <c r="AB102" s="1107">
        <v>0.27</v>
      </c>
      <c r="AC102" s="1704">
        <v>1.4</v>
      </c>
      <c r="AD102" s="1705">
        <v>1.04</v>
      </c>
      <c r="AE102" s="1706" t="s">
        <v>324</v>
      </c>
    </row>
    <row r="103" spans="14:31" ht="13.9" x14ac:dyDescent="0.4">
      <c r="N103" s="1073">
        <f t="shared" si="10"/>
        <v>0</v>
      </c>
      <c r="O103" s="1107" t="s">
        <v>965</v>
      </c>
      <c r="P103" s="1528">
        <v>29200</v>
      </c>
      <c r="Q103" s="132">
        <v>38</v>
      </c>
      <c r="R103" s="133">
        <v>7</v>
      </c>
      <c r="S103" s="138">
        <v>308000</v>
      </c>
      <c r="T103" s="139">
        <v>4</v>
      </c>
      <c r="U103" s="140">
        <v>230</v>
      </c>
      <c r="V103" s="1108">
        <v>120</v>
      </c>
      <c r="W103" s="1653">
        <v>0.8</v>
      </c>
      <c r="X103" s="1654">
        <v>8</v>
      </c>
      <c r="Y103" s="1655">
        <v>600</v>
      </c>
      <c r="Z103" s="1656">
        <v>8</v>
      </c>
      <c r="AA103" s="1071">
        <f>AA102</f>
        <v>0</v>
      </c>
      <c r="AB103" s="1107">
        <v>0.17</v>
      </c>
      <c r="AC103" s="1704">
        <v>2.2000000000000002</v>
      </c>
      <c r="AD103" s="1705">
        <v>1.04</v>
      </c>
      <c r="AE103" s="1706" t="s">
        <v>324</v>
      </c>
    </row>
    <row r="104" spans="14:31" ht="13.9" x14ac:dyDescent="0.4">
      <c r="N104" s="1073">
        <f t="shared" si="10"/>
        <v>0</v>
      </c>
      <c r="O104" s="1107" t="s">
        <v>408</v>
      </c>
      <c r="P104" s="1528">
        <v>13000</v>
      </c>
      <c r="Q104" s="132">
        <v>60</v>
      </c>
      <c r="R104" s="133">
        <v>12</v>
      </c>
      <c r="S104" s="138">
        <v>148000</v>
      </c>
      <c r="T104" s="139">
        <v>4</v>
      </c>
      <c r="U104" s="140">
        <v>175</v>
      </c>
      <c r="V104" s="1108">
        <v>120</v>
      </c>
      <c r="W104" s="1653">
        <v>0.65</v>
      </c>
      <c r="X104" s="1654">
        <v>8</v>
      </c>
      <c r="Y104" s="1655">
        <v>600</v>
      </c>
      <c r="Z104" s="1656">
        <v>8</v>
      </c>
      <c r="AA104" s="1071">
        <f t="shared" ref="AA104:AA111" si="12">AA103</f>
        <v>0</v>
      </c>
      <c r="AB104" s="1107">
        <v>0.41</v>
      </c>
      <c r="AC104" s="1704">
        <v>1.3</v>
      </c>
      <c r="AD104" s="1705">
        <v>1.04</v>
      </c>
      <c r="AE104" s="1706" t="s">
        <v>326</v>
      </c>
    </row>
    <row r="105" spans="14:31" ht="13.9" x14ac:dyDescent="0.4">
      <c r="N105" s="1073">
        <f t="shared" si="10"/>
        <v>0</v>
      </c>
      <c r="O105" s="1107" t="s">
        <v>409</v>
      </c>
      <c r="P105" s="1528">
        <v>17000</v>
      </c>
      <c r="Q105" s="132">
        <v>38</v>
      </c>
      <c r="R105" s="133">
        <v>12</v>
      </c>
      <c r="S105" s="138">
        <v>148000</v>
      </c>
      <c r="T105" s="139">
        <v>4</v>
      </c>
      <c r="U105" s="140">
        <v>175</v>
      </c>
      <c r="V105" s="1108">
        <v>120</v>
      </c>
      <c r="W105" s="1653">
        <v>0.65</v>
      </c>
      <c r="X105" s="1654">
        <v>8</v>
      </c>
      <c r="Y105" s="1655">
        <v>600</v>
      </c>
      <c r="Z105" s="1656">
        <v>8</v>
      </c>
      <c r="AA105" s="1071">
        <f t="shared" si="12"/>
        <v>0</v>
      </c>
      <c r="AB105" s="1107">
        <v>0.41</v>
      </c>
      <c r="AC105" s="1704">
        <v>1.3</v>
      </c>
      <c r="AD105" s="1705">
        <v>1.04</v>
      </c>
      <c r="AE105" s="1706" t="s">
        <v>326</v>
      </c>
    </row>
    <row r="106" spans="14:31" ht="13.9" x14ac:dyDescent="0.4">
      <c r="N106" s="1073">
        <f t="shared" si="10"/>
        <v>0</v>
      </c>
      <c r="O106" s="1107" t="s">
        <v>133</v>
      </c>
      <c r="P106" s="1528">
        <v>8333</v>
      </c>
      <c r="Q106" s="132">
        <v>17</v>
      </c>
      <c r="R106" s="133">
        <v>8.5</v>
      </c>
      <c r="S106" s="138">
        <v>248000</v>
      </c>
      <c r="T106" s="139">
        <v>4</v>
      </c>
      <c r="U106" s="140">
        <v>195</v>
      </c>
      <c r="V106" s="1108">
        <v>160</v>
      </c>
      <c r="W106" s="1653">
        <v>0.85</v>
      </c>
      <c r="X106" s="1654">
        <v>8</v>
      </c>
      <c r="Y106" s="1655">
        <v>600</v>
      </c>
      <c r="Z106" s="1656">
        <v>8</v>
      </c>
      <c r="AA106" s="1071">
        <f t="shared" si="12"/>
        <v>0</v>
      </c>
      <c r="AB106" s="1107">
        <v>0.16</v>
      </c>
      <c r="AC106" s="1704">
        <v>1.3</v>
      </c>
      <c r="AD106" s="1705">
        <v>1.04</v>
      </c>
      <c r="AE106" s="1706" t="s">
        <v>325</v>
      </c>
    </row>
    <row r="107" spans="14:31" ht="13.9" x14ac:dyDescent="0.4">
      <c r="N107" s="1073">
        <f t="shared" si="10"/>
        <v>0</v>
      </c>
      <c r="O107" s="1107" t="s">
        <v>410</v>
      </c>
      <c r="P107" s="1528">
        <v>13733</v>
      </c>
      <c r="Q107" s="132">
        <v>30</v>
      </c>
      <c r="R107" s="133">
        <v>10</v>
      </c>
      <c r="S107" s="138">
        <v>248000</v>
      </c>
      <c r="T107" s="139">
        <v>4</v>
      </c>
      <c r="U107" s="140">
        <v>195</v>
      </c>
      <c r="V107" s="1108">
        <v>100</v>
      </c>
      <c r="W107" s="1653">
        <v>0.7</v>
      </c>
      <c r="X107" s="1654">
        <v>8</v>
      </c>
      <c r="Y107" s="1655">
        <v>600</v>
      </c>
      <c r="Z107" s="1656">
        <v>8</v>
      </c>
      <c r="AA107" s="1071">
        <f t="shared" si="12"/>
        <v>0</v>
      </c>
      <c r="AB107" s="1107">
        <v>0.63</v>
      </c>
      <c r="AC107" s="1704">
        <v>1.3</v>
      </c>
      <c r="AD107" s="1705">
        <v>1.33</v>
      </c>
      <c r="AE107" s="1706" t="s">
        <v>327</v>
      </c>
    </row>
    <row r="108" spans="14:31" ht="13.9" x14ac:dyDescent="0.4">
      <c r="N108" s="1073">
        <f t="shared" si="10"/>
        <v>0</v>
      </c>
      <c r="O108" s="1107" t="s">
        <v>162</v>
      </c>
      <c r="P108" s="1528">
        <v>25700</v>
      </c>
      <c r="Q108" s="132">
        <v>38</v>
      </c>
      <c r="R108" s="133">
        <v>7</v>
      </c>
      <c r="S108" s="138">
        <v>308000</v>
      </c>
      <c r="T108" s="139">
        <v>4</v>
      </c>
      <c r="U108" s="140">
        <v>230</v>
      </c>
      <c r="V108" s="1108">
        <v>160</v>
      </c>
      <c r="W108" s="1653">
        <v>0.85</v>
      </c>
      <c r="X108" s="1654">
        <v>8</v>
      </c>
      <c r="Y108" s="1655">
        <v>600</v>
      </c>
      <c r="Z108" s="1656">
        <v>8</v>
      </c>
      <c r="AA108" s="1071">
        <f t="shared" si="12"/>
        <v>0</v>
      </c>
      <c r="AB108" s="1107">
        <v>0.27</v>
      </c>
      <c r="AC108" s="1704">
        <v>1.4</v>
      </c>
      <c r="AD108" s="1705">
        <v>1.04</v>
      </c>
      <c r="AE108" s="1706" t="s">
        <v>325</v>
      </c>
    </row>
    <row r="109" spans="14:31" ht="13.9" x14ac:dyDescent="0.4">
      <c r="N109" s="1073">
        <f t="shared" si="10"/>
        <v>0</v>
      </c>
      <c r="O109" s="1107" t="s">
        <v>84</v>
      </c>
      <c r="P109" s="1528">
        <v>90000</v>
      </c>
      <c r="Q109" s="132">
        <v>36</v>
      </c>
      <c r="R109" s="133">
        <v>6</v>
      </c>
      <c r="S109" s="138">
        <v>248000</v>
      </c>
      <c r="T109" s="139">
        <v>4</v>
      </c>
      <c r="U109" s="140">
        <v>195</v>
      </c>
      <c r="V109" s="1108">
        <v>160</v>
      </c>
      <c r="W109" s="1653">
        <v>0.65</v>
      </c>
      <c r="X109" s="1654">
        <v>8</v>
      </c>
      <c r="Y109" s="1655">
        <v>600</v>
      </c>
      <c r="Z109" s="1656">
        <v>8</v>
      </c>
      <c r="AA109" s="1071">
        <f t="shared" si="12"/>
        <v>0</v>
      </c>
      <c r="AB109" s="1107">
        <v>0.32</v>
      </c>
      <c r="AC109" s="1704">
        <v>2.1</v>
      </c>
      <c r="AD109" s="1705">
        <v>1.1599999999999999</v>
      </c>
      <c r="AE109" s="1706" t="s">
        <v>328</v>
      </c>
    </row>
    <row r="110" spans="14:31" ht="13.9" x14ac:dyDescent="0.4">
      <c r="N110" s="1073">
        <f t="shared" si="10"/>
        <v>0</v>
      </c>
      <c r="O110" s="1107" t="s">
        <v>132</v>
      </c>
      <c r="P110" s="1528">
        <v>150000</v>
      </c>
      <c r="Q110" s="132">
        <v>36</v>
      </c>
      <c r="R110" s="133">
        <v>6</v>
      </c>
      <c r="S110" s="138">
        <v>308000</v>
      </c>
      <c r="T110" s="139">
        <v>4</v>
      </c>
      <c r="U110" s="140">
        <v>230</v>
      </c>
      <c r="V110" s="1108">
        <v>160</v>
      </c>
      <c r="W110" s="1653">
        <v>0.65</v>
      </c>
      <c r="X110" s="1654">
        <v>8</v>
      </c>
      <c r="Y110" s="1655">
        <v>600</v>
      </c>
      <c r="Z110" s="1656">
        <v>8</v>
      </c>
      <c r="AA110" s="1071">
        <f t="shared" si="12"/>
        <v>0</v>
      </c>
      <c r="AB110" s="1107">
        <v>0.32</v>
      </c>
      <c r="AC110" s="1704">
        <v>2.1</v>
      </c>
      <c r="AD110" s="1705">
        <v>1.1599999999999999</v>
      </c>
      <c r="AE110" s="1706" t="s">
        <v>328</v>
      </c>
    </row>
    <row r="111" spans="14:31" ht="13.9" x14ac:dyDescent="0.4">
      <c r="N111" s="1073">
        <f t="shared" si="10"/>
        <v>0</v>
      </c>
      <c r="O111" s="1107" t="s">
        <v>1004</v>
      </c>
      <c r="P111" s="1528">
        <v>106000</v>
      </c>
      <c r="Q111" s="132">
        <v>30</v>
      </c>
      <c r="R111" s="133">
        <v>5.5</v>
      </c>
      <c r="S111" s="138">
        <v>308000</v>
      </c>
      <c r="T111" s="139">
        <v>4</v>
      </c>
      <c r="U111" s="140">
        <v>230</v>
      </c>
      <c r="V111" s="1108">
        <v>160</v>
      </c>
      <c r="W111" s="1653">
        <v>0.7</v>
      </c>
      <c r="X111" s="1654">
        <v>8</v>
      </c>
      <c r="Y111" s="1655">
        <v>600</v>
      </c>
      <c r="Z111" s="1656">
        <v>8</v>
      </c>
      <c r="AA111" s="1071">
        <f t="shared" si="12"/>
        <v>0</v>
      </c>
      <c r="AB111" s="1107">
        <v>0.32</v>
      </c>
      <c r="AC111" s="1704">
        <v>2.1</v>
      </c>
      <c r="AD111" s="1705">
        <v>1.1100000000000001</v>
      </c>
      <c r="AE111" s="1706" t="s">
        <v>328</v>
      </c>
    </row>
    <row r="112" spans="14:31" ht="13.9" x14ac:dyDescent="0.4">
      <c r="N112" s="1073">
        <f t="shared" si="10"/>
        <v>0</v>
      </c>
      <c r="O112" s="1108" t="s">
        <v>1005</v>
      </c>
      <c r="P112" s="1528">
        <v>208000</v>
      </c>
      <c r="Q112" s="132">
        <v>42</v>
      </c>
      <c r="R112" s="133">
        <v>7</v>
      </c>
      <c r="S112" s="138">
        <v>308000</v>
      </c>
      <c r="T112" s="139">
        <v>4</v>
      </c>
      <c r="U112" s="140">
        <v>230</v>
      </c>
      <c r="V112" s="1108">
        <v>160</v>
      </c>
      <c r="W112" s="1653">
        <v>0.7</v>
      </c>
      <c r="X112" s="1654">
        <v>8</v>
      </c>
      <c r="Y112" s="1655">
        <v>600</v>
      </c>
      <c r="Z112" s="1656">
        <v>8</v>
      </c>
      <c r="AA112" s="1071">
        <f t="shared" ref="AA112:AA122" si="13">AA111</f>
        <v>0</v>
      </c>
      <c r="AB112" s="1107">
        <v>0.32</v>
      </c>
      <c r="AC112" s="1704">
        <v>2.1</v>
      </c>
      <c r="AD112" s="1705">
        <v>1.1100000000000001</v>
      </c>
      <c r="AE112" s="1706" t="s">
        <v>328</v>
      </c>
    </row>
    <row r="113" spans="14:31" ht="13.9" x14ac:dyDescent="0.4">
      <c r="N113" s="1073">
        <f t="shared" si="10"/>
        <v>0</v>
      </c>
      <c r="O113" s="1108" t="s">
        <v>239</v>
      </c>
      <c r="P113" s="1528">
        <v>19500</v>
      </c>
      <c r="Q113" s="132">
        <v>38</v>
      </c>
      <c r="R113" s="133">
        <v>10</v>
      </c>
      <c r="S113" s="138">
        <v>308000</v>
      </c>
      <c r="T113" s="139">
        <v>4</v>
      </c>
      <c r="U113" s="140">
        <v>230</v>
      </c>
      <c r="V113" s="1108">
        <v>120</v>
      </c>
      <c r="W113" s="1653">
        <v>0.65</v>
      </c>
      <c r="X113" s="1654">
        <v>8</v>
      </c>
      <c r="Y113" s="1655">
        <v>600</v>
      </c>
      <c r="Z113" s="1656">
        <v>8</v>
      </c>
      <c r="AA113" s="1071">
        <f t="shared" si="13"/>
        <v>0</v>
      </c>
      <c r="AB113" s="1107">
        <v>0.41</v>
      </c>
      <c r="AC113" s="1704">
        <v>1.3</v>
      </c>
      <c r="AD113" s="1705">
        <v>1.33</v>
      </c>
      <c r="AE113" s="1706" t="s">
        <v>326</v>
      </c>
    </row>
    <row r="114" spans="14:31" ht="13.9" x14ac:dyDescent="0.4">
      <c r="N114" s="1073">
        <f t="shared" si="10"/>
        <v>0</v>
      </c>
      <c r="O114" s="1108" t="s">
        <v>960</v>
      </c>
      <c r="P114" s="1528">
        <v>46000</v>
      </c>
      <c r="Q114" s="132">
        <v>38</v>
      </c>
      <c r="R114" s="133">
        <v>7</v>
      </c>
      <c r="S114" s="138">
        <v>308000</v>
      </c>
      <c r="T114" s="139">
        <v>4</v>
      </c>
      <c r="U114" s="140">
        <v>230</v>
      </c>
      <c r="V114" s="1108">
        <v>120</v>
      </c>
      <c r="W114" s="1653">
        <v>0.65</v>
      </c>
      <c r="X114" s="1654">
        <v>8</v>
      </c>
      <c r="Y114" s="1655">
        <v>600</v>
      </c>
      <c r="Z114" s="1656">
        <v>8</v>
      </c>
      <c r="AA114" s="1071">
        <f t="shared" si="13"/>
        <v>0</v>
      </c>
      <c r="AB114" s="1107">
        <v>0.41</v>
      </c>
      <c r="AC114" s="1704">
        <v>1.3</v>
      </c>
      <c r="AD114" s="1705">
        <v>1.33</v>
      </c>
      <c r="AE114" s="1706" t="s">
        <v>324</v>
      </c>
    </row>
    <row r="115" spans="14:31" ht="13.9" x14ac:dyDescent="0.4">
      <c r="N115" s="1073">
        <f t="shared" si="10"/>
        <v>0</v>
      </c>
      <c r="O115" s="1108" t="s">
        <v>190</v>
      </c>
      <c r="P115" s="1528">
        <v>8100</v>
      </c>
      <c r="Q115" s="1918">
        <v>1</v>
      </c>
      <c r="R115" s="1721">
        <v>2.5</v>
      </c>
      <c r="S115" s="138">
        <v>148000</v>
      </c>
      <c r="T115" s="139">
        <v>4</v>
      </c>
      <c r="U115" s="140">
        <v>175</v>
      </c>
      <c r="V115" s="1108">
        <v>25</v>
      </c>
      <c r="W115" s="1653">
        <v>0.95</v>
      </c>
      <c r="X115" s="1654">
        <v>8</v>
      </c>
      <c r="Y115" s="1655">
        <v>600</v>
      </c>
      <c r="Z115" s="1656">
        <v>8</v>
      </c>
      <c r="AA115" s="1071">
        <f t="shared" si="13"/>
        <v>0</v>
      </c>
      <c r="AB115" s="1107">
        <v>0.16</v>
      </c>
      <c r="AC115" s="1704">
        <v>1.3</v>
      </c>
      <c r="AD115" s="1705">
        <v>3.12</v>
      </c>
      <c r="AE115" s="1706" t="s">
        <v>327</v>
      </c>
    </row>
    <row r="116" spans="14:31" ht="13.9" x14ac:dyDescent="0.4">
      <c r="N116" s="1073">
        <f t="shared" si="10"/>
        <v>0</v>
      </c>
      <c r="O116" s="1108" t="s">
        <v>89</v>
      </c>
      <c r="P116" s="1528">
        <v>25100</v>
      </c>
      <c r="Q116" s="132">
        <v>38</v>
      </c>
      <c r="R116" s="133">
        <v>7</v>
      </c>
      <c r="S116" s="138">
        <v>148000</v>
      </c>
      <c r="T116" s="139">
        <v>4</v>
      </c>
      <c r="U116" s="140">
        <v>175</v>
      </c>
      <c r="V116" s="1108">
        <v>120</v>
      </c>
      <c r="W116" s="1653">
        <v>0.65</v>
      </c>
      <c r="X116" s="1654">
        <v>8</v>
      </c>
      <c r="Y116" s="1655">
        <v>600</v>
      </c>
      <c r="Z116" s="1656">
        <v>8</v>
      </c>
      <c r="AA116" s="1071">
        <f t="shared" si="13"/>
        <v>0</v>
      </c>
      <c r="AB116" s="1107">
        <v>0.41</v>
      </c>
      <c r="AC116" s="1704">
        <v>1.3</v>
      </c>
      <c r="AD116" s="1705">
        <v>1.04</v>
      </c>
      <c r="AE116" s="1706" t="s">
        <v>326</v>
      </c>
    </row>
    <row r="117" spans="14:31" ht="13.9" x14ac:dyDescent="0.4">
      <c r="N117" s="1073">
        <f t="shared" si="10"/>
        <v>0</v>
      </c>
      <c r="O117" s="1108" t="s">
        <v>152</v>
      </c>
      <c r="P117" s="1528">
        <v>8760</v>
      </c>
      <c r="Q117" s="1918">
        <v>1</v>
      </c>
      <c r="R117" s="1721">
        <v>2.5</v>
      </c>
      <c r="S117" s="138">
        <v>148000</v>
      </c>
      <c r="T117" s="139">
        <v>4</v>
      </c>
      <c r="U117" s="140">
        <v>175</v>
      </c>
      <c r="V117" s="1108">
        <v>100</v>
      </c>
      <c r="W117" s="1653">
        <v>0.25</v>
      </c>
      <c r="X117" s="1654">
        <v>8</v>
      </c>
      <c r="Y117" s="1655">
        <v>600</v>
      </c>
      <c r="Z117" s="1656">
        <v>8</v>
      </c>
      <c r="AA117" s="1071">
        <f t="shared" si="13"/>
        <v>0</v>
      </c>
      <c r="AB117" s="1107">
        <v>0.28000000000000003</v>
      </c>
      <c r="AC117" s="1704">
        <v>1.4</v>
      </c>
      <c r="AD117" s="1705">
        <v>1.04</v>
      </c>
      <c r="AE117" s="1706" t="s">
        <v>324</v>
      </c>
    </row>
    <row r="118" spans="14:31" ht="13.9" x14ac:dyDescent="0.4">
      <c r="N118" s="1073">
        <f t="shared" si="10"/>
        <v>0</v>
      </c>
      <c r="O118" s="1108" t="s">
        <v>407</v>
      </c>
      <c r="P118" s="1528">
        <v>12000</v>
      </c>
      <c r="Q118" s="1918">
        <v>1</v>
      </c>
      <c r="R118" s="1721">
        <v>2.5</v>
      </c>
      <c r="S118" s="138">
        <v>148000</v>
      </c>
      <c r="T118" s="139">
        <v>4</v>
      </c>
      <c r="U118" s="140">
        <v>175</v>
      </c>
      <c r="V118" s="1108">
        <v>100</v>
      </c>
      <c r="W118" s="1653">
        <v>0.23</v>
      </c>
      <c r="X118" s="1654">
        <v>8</v>
      </c>
      <c r="Y118" s="1655">
        <v>600</v>
      </c>
      <c r="Z118" s="1656">
        <v>8</v>
      </c>
      <c r="AA118" s="1071">
        <f t="shared" si="13"/>
        <v>0</v>
      </c>
      <c r="AB118" s="1107">
        <v>0.28000000000000003</v>
      </c>
      <c r="AC118" s="1704">
        <v>1.4</v>
      </c>
      <c r="AD118" s="1705">
        <v>1.04</v>
      </c>
      <c r="AE118" s="1706" t="s">
        <v>324</v>
      </c>
    </row>
    <row r="119" spans="14:31" ht="13.9" x14ac:dyDescent="0.4">
      <c r="N119" s="1073">
        <f t="shared" si="10"/>
        <v>0</v>
      </c>
      <c r="O119" s="1108" t="s">
        <v>261</v>
      </c>
      <c r="P119" s="1528">
        <v>6190</v>
      </c>
      <c r="Q119" s="1918">
        <v>1</v>
      </c>
      <c r="R119" s="1721">
        <v>2.5</v>
      </c>
      <c r="S119" s="138">
        <v>148000</v>
      </c>
      <c r="T119" s="139">
        <v>4</v>
      </c>
      <c r="U119" s="140">
        <v>175</v>
      </c>
      <c r="V119" s="1108">
        <v>100</v>
      </c>
      <c r="W119" s="1653">
        <v>0.5</v>
      </c>
      <c r="X119" s="1654">
        <v>8</v>
      </c>
      <c r="Y119" s="1655">
        <v>600</v>
      </c>
      <c r="Z119" s="1656">
        <v>8</v>
      </c>
      <c r="AA119" s="1071">
        <f t="shared" si="13"/>
        <v>0</v>
      </c>
      <c r="AB119" s="1107">
        <v>0.28000000000000003</v>
      </c>
      <c r="AC119" s="1704">
        <v>1.4</v>
      </c>
      <c r="AD119" s="1705">
        <v>1.04</v>
      </c>
      <c r="AE119" s="1706" t="s">
        <v>324</v>
      </c>
    </row>
    <row r="120" spans="14:31" ht="13.9" x14ac:dyDescent="0.4">
      <c r="N120" s="1073">
        <f t="shared" si="10"/>
        <v>0</v>
      </c>
      <c r="O120" s="1108" t="s">
        <v>619</v>
      </c>
      <c r="P120" s="1528">
        <v>3860</v>
      </c>
      <c r="Q120" s="1918">
        <v>1</v>
      </c>
      <c r="R120" s="1721">
        <v>2.5</v>
      </c>
      <c r="S120" s="138">
        <v>148000</v>
      </c>
      <c r="T120" s="139">
        <v>4</v>
      </c>
      <c r="U120" s="140">
        <v>175</v>
      </c>
      <c r="V120" s="1108">
        <v>100</v>
      </c>
      <c r="W120" s="1653">
        <v>0.25</v>
      </c>
      <c r="X120" s="1654">
        <v>8</v>
      </c>
      <c r="Y120" s="1655">
        <v>600</v>
      </c>
      <c r="Z120" s="1656">
        <v>8</v>
      </c>
      <c r="AA120" s="1071">
        <f t="shared" si="13"/>
        <v>0</v>
      </c>
      <c r="AB120" s="1107">
        <v>0.18</v>
      </c>
      <c r="AC120" s="1704">
        <v>1.7</v>
      </c>
      <c r="AD120" s="1705">
        <v>3.12</v>
      </c>
      <c r="AE120" s="1706" t="s">
        <v>324</v>
      </c>
    </row>
    <row r="121" spans="14:31" ht="13.9" x14ac:dyDescent="0.4">
      <c r="N121" s="1073">
        <f t="shared" si="10"/>
        <v>0</v>
      </c>
      <c r="O121" s="1108" t="s">
        <v>879</v>
      </c>
      <c r="P121" s="1528">
        <v>8270</v>
      </c>
      <c r="Q121" s="1921">
        <v>1</v>
      </c>
      <c r="R121" s="1922">
        <v>2.5</v>
      </c>
      <c r="S121" s="141">
        <v>148000</v>
      </c>
      <c r="T121" s="139">
        <v>4</v>
      </c>
      <c r="U121" s="142">
        <v>175</v>
      </c>
      <c r="V121" s="1108">
        <v>100</v>
      </c>
      <c r="W121" s="1653">
        <v>0.25</v>
      </c>
      <c r="X121" s="1654">
        <v>8</v>
      </c>
      <c r="Y121" s="1655">
        <v>600</v>
      </c>
      <c r="Z121" s="1656">
        <v>8</v>
      </c>
      <c r="AA121" s="1071">
        <f t="shared" si="13"/>
        <v>0</v>
      </c>
      <c r="AB121" s="1107">
        <v>0.28000000000000003</v>
      </c>
      <c r="AC121" s="1704">
        <v>1.4</v>
      </c>
      <c r="AD121" s="1705">
        <v>1.04</v>
      </c>
      <c r="AE121" s="1706" t="s">
        <v>324</v>
      </c>
    </row>
    <row r="122" spans="14:31" ht="13.9" x14ac:dyDescent="0.4">
      <c r="N122" s="1073">
        <f t="shared" si="10"/>
        <v>0</v>
      </c>
      <c r="O122" s="1108" t="s">
        <v>433</v>
      </c>
      <c r="P122" s="1528">
        <v>48000</v>
      </c>
      <c r="Q122" s="132">
        <v>19</v>
      </c>
      <c r="R122" s="133">
        <v>3</v>
      </c>
      <c r="S122" s="138">
        <v>248000</v>
      </c>
      <c r="T122" s="139">
        <v>4</v>
      </c>
      <c r="U122" s="140">
        <v>195</v>
      </c>
      <c r="V122" s="1108">
        <v>200</v>
      </c>
      <c r="W122" s="1653">
        <v>0.65</v>
      </c>
      <c r="X122" s="1654">
        <v>8</v>
      </c>
      <c r="Y122" s="1655">
        <v>600</v>
      </c>
      <c r="Z122" s="1656">
        <v>8</v>
      </c>
      <c r="AA122" s="1071">
        <f t="shared" si="13"/>
        <v>0</v>
      </c>
      <c r="AB122" s="1107">
        <v>0.28000000000000003</v>
      </c>
      <c r="AC122" s="1704">
        <v>1.4</v>
      </c>
      <c r="AD122" s="1705">
        <v>1.04</v>
      </c>
      <c r="AE122" s="1706" t="s">
        <v>324</v>
      </c>
    </row>
    <row r="123" spans="14:31" ht="13.9" x14ac:dyDescent="0.4">
      <c r="N123" s="1073">
        <f t="shared" si="10"/>
        <v>0</v>
      </c>
      <c r="O123" s="1108" t="s">
        <v>436</v>
      </c>
      <c r="P123" s="1528">
        <v>18900</v>
      </c>
      <c r="Q123" s="132">
        <v>19</v>
      </c>
      <c r="R123" s="133">
        <v>3</v>
      </c>
      <c r="S123" s="138">
        <v>248000</v>
      </c>
      <c r="T123" s="139">
        <v>4</v>
      </c>
      <c r="U123" s="140">
        <v>195</v>
      </c>
      <c r="V123" s="1108">
        <v>200</v>
      </c>
      <c r="W123" s="1653">
        <v>0.65</v>
      </c>
      <c r="X123" s="1654">
        <v>8</v>
      </c>
      <c r="Y123" s="1655">
        <v>600</v>
      </c>
      <c r="Z123" s="1656">
        <v>8</v>
      </c>
      <c r="AA123" s="1071">
        <f t="shared" ref="AA123:AA128" si="14">AA122</f>
        <v>0</v>
      </c>
      <c r="AB123" s="1107">
        <v>0.27</v>
      </c>
      <c r="AC123" s="1704">
        <v>1.4</v>
      </c>
      <c r="AD123" s="1705">
        <v>1.04</v>
      </c>
      <c r="AE123" s="1706" t="s">
        <v>324</v>
      </c>
    </row>
    <row r="124" spans="14:31" ht="13.9" x14ac:dyDescent="0.4">
      <c r="N124" s="1073">
        <f t="shared" si="10"/>
        <v>0</v>
      </c>
      <c r="O124" s="1108" t="s">
        <v>519</v>
      </c>
      <c r="P124" s="1528">
        <v>15600</v>
      </c>
      <c r="Q124" s="132">
        <v>19</v>
      </c>
      <c r="R124" s="133">
        <v>3</v>
      </c>
      <c r="S124" s="138">
        <v>248000</v>
      </c>
      <c r="T124" s="139">
        <v>4</v>
      </c>
      <c r="U124" s="140">
        <v>195</v>
      </c>
      <c r="V124" s="1108">
        <v>200</v>
      </c>
      <c r="W124" s="1653">
        <v>0.65</v>
      </c>
      <c r="X124" s="1654">
        <v>8</v>
      </c>
      <c r="Y124" s="1655">
        <v>600</v>
      </c>
      <c r="Z124" s="1656">
        <v>8</v>
      </c>
      <c r="AA124" s="1071">
        <f t="shared" si="14"/>
        <v>0</v>
      </c>
      <c r="AB124" s="1107">
        <v>0.27</v>
      </c>
      <c r="AC124" s="1704">
        <v>1.4</v>
      </c>
      <c r="AD124" s="1705">
        <v>1.04</v>
      </c>
      <c r="AE124" s="1706" t="s">
        <v>324</v>
      </c>
    </row>
    <row r="125" spans="14:31" ht="13.9" x14ac:dyDescent="0.4">
      <c r="N125" s="1073">
        <f t="shared" si="10"/>
        <v>0</v>
      </c>
      <c r="O125" s="1108" t="s">
        <v>232</v>
      </c>
      <c r="P125" s="1528">
        <v>33100</v>
      </c>
      <c r="Q125" s="538">
        <v>20</v>
      </c>
      <c r="R125" s="723">
        <v>7</v>
      </c>
      <c r="S125" s="141">
        <v>248000</v>
      </c>
      <c r="T125" s="139">
        <v>4</v>
      </c>
      <c r="U125" s="142">
        <v>195</v>
      </c>
      <c r="V125" s="1108">
        <v>160</v>
      </c>
      <c r="W125" s="1653">
        <v>0.8</v>
      </c>
      <c r="X125" s="1654">
        <v>8</v>
      </c>
      <c r="Y125" s="1655">
        <v>600</v>
      </c>
      <c r="Z125" s="1656">
        <v>8</v>
      </c>
      <c r="AA125" s="1071">
        <f t="shared" si="14"/>
        <v>0</v>
      </c>
      <c r="AB125" s="1107">
        <v>0.44</v>
      </c>
      <c r="AC125" s="1704">
        <v>2</v>
      </c>
      <c r="AD125" s="1705">
        <v>1.1000000000000001</v>
      </c>
      <c r="AE125" s="1706" t="s">
        <v>330</v>
      </c>
    </row>
    <row r="126" spans="14:31" ht="13.9" x14ac:dyDescent="0.4">
      <c r="N126" s="1073">
        <f t="shared" si="10"/>
        <v>0</v>
      </c>
      <c r="O126" s="1108" t="s">
        <v>882</v>
      </c>
      <c r="P126" s="1528">
        <v>27300</v>
      </c>
      <c r="Q126" s="132">
        <v>32</v>
      </c>
      <c r="R126" s="133">
        <v>6</v>
      </c>
      <c r="S126" s="138">
        <v>308000</v>
      </c>
      <c r="T126" s="153">
        <v>4</v>
      </c>
      <c r="U126" s="140">
        <v>230</v>
      </c>
      <c r="V126" s="1108">
        <v>120</v>
      </c>
      <c r="W126" s="1653">
        <v>0.85</v>
      </c>
      <c r="X126" s="1654">
        <v>8</v>
      </c>
      <c r="Y126" s="1655">
        <v>600</v>
      </c>
      <c r="Z126" s="1656">
        <v>8</v>
      </c>
      <c r="AA126" s="1071">
        <f t="shared" si="14"/>
        <v>0</v>
      </c>
      <c r="AB126" s="1107">
        <v>0.16</v>
      </c>
      <c r="AC126" s="1704">
        <v>1.3</v>
      </c>
      <c r="AD126" s="1705">
        <v>1.04</v>
      </c>
      <c r="AE126" s="1706" t="s">
        <v>325</v>
      </c>
    </row>
    <row r="127" spans="14:31" ht="13.9" x14ac:dyDescent="0.4">
      <c r="N127" s="1073">
        <f t="shared" si="10"/>
        <v>0</v>
      </c>
      <c r="O127" s="1108" t="s">
        <v>561</v>
      </c>
      <c r="P127" s="1528">
        <v>0</v>
      </c>
      <c r="Q127" s="132">
        <v>1</v>
      </c>
      <c r="R127" s="133">
        <v>1</v>
      </c>
      <c r="S127" s="138">
        <v>308000</v>
      </c>
      <c r="T127" s="139">
        <v>4</v>
      </c>
      <c r="U127" s="140">
        <v>230</v>
      </c>
      <c r="V127" s="1108">
        <v>100</v>
      </c>
      <c r="W127" s="1653">
        <v>0.7</v>
      </c>
      <c r="X127" s="1654">
        <v>8</v>
      </c>
      <c r="Y127" s="1655">
        <v>600</v>
      </c>
      <c r="Z127" s="1656">
        <v>8</v>
      </c>
      <c r="AA127" s="1071">
        <f t="shared" si="14"/>
        <v>0</v>
      </c>
      <c r="AB127" s="1107">
        <v>0.63</v>
      </c>
      <c r="AC127" s="1704">
        <v>1.3</v>
      </c>
      <c r="AD127" s="1705">
        <v>1.33</v>
      </c>
      <c r="AE127" s="1706" t="s">
        <v>327</v>
      </c>
    </row>
    <row r="128" spans="14:31" ht="14.25" thickBot="1" x14ac:dyDescent="0.45">
      <c r="N128" s="1073">
        <f t="shared" si="10"/>
        <v>0</v>
      </c>
      <c r="O128" s="1109" t="s">
        <v>561</v>
      </c>
      <c r="P128" s="1530">
        <v>0</v>
      </c>
      <c r="Q128" s="134">
        <v>1</v>
      </c>
      <c r="R128" s="734">
        <v>1</v>
      </c>
      <c r="S128" s="143">
        <v>308000</v>
      </c>
      <c r="T128" s="144">
        <v>4</v>
      </c>
      <c r="U128" s="145">
        <v>230</v>
      </c>
      <c r="V128" s="1109">
        <v>100</v>
      </c>
      <c r="W128" s="1657">
        <v>0.7</v>
      </c>
      <c r="X128" s="1658">
        <v>8</v>
      </c>
      <c r="Y128" s="143">
        <v>600</v>
      </c>
      <c r="Z128" s="1659">
        <v>8</v>
      </c>
      <c r="AA128" s="1071">
        <f t="shared" si="14"/>
        <v>0</v>
      </c>
      <c r="AB128" s="1707">
        <v>0.63</v>
      </c>
      <c r="AC128" s="1708">
        <v>1.3</v>
      </c>
      <c r="AD128" s="1709">
        <v>1.33</v>
      </c>
      <c r="AE128" s="1703" t="s">
        <v>327</v>
      </c>
    </row>
    <row r="129" spans="14:31" ht="13.9" x14ac:dyDescent="0.4">
      <c r="P129" s="1660"/>
      <c r="Q129" s="1660"/>
      <c r="R129" s="1660"/>
      <c r="S129" s="1660"/>
      <c r="T129" s="1660"/>
      <c r="U129" s="1660"/>
    </row>
    <row r="130" spans="14:31" ht="13.9" x14ac:dyDescent="0.4">
      <c r="P130" s="1663"/>
      <c r="Q130" s="1663"/>
      <c r="R130" s="1663"/>
      <c r="S130" s="1663"/>
      <c r="T130" s="1663"/>
      <c r="U130" s="1663"/>
    </row>
    <row r="131" spans="14:31" ht="14.25" thickBot="1" x14ac:dyDescent="0.45">
      <c r="N131" s="1071"/>
      <c r="O131" s="1664" t="s">
        <v>74</v>
      </c>
      <c r="P131" s="1665"/>
      <c r="Q131" s="1663"/>
      <c r="R131" s="1663"/>
      <c r="S131" s="1663"/>
      <c r="T131" s="1663"/>
      <c r="U131" s="1663"/>
      <c r="V131" s="1663"/>
      <c r="W131" s="1663"/>
      <c r="X131" s="1663"/>
      <c r="Y131" s="1663"/>
      <c r="Z131" s="1663"/>
      <c r="AA131" s="1071"/>
      <c r="AB131" s="1663"/>
      <c r="AC131" s="1663"/>
      <c r="AD131" s="1663"/>
      <c r="AE131" s="1663"/>
    </row>
    <row r="132" spans="14:31" ht="13.9" x14ac:dyDescent="0.4">
      <c r="N132" s="1073">
        <f>IF($A$8=2,N128+1,0)</f>
        <v>0</v>
      </c>
      <c r="O132" s="1666" t="s">
        <v>256</v>
      </c>
      <c r="P132" s="147">
        <v>348000</v>
      </c>
      <c r="Q132" s="131">
        <v>90</v>
      </c>
      <c r="R132" s="152">
        <v>12</v>
      </c>
      <c r="S132" s="1667"/>
      <c r="T132" s="1668"/>
      <c r="U132" s="137">
        <v>250</v>
      </c>
      <c r="V132" s="1648">
        <v>120</v>
      </c>
      <c r="W132" s="1649">
        <v>0.65</v>
      </c>
      <c r="X132" s="1650">
        <v>8</v>
      </c>
      <c r="Y132" s="1669"/>
      <c r="Z132" s="1670"/>
      <c r="AA132" s="1071">
        <f>AA128</f>
        <v>0</v>
      </c>
      <c r="AB132" s="1710">
        <v>0.11</v>
      </c>
      <c r="AC132" s="1711">
        <v>1.8</v>
      </c>
      <c r="AD132" s="1666">
        <v>1.25</v>
      </c>
      <c r="AE132" s="1712" t="s">
        <v>326</v>
      </c>
    </row>
    <row r="133" spans="14:31" ht="13.9" x14ac:dyDescent="0.4">
      <c r="N133" s="1073">
        <f>IF($A$8=2,N132+1,0)</f>
        <v>0</v>
      </c>
      <c r="O133" s="1671" t="s">
        <v>262</v>
      </c>
      <c r="P133" s="129">
        <v>16900</v>
      </c>
      <c r="Q133" s="1918">
        <v>1</v>
      </c>
      <c r="R133" s="1721">
        <v>2.5</v>
      </c>
      <c r="S133" s="1672"/>
      <c r="T133" s="1673"/>
      <c r="U133" s="154">
        <v>50</v>
      </c>
      <c r="V133" s="1108">
        <v>80</v>
      </c>
      <c r="W133" s="1653">
        <v>0.25</v>
      </c>
      <c r="X133" s="1654">
        <v>8</v>
      </c>
      <c r="Y133" s="1674"/>
      <c r="Z133" s="1675"/>
      <c r="AA133" s="1071">
        <f>AA132</f>
        <v>0</v>
      </c>
      <c r="AB133" s="1107">
        <v>0.28000000000000003</v>
      </c>
      <c r="AC133" s="1704">
        <v>1.4</v>
      </c>
      <c r="AD133" s="1705">
        <v>1.04</v>
      </c>
      <c r="AE133" s="1713" t="s">
        <v>329</v>
      </c>
    </row>
    <row r="134" spans="14:31" ht="14.25" thickBot="1" x14ac:dyDescent="0.45">
      <c r="N134" s="1073">
        <f>IF($A$8=2,N133+1,0)</f>
        <v>0</v>
      </c>
      <c r="O134" s="1676" t="s">
        <v>962</v>
      </c>
      <c r="P134" s="151">
        <v>464900</v>
      </c>
      <c r="Q134" s="741">
        <v>80</v>
      </c>
      <c r="R134" s="795">
        <v>12</v>
      </c>
      <c r="S134" s="1677"/>
      <c r="T134" s="1678"/>
      <c r="U134" s="155">
        <v>250</v>
      </c>
      <c r="V134" s="1109">
        <v>120</v>
      </c>
      <c r="W134" s="1657">
        <v>0.65</v>
      </c>
      <c r="X134" s="1658">
        <v>8</v>
      </c>
      <c r="Y134" s="1679"/>
      <c r="Z134" s="1680"/>
      <c r="AA134" s="1071">
        <f>AA133</f>
        <v>0</v>
      </c>
      <c r="AB134" s="1707">
        <v>0.11</v>
      </c>
      <c r="AC134" s="1714">
        <v>1.8</v>
      </c>
      <c r="AD134" s="1676">
        <v>1.25</v>
      </c>
      <c r="AE134" s="1715" t="s">
        <v>326</v>
      </c>
    </row>
    <row r="135" spans="14:31" ht="13.9" x14ac:dyDescent="0.4">
      <c r="N135" s="1071"/>
      <c r="O135" s="1660"/>
      <c r="P135" s="1660"/>
      <c r="Q135" s="1660"/>
      <c r="R135" s="1660"/>
      <c r="S135" s="1660"/>
      <c r="T135" s="1660"/>
      <c r="U135" s="1660"/>
      <c r="V135" s="1660"/>
      <c r="W135" s="1660"/>
      <c r="X135" s="1661"/>
      <c r="Y135" s="1662"/>
      <c r="Z135" s="1661"/>
      <c r="AA135" s="1071"/>
      <c r="AB135" s="1660"/>
      <c r="AC135" s="1660"/>
      <c r="AD135" s="1660"/>
      <c r="AE135" s="1660"/>
    </row>
    <row r="136" spans="14:31" ht="13.9" x14ac:dyDescent="0.4">
      <c r="N136" s="1071"/>
      <c r="O136" s="1663"/>
      <c r="P136" s="1663"/>
      <c r="Q136" s="1663"/>
      <c r="R136" s="1663"/>
      <c r="S136" s="1663"/>
      <c r="T136" s="1663"/>
      <c r="U136" s="1663"/>
      <c r="V136" s="1663"/>
      <c r="W136" s="1663"/>
      <c r="X136" s="1663"/>
      <c r="Y136" s="1663"/>
      <c r="Z136" s="1663"/>
      <c r="AA136" s="1071"/>
      <c r="AB136" s="1663"/>
      <c r="AC136" s="1663"/>
      <c r="AD136" s="1663"/>
      <c r="AE136" s="1663"/>
    </row>
    <row r="137" spans="14:31" ht="14.25" thickBot="1" x14ac:dyDescent="0.45">
      <c r="N137" s="1071"/>
      <c r="O137" s="1664" t="s">
        <v>79</v>
      </c>
      <c r="P137" s="1665"/>
      <c r="Q137" s="1663"/>
      <c r="R137" s="1663"/>
      <c r="S137" s="1663"/>
      <c r="T137" s="1663"/>
      <c r="U137" s="1663"/>
      <c r="V137" s="1663"/>
      <c r="W137" s="1663"/>
      <c r="X137" s="1663"/>
      <c r="Y137" s="1663"/>
      <c r="Z137" s="1663"/>
      <c r="AA137" s="1071"/>
      <c r="AB137" s="1663"/>
      <c r="AC137" s="1663"/>
      <c r="AD137" s="1663"/>
      <c r="AE137" s="1663"/>
    </row>
    <row r="138" spans="14:31" ht="13.9" x14ac:dyDescent="0.4">
      <c r="N138" s="1073">
        <f>IF($A$8=2,N134+1,0)</f>
        <v>0</v>
      </c>
      <c r="O138" s="1666" t="s">
        <v>73</v>
      </c>
      <c r="P138" s="1531">
        <v>478000</v>
      </c>
      <c r="Q138" s="131">
        <v>19</v>
      </c>
      <c r="R138" s="152">
        <v>3.5</v>
      </c>
      <c r="S138" s="1681"/>
      <c r="T138" s="1668"/>
      <c r="U138" s="137">
        <v>355</v>
      </c>
      <c r="V138" s="1648">
        <v>200</v>
      </c>
      <c r="W138" s="1649">
        <v>0.7</v>
      </c>
      <c r="X138" s="1650">
        <v>8</v>
      </c>
      <c r="Y138" s="1669"/>
      <c r="Z138" s="1670"/>
      <c r="AA138" s="1071">
        <f>AA134</f>
        <v>0</v>
      </c>
      <c r="AB138" s="1710">
        <v>0.11</v>
      </c>
      <c r="AC138" s="1716">
        <v>1.8</v>
      </c>
      <c r="AD138" s="1717">
        <v>1.1100000000000001</v>
      </c>
      <c r="AE138" s="1718" t="s">
        <v>349</v>
      </c>
    </row>
    <row r="139" spans="14:31" ht="13.9" x14ac:dyDescent="0.4">
      <c r="N139" s="1073">
        <f t="shared" ref="N139:N155" si="15">IF($A$8=2,N138+1,0)</f>
        <v>0</v>
      </c>
      <c r="O139" s="1671" t="s">
        <v>984</v>
      </c>
      <c r="P139" s="1528">
        <v>30500</v>
      </c>
      <c r="Q139" s="1918">
        <f>Q138</f>
        <v>19</v>
      </c>
      <c r="R139" s="1925">
        <f>R138</f>
        <v>3.5</v>
      </c>
      <c r="S139" s="138">
        <v>248000</v>
      </c>
      <c r="T139" s="153">
        <v>4</v>
      </c>
      <c r="U139" s="154">
        <v>195</v>
      </c>
      <c r="V139" s="1108">
        <v>200</v>
      </c>
      <c r="W139" s="1653">
        <v>0.7</v>
      </c>
      <c r="X139" s="1654">
        <v>8</v>
      </c>
      <c r="Y139" s="1655">
        <v>600</v>
      </c>
      <c r="Z139" s="1656">
        <v>8</v>
      </c>
      <c r="AA139" s="1071">
        <f>AA138</f>
        <v>0</v>
      </c>
      <c r="AB139" s="1107">
        <v>0.19</v>
      </c>
      <c r="AC139" s="1704">
        <v>1.3</v>
      </c>
      <c r="AD139" s="1719">
        <v>1.1100000000000001</v>
      </c>
      <c r="AE139" s="1706" t="s">
        <v>327</v>
      </c>
    </row>
    <row r="140" spans="14:31" ht="13.9" x14ac:dyDescent="0.4">
      <c r="N140" s="1073">
        <f t="shared" si="15"/>
        <v>0</v>
      </c>
      <c r="O140" s="1671" t="s">
        <v>983</v>
      </c>
      <c r="P140" s="1528">
        <v>34700</v>
      </c>
      <c r="Q140" s="1921">
        <f>Q138</f>
        <v>19</v>
      </c>
      <c r="R140" s="1925">
        <f>R138</f>
        <v>3.5</v>
      </c>
      <c r="S140" s="138">
        <v>248000</v>
      </c>
      <c r="T140" s="153">
        <v>4</v>
      </c>
      <c r="U140" s="154">
        <v>195</v>
      </c>
      <c r="V140" s="1682">
        <v>200</v>
      </c>
      <c r="W140" s="1916">
        <v>0.7</v>
      </c>
      <c r="X140" s="1683">
        <v>8</v>
      </c>
      <c r="Y140" s="138">
        <v>600</v>
      </c>
      <c r="Z140" s="1684">
        <v>8</v>
      </c>
      <c r="AA140" s="1071">
        <f t="shared" ref="AA140:AA155" si="16">AA139</f>
        <v>0</v>
      </c>
      <c r="AB140" s="1720">
        <v>0.19</v>
      </c>
      <c r="AC140" s="1721">
        <v>1.3</v>
      </c>
      <c r="AD140" s="1722">
        <v>3.33</v>
      </c>
      <c r="AE140" s="1706" t="s">
        <v>327</v>
      </c>
    </row>
    <row r="141" spans="14:31" ht="13.9" x14ac:dyDescent="0.4">
      <c r="N141" s="1073">
        <f t="shared" si="15"/>
        <v>0</v>
      </c>
      <c r="O141" s="1671" t="s">
        <v>270</v>
      </c>
      <c r="P141" s="1528">
        <v>960000</v>
      </c>
      <c r="Q141" s="132">
        <v>19</v>
      </c>
      <c r="R141" s="317">
        <v>3.7</v>
      </c>
      <c r="S141" s="1685"/>
      <c r="T141" s="1686"/>
      <c r="U141" s="140">
        <v>560</v>
      </c>
      <c r="V141" s="1108">
        <v>200</v>
      </c>
      <c r="W141" s="1653">
        <v>0.85</v>
      </c>
      <c r="X141" s="1654">
        <v>8</v>
      </c>
      <c r="Y141" s="1687"/>
      <c r="Z141" s="1688"/>
      <c r="AA141" s="1071">
        <f t="shared" si="16"/>
        <v>0</v>
      </c>
      <c r="AB141" s="1107">
        <v>0.11</v>
      </c>
      <c r="AC141" s="1704">
        <v>1.8</v>
      </c>
      <c r="AD141" s="1705">
        <v>1.1100000000000001</v>
      </c>
      <c r="AE141" s="1706" t="s">
        <v>349</v>
      </c>
    </row>
    <row r="142" spans="14:31" ht="13.9" x14ac:dyDescent="0.4">
      <c r="N142" s="1073">
        <f t="shared" si="15"/>
        <v>0</v>
      </c>
      <c r="O142" s="1671" t="s">
        <v>982</v>
      </c>
      <c r="P142" s="1528">
        <v>13750</v>
      </c>
      <c r="Q142" s="1921">
        <v>1</v>
      </c>
      <c r="R142" s="1925">
        <f>R141</f>
        <v>3.7</v>
      </c>
      <c r="S142" s="1105">
        <v>248000</v>
      </c>
      <c r="T142" s="153">
        <v>4</v>
      </c>
      <c r="U142" s="140">
        <v>195</v>
      </c>
      <c r="V142" s="1682">
        <v>10</v>
      </c>
      <c r="W142" s="1916">
        <v>0.9</v>
      </c>
      <c r="X142" s="1683">
        <v>8</v>
      </c>
      <c r="Y142" s="1655">
        <v>600</v>
      </c>
      <c r="Z142" s="1656">
        <v>8</v>
      </c>
      <c r="AA142" s="1071">
        <f t="shared" si="16"/>
        <v>0</v>
      </c>
      <c r="AB142" s="1107">
        <v>0.19</v>
      </c>
      <c r="AC142" s="1704">
        <v>1.3</v>
      </c>
      <c r="AD142" s="1705">
        <v>1.1100000000000001</v>
      </c>
      <c r="AE142" s="1706" t="s">
        <v>327</v>
      </c>
    </row>
    <row r="143" spans="14:31" ht="13.9" x14ac:dyDescent="0.4">
      <c r="N143" s="1073">
        <f t="shared" si="15"/>
        <v>0</v>
      </c>
      <c r="O143" s="1671" t="s">
        <v>127</v>
      </c>
      <c r="P143" s="1528">
        <v>739000</v>
      </c>
      <c r="Q143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143" s="1925">
        <f>MAX(IF(Machine!$B$70&gt;0,1,Machine!$B$70)*Machine!$E$70,IF(Machine!$B$71&gt;0,1,Machine!$B$71)*Machine!$E$71,IF(Machine!$B$72&gt;0,1,Machine!$B$72)*Machine!$E$72,IF(Machine!$B$73&gt;0,1,Machine!$B$73)*Machine!$E$73,1)</f>
        <v>3.5</v>
      </c>
      <c r="S143" s="1950">
        <v>0</v>
      </c>
      <c r="T143" s="1686"/>
      <c r="U143" s="142">
        <v>325</v>
      </c>
      <c r="V143" s="1108">
        <v>300</v>
      </c>
      <c r="W143" s="1653">
        <v>0.7</v>
      </c>
      <c r="X143" s="1654">
        <v>8</v>
      </c>
      <c r="Y143" s="1687"/>
      <c r="Z143" s="1688"/>
      <c r="AA143" s="1071">
        <f t="shared" si="16"/>
        <v>0</v>
      </c>
      <c r="AB143" s="1723">
        <v>0.04</v>
      </c>
      <c r="AC143" s="1724">
        <v>2.1</v>
      </c>
      <c r="AD143" s="1725">
        <v>1.1100000000000001</v>
      </c>
      <c r="AE143" s="1706" t="s">
        <v>349</v>
      </c>
    </row>
    <row r="144" spans="14:31" ht="13.9" x14ac:dyDescent="0.4">
      <c r="N144" s="1073">
        <f t="shared" si="15"/>
        <v>0</v>
      </c>
      <c r="O144" s="1671" t="s">
        <v>128</v>
      </c>
      <c r="P144" s="1528">
        <v>67900</v>
      </c>
      <c r="Q144" s="1520">
        <v>25</v>
      </c>
      <c r="R144" s="1521">
        <v>3.5</v>
      </c>
      <c r="S144" s="1951">
        <v>0</v>
      </c>
      <c r="T144" s="1689"/>
      <c r="U144" s="1953">
        <v>0</v>
      </c>
      <c r="V144" s="1108">
        <v>300</v>
      </c>
      <c r="W144" s="1653">
        <v>0.7</v>
      </c>
      <c r="X144" s="1654">
        <v>8</v>
      </c>
      <c r="Y144" s="1687"/>
      <c r="Z144" s="1688"/>
      <c r="AA144" s="1071">
        <f t="shared" si="16"/>
        <v>0</v>
      </c>
      <c r="AB144" s="1107">
        <v>0.12</v>
      </c>
      <c r="AC144" s="1704">
        <v>2.2999999999999998</v>
      </c>
      <c r="AD144" s="1726"/>
      <c r="AE144" s="1706" t="s">
        <v>349</v>
      </c>
    </row>
    <row r="145" spans="14:31" ht="13.9" x14ac:dyDescent="0.4">
      <c r="N145" s="1073">
        <f t="shared" si="15"/>
        <v>0</v>
      </c>
      <c r="O145" s="1671" t="s">
        <v>129</v>
      </c>
      <c r="P145" s="1528">
        <v>43800</v>
      </c>
      <c r="Q145" s="1520">
        <v>30</v>
      </c>
      <c r="R145" s="1521">
        <v>4.5</v>
      </c>
      <c r="S145" s="1951">
        <v>0</v>
      </c>
      <c r="T145" s="1689"/>
      <c r="U145" s="1953">
        <v>0</v>
      </c>
      <c r="V145" s="1108">
        <v>300</v>
      </c>
      <c r="W145" s="1653">
        <v>0.7</v>
      </c>
      <c r="X145" s="1654">
        <v>8</v>
      </c>
      <c r="Y145" s="1687"/>
      <c r="Z145" s="1688"/>
      <c r="AA145" s="1071">
        <f t="shared" si="16"/>
        <v>0</v>
      </c>
      <c r="AB145" s="1107">
        <v>0.12</v>
      </c>
      <c r="AC145" s="1704">
        <v>2.2999999999999998</v>
      </c>
      <c r="AD145" s="1726"/>
      <c r="AE145" s="1706" t="s">
        <v>349</v>
      </c>
    </row>
    <row r="146" spans="14:31" ht="13.9" x14ac:dyDescent="0.4">
      <c r="N146" s="1073">
        <f t="shared" si="15"/>
        <v>0</v>
      </c>
      <c r="O146" s="1671" t="s">
        <v>130</v>
      </c>
      <c r="P146" s="1528">
        <v>78600</v>
      </c>
      <c r="Q146" s="1520">
        <v>30</v>
      </c>
      <c r="R146" s="1521">
        <v>2.5</v>
      </c>
      <c r="S146" s="1951">
        <v>0</v>
      </c>
      <c r="T146" s="1689"/>
      <c r="U146" s="1953">
        <v>0</v>
      </c>
      <c r="V146" s="1108">
        <v>300</v>
      </c>
      <c r="W146" s="1653">
        <v>0.7</v>
      </c>
      <c r="X146" s="1654">
        <v>8</v>
      </c>
      <c r="Y146" s="1687"/>
      <c r="Z146" s="1688"/>
      <c r="AA146" s="1071">
        <f t="shared" si="16"/>
        <v>0</v>
      </c>
      <c r="AB146" s="1107">
        <v>0.12</v>
      </c>
      <c r="AC146" s="1704">
        <v>2.2999999999999998</v>
      </c>
      <c r="AD146" s="1726"/>
      <c r="AE146" s="1706" t="s">
        <v>349</v>
      </c>
    </row>
    <row r="147" spans="14:31" ht="13.9" x14ac:dyDescent="0.4">
      <c r="N147" s="1073">
        <f t="shared" si="15"/>
        <v>0</v>
      </c>
      <c r="O147" s="1671" t="s">
        <v>160</v>
      </c>
      <c r="P147" s="1528">
        <v>29100</v>
      </c>
      <c r="Q147" s="1520">
        <v>30</v>
      </c>
      <c r="R147" s="1521">
        <v>3.5</v>
      </c>
      <c r="S147" s="1952">
        <v>0</v>
      </c>
      <c r="T147" s="1690"/>
      <c r="U147" s="1953">
        <v>0</v>
      </c>
      <c r="V147" s="1108">
        <v>300</v>
      </c>
      <c r="W147" s="1653">
        <v>0.7</v>
      </c>
      <c r="X147" s="1654">
        <v>8</v>
      </c>
      <c r="Y147" s="1687"/>
      <c r="Z147" s="1688"/>
      <c r="AA147" s="1071">
        <f t="shared" si="16"/>
        <v>0</v>
      </c>
      <c r="AB147" s="1107">
        <v>0.12</v>
      </c>
      <c r="AC147" s="1704">
        <v>2.2999999999999998</v>
      </c>
      <c r="AD147" s="1726"/>
      <c r="AE147" s="1706" t="s">
        <v>349</v>
      </c>
    </row>
    <row r="148" spans="14:31" ht="13.9" x14ac:dyDescent="0.4">
      <c r="N148" s="1073">
        <f t="shared" si="15"/>
        <v>0</v>
      </c>
      <c r="O148" s="1671" t="s">
        <v>980</v>
      </c>
      <c r="P148" s="1528">
        <v>58400</v>
      </c>
      <c r="Q148" s="1921">
        <f>Q143</f>
        <v>30</v>
      </c>
      <c r="R148" s="1925">
        <f>R143</f>
        <v>3.5</v>
      </c>
      <c r="S148" s="1105">
        <v>248000</v>
      </c>
      <c r="T148" s="139">
        <v>4</v>
      </c>
      <c r="U148" s="142">
        <v>195</v>
      </c>
      <c r="V148" s="1682">
        <v>300</v>
      </c>
      <c r="W148" s="1916">
        <v>0.7</v>
      </c>
      <c r="X148" s="1683">
        <v>8</v>
      </c>
      <c r="Y148" s="138">
        <v>600</v>
      </c>
      <c r="Z148" s="1684">
        <v>8</v>
      </c>
      <c r="AA148" s="1071">
        <f t="shared" si="16"/>
        <v>0</v>
      </c>
      <c r="AB148" s="1720">
        <v>0.19</v>
      </c>
      <c r="AC148" s="1721">
        <v>1.3</v>
      </c>
      <c r="AD148" s="1722">
        <v>1.1100000000000001</v>
      </c>
      <c r="AE148" s="1706" t="s">
        <v>327</v>
      </c>
    </row>
    <row r="149" spans="14:31" ht="13.9" x14ac:dyDescent="0.4">
      <c r="N149" s="1073">
        <f t="shared" si="15"/>
        <v>0</v>
      </c>
      <c r="O149" s="1671" t="s">
        <v>562</v>
      </c>
      <c r="P149" s="1105">
        <v>0</v>
      </c>
      <c r="Q149" s="538">
        <v>19</v>
      </c>
      <c r="R149" s="723">
        <v>2.5</v>
      </c>
      <c r="S149" s="1952">
        <v>0</v>
      </c>
      <c r="T149" s="1690"/>
      <c r="U149" s="142">
        <v>230</v>
      </c>
      <c r="V149" s="1108">
        <v>200</v>
      </c>
      <c r="W149" s="1653">
        <v>0.65</v>
      </c>
      <c r="X149" s="1654">
        <v>8</v>
      </c>
      <c r="Y149" s="1687"/>
      <c r="Z149" s="1688"/>
      <c r="AA149" s="1071">
        <f t="shared" si="16"/>
        <v>0</v>
      </c>
      <c r="AB149" s="1107">
        <v>0.04</v>
      </c>
      <c r="AC149" s="1704">
        <v>2.1</v>
      </c>
      <c r="AD149" s="1671">
        <v>1.1100000000000001</v>
      </c>
      <c r="AE149" s="1706" t="s">
        <v>349</v>
      </c>
    </row>
    <row r="150" spans="14:31" ht="13.9" x14ac:dyDescent="0.4">
      <c r="N150" s="1073">
        <f t="shared" si="15"/>
        <v>0</v>
      </c>
      <c r="O150" s="1671" t="s">
        <v>981</v>
      </c>
      <c r="P150" s="1528">
        <v>179000</v>
      </c>
      <c r="Q150" s="538">
        <v>19</v>
      </c>
      <c r="R150" s="723">
        <v>2</v>
      </c>
      <c r="S150" s="138">
        <v>308000</v>
      </c>
      <c r="T150" s="139">
        <v>4</v>
      </c>
      <c r="U150" s="142">
        <v>230</v>
      </c>
      <c r="V150" s="1108">
        <v>200</v>
      </c>
      <c r="W150" s="1653">
        <v>0.65</v>
      </c>
      <c r="X150" s="1654">
        <v>8</v>
      </c>
      <c r="Y150" s="1655">
        <v>600</v>
      </c>
      <c r="Z150" s="1656">
        <v>8</v>
      </c>
      <c r="AA150" s="1071">
        <f t="shared" si="16"/>
        <v>0</v>
      </c>
      <c r="AB150" s="1107">
        <v>0.04</v>
      </c>
      <c r="AC150" s="1704">
        <v>2.1</v>
      </c>
      <c r="AD150" s="1671">
        <v>1.1100000000000001</v>
      </c>
      <c r="AE150" s="1706" t="s">
        <v>349</v>
      </c>
    </row>
    <row r="151" spans="14:31" ht="13.9" x14ac:dyDescent="0.4">
      <c r="N151" s="1073">
        <f t="shared" si="15"/>
        <v>0</v>
      </c>
      <c r="O151" s="1671" t="s">
        <v>985</v>
      </c>
      <c r="P151" s="1528">
        <v>57500</v>
      </c>
      <c r="Q151" s="1921">
        <f>IF(Machine!$B$75&gt;0,Q149,Q150)</f>
        <v>19</v>
      </c>
      <c r="R151" s="1925">
        <f>IF(Machine!$B$75&gt;0,R149,R150)</f>
        <v>2</v>
      </c>
      <c r="S151" s="149">
        <v>248000</v>
      </c>
      <c r="T151" s="139">
        <v>4</v>
      </c>
      <c r="U151" s="142">
        <v>195</v>
      </c>
      <c r="V151" s="1108">
        <v>200</v>
      </c>
      <c r="W151" s="1653">
        <v>0.65</v>
      </c>
      <c r="X151" s="1654">
        <v>8</v>
      </c>
      <c r="Y151" s="1655">
        <v>600</v>
      </c>
      <c r="Z151" s="1656">
        <v>8</v>
      </c>
      <c r="AA151" s="1071">
        <f t="shared" si="16"/>
        <v>0</v>
      </c>
      <c r="AB151" s="1107">
        <v>0.19</v>
      </c>
      <c r="AC151" s="1704">
        <v>1.3</v>
      </c>
      <c r="AD151" s="1727">
        <v>1.1100000000000001</v>
      </c>
      <c r="AE151" s="1706" t="s">
        <v>327</v>
      </c>
    </row>
    <row r="152" spans="14:31" ht="13.9" x14ac:dyDescent="0.4">
      <c r="N152" s="1073">
        <f t="shared" si="15"/>
        <v>0</v>
      </c>
      <c r="O152" s="1671" t="s">
        <v>986</v>
      </c>
      <c r="P152" s="1528">
        <v>7800</v>
      </c>
      <c r="Q152" s="1921">
        <f>Q151</f>
        <v>19</v>
      </c>
      <c r="R152" s="1925">
        <f>R151</f>
        <v>2</v>
      </c>
      <c r="S152" s="149">
        <v>248000</v>
      </c>
      <c r="T152" s="139">
        <v>4</v>
      </c>
      <c r="U152" s="142">
        <v>195</v>
      </c>
      <c r="V152" s="1682">
        <v>200</v>
      </c>
      <c r="W152" s="1653">
        <v>0.65</v>
      </c>
      <c r="X152" s="1683">
        <v>8</v>
      </c>
      <c r="Y152" s="138">
        <v>600</v>
      </c>
      <c r="Z152" s="1684">
        <v>8</v>
      </c>
      <c r="AA152" s="1071">
        <f t="shared" si="16"/>
        <v>0</v>
      </c>
      <c r="AB152" s="1720">
        <v>0.19</v>
      </c>
      <c r="AC152" s="1721">
        <v>1.3</v>
      </c>
      <c r="AD152" s="1728">
        <v>1.1100000000000001</v>
      </c>
      <c r="AE152" s="1706" t="s">
        <v>327</v>
      </c>
    </row>
    <row r="153" spans="14:31" ht="13.9" x14ac:dyDescent="0.4">
      <c r="N153" s="1073">
        <f t="shared" si="15"/>
        <v>0</v>
      </c>
      <c r="O153" s="1671" t="s">
        <v>562</v>
      </c>
      <c r="P153" s="1528">
        <v>0</v>
      </c>
      <c r="Q153" s="738">
        <v>1</v>
      </c>
      <c r="R153" s="317">
        <v>1</v>
      </c>
      <c r="S153" s="1952">
        <v>0</v>
      </c>
      <c r="T153" s="1691"/>
      <c r="U153" s="140">
        <v>325</v>
      </c>
      <c r="V153" s="1108">
        <v>200</v>
      </c>
      <c r="W153" s="1653">
        <v>0.7</v>
      </c>
      <c r="X153" s="1654">
        <v>8</v>
      </c>
      <c r="Y153" s="1687"/>
      <c r="Z153" s="1688"/>
      <c r="AA153" s="1071">
        <f t="shared" si="16"/>
        <v>0</v>
      </c>
      <c r="AB153" s="1107">
        <v>0.11</v>
      </c>
      <c r="AC153" s="1704">
        <v>1.8</v>
      </c>
      <c r="AD153" s="1705">
        <v>1.1100000000000001</v>
      </c>
      <c r="AE153" s="1706" t="s">
        <v>349</v>
      </c>
    </row>
    <row r="154" spans="14:31" ht="13.9" x14ac:dyDescent="0.4">
      <c r="N154" s="1073">
        <f t="shared" si="15"/>
        <v>0</v>
      </c>
      <c r="O154" s="1671" t="s">
        <v>562</v>
      </c>
      <c r="P154" s="1528">
        <v>0</v>
      </c>
      <c r="Q154" s="1918">
        <f>Q153</f>
        <v>1</v>
      </c>
      <c r="R154" s="1925">
        <f>R153</f>
        <v>1</v>
      </c>
      <c r="S154" s="138">
        <v>248000</v>
      </c>
      <c r="T154" s="153">
        <v>4</v>
      </c>
      <c r="U154" s="154">
        <v>195</v>
      </c>
      <c r="V154" s="1108">
        <v>200</v>
      </c>
      <c r="W154" s="1653">
        <v>0.7</v>
      </c>
      <c r="X154" s="1654">
        <v>8</v>
      </c>
      <c r="Y154" s="1655">
        <v>600</v>
      </c>
      <c r="Z154" s="1656">
        <v>8</v>
      </c>
      <c r="AA154" s="1071">
        <f t="shared" si="16"/>
        <v>0</v>
      </c>
      <c r="AB154" s="1107">
        <v>0.19</v>
      </c>
      <c r="AC154" s="1704">
        <v>1.3</v>
      </c>
      <c r="AD154" s="1719">
        <v>1.1100000000000001</v>
      </c>
      <c r="AE154" s="1706" t="s">
        <v>327</v>
      </c>
    </row>
    <row r="155" spans="14:31" ht="14.25" thickBot="1" x14ac:dyDescent="0.45">
      <c r="N155" s="1073">
        <f t="shared" si="15"/>
        <v>0</v>
      </c>
      <c r="O155" s="1676" t="s">
        <v>562</v>
      </c>
      <c r="P155" s="1532">
        <v>0</v>
      </c>
      <c r="Q155" s="1929">
        <f>Q153</f>
        <v>1</v>
      </c>
      <c r="R155" s="1930">
        <f>R153</f>
        <v>1</v>
      </c>
      <c r="S155" s="143">
        <v>248000</v>
      </c>
      <c r="T155" s="535">
        <v>4</v>
      </c>
      <c r="U155" s="740">
        <v>195</v>
      </c>
      <c r="V155" s="1109">
        <v>200</v>
      </c>
      <c r="W155" s="1657">
        <v>0.7</v>
      </c>
      <c r="X155" s="1658">
        <v>8</v>
      </c>
      <c r="Y155" s="143">
        <v>600</v>
      </c>
      <c r="Z155" s="1659">
        <v>8</v>
      </c>
      <c r="AA155" s="1071">
        <f t="shared" si="16"/>
        <v>0</v>
      </c>
      <c r="AB155" s="1707">
        <v>0.19</v>
      </c>
      <c r="AC155" s="1708">
        <v>1.3</v>
      </c>
      <c r="AD155" s="1729">
        <v>1.1100000000000001</v>
      </c>
      <c r="AE155" s="1703" t="s">
        <v>327</v>
      </c>
    </row>
    <row r="156" spans="14:31" ht="13.9" x14ac:dyDescent="0.4">
      <c r="N156" s="1071"/>
      <c r="O156" s="1660"/>
      <c r="P156" s="1660"/>
      <c r="Q156" s="1660"/>
      <c r="R156" s="1660"/>
      <c r="S156" s="1660"/>
      <c r="T156" s="1660"/>
      <c r="U156" s="1660"/>
      <c r="V156" s="1660"/>
      <c r="W156" s="1660"/>
      <c r="X156" s="1661"/>
      <c r="Y156" s="1662"/>
      <c r="Z156" s="1661"/>
      <c r="AA156" s="83"/>
      <c r="AB156" s="1660"/>
      <c r="AC156" s="1660"/>
      <c r="AD156" s="1660"/>
      <c r="AE156" s="1660"/>
    </row>
    <row r="157" spans="14:31" ht="14.25" thickBot="1" x14ac:dyDescent="0.45">
      <c r="N157" s="1071"/>
      <c r="O157" s="1621" t="s">
        <v>713</v>
      </c>
      <c r="P157" s="1622">
        <v>3</v>
      </c>
      <c r="Q157" s="1621"/>
      <c r="R157" s="1621"/>
      <c r="S157" s="1621"/>
      <c r="T157" s="1621"/>
      <c r="U157" s="1621"/>
      <c r="V157" s="1623"/>
      <c r="W157" s="1623"/>
      <c r="X157" s="1623"/>
      <c r="Y157" s="1623"/>
      <c r="Z157" s="1623"/>
      <c r="AA157" s="1173"/>
      <c r="AB157" s="1623"/>
      <c r="AC157" s="1623"/>
      <c r="AD157" s="1623"/>
      <c r="AE157" s="1623"/>
    </row>
    <row r="158" spans="14:31" ht="14.25" thickBot="1" x14ac:dyDescent="0.45">
      <c r="N158" s="1071"/>
      <c r="O158" s="1624"/>
      <c r="P158" s="1624"/>
      <c r="Q158" s="1624"/>
      <c r="R158" s="1624"/>
      <c r="S158" s="1624"/>
      <c r="T158" s="1624"/>
      <c r="U158" s="1624"/>
      <c r="V158" s="1625" t="s">
        <v>709</v>
      </c>
      <c r="W158" s="1625"/>
      <c r="X158" s="1626"/>
      <c r="Y158" s="1627" t="s">
        <v>322</v>
      </c>
      <c r="Z158" s="1628"/>
      <c r="AA158" s="1533"/>
      <c r="AB158" s="1692" t="s">
        <v>455</v>
      </c>
      <c r="AC158" s="1693"/>
      <c r="AD158" s="1694"/>
      <c r="AE158" s="1695"/>
    </row>
    <row r="159" spans="14:31" ht="13.9" x14ac:dyDescent="0.4">
      <c r="N159" s="1071"/>
      <c r="O159" s="1629"/>
      <c r="P159" s="1102" t="s">
        <v>175</v>
      </c>
      <c r="Q159" s="1103"/>
      <c r="R159" s="1104" t="s">
        <v>202</v>
      </c>
      <c r="S159" s="1102" t="s">
        <v>344</v>
      </c>
      <c r="T159" s="1630" t="s">
        <v>68</v>
      </c>
      <c r="U159" s="1631" t="s">
        <v>52</v>
      </c>
      <c r="V159" s="415"/>
      <c r="W159" s="1632"/>
      <c r="X159" s="1633" t="s">
        <v>24</v>
      </c>
      <c r="Y159" s="1634"/>
      <c r="Z159" s="1635" t="s">
        <v>24</v>
      </c>
      <c r="AA159" s="1565"/>
      <c r="AB159" s="1696" t="s">
        <v>254</v>
      </c>
      <c r="AC159" s="1697"/>
      <c r="AD159" s="1698"/>
      <c r="AE159" s="1698"/>
    </row>
    <row r="160" spans="14:31" ht="13.9" x14ac:dyDescent="0.4">
      <c r="N160" s="1071"/>
      <c r="O160" s="1636"/>
      <c r="P160" s="380" t="s">
        <v>343</v>
      </c>
      <c r="Q160" s="378" t="s">
        <v>43</v>
      </c>
      <c r="R160" s="379" t="s">
        <v>203</v>
      </c>
      <c r="S160" s="380" t="s">
        <v>343</v>
      </c>
      <c r="T160" s="1637" t="s">
        <v>59</v>
      </c>
      <c r="U160" s="1638" t="s">
        <v>57</v>
      </c>
      <c r="V160" s="30" t="s">
        <v>36</v>
      </c>
      <c r="W160" s="23" t="s">
        <v>45</v>
      </c>
      <c r="X160" s="1639" t="s">
        <v>25</v>
      </c>
      <c r="Y160" s="30" t="s">
        <v>36</v>
      </c>
      <c r="Z160" s="1640" t="s">
        <v>25</v>
      </c>
      <c r="AA160" s="1071"/>
      <c r="AB160" s="30" t="s">
        <v>58</v>
      </c>
      <c r="AC160" s="1699" t="s">
        <v>58</v>
      </c>
      <c r="AD160" s="1700" t="s">
        <v>55</v>
      </c>
      <c r="AE160" s="1701" t="s">
        <v>966</v>
      </c>
    </row>
    <row r="161" spans="14:31" ht="14.25" thickBot="1" x14ac:dyDescent="0.45">
      <c r="N161" s="1071"/>
      <c r="O161" s="1641" t="s">
        <v>158</v>
      </c>
      <c r="P161" s="380" t="s">
        <v>342</v>
      </c>
      <c r="Q161" s="378" t="s">
        <v>44</v>
      </c>
      <c r="R161" s="379" t="s">
        <v>201</v>
      </c>
      <c r="S161" s="1642" t="s">
        <v>342</v>
      </c>
      <c r="T161" s="1643" t="s">
        <v>188</v>
      </c>
      <c r="U161" s="1644" t="s">
        <v>2</v>
      </c>
      <c r="V161" s="1645" t="s">
        <v>37</v>
      </c>
      <c r="W161" s="1646" t="s">
        <v>46</v>
      </c>
      <c r="X161" s="1646" t="s">
        <v>26</v>
      </c>
      <c r="Y161" s="1645" t="s">
        <v>37</v>
      </c>
      <c r="Z161" s="1647" t="s">
        <v>26</v>
      </c>
      <c r="AA161" s="1071"/>
      <c r="AB161" s="1645" t="s">
        <v>76</v>
      </c>
      <c r="AC161" s="1647" t="s">
        <v>77</v>
      </c>
      <c r="AD161" s="1702" t="s">
        <v>31</v>
      </c>
      <c r="AE161" s="1703" t="s">
        <v>312</v>
      </c>
    </row>
    <row r="162" spans="14:31" ht="13.9" x14ac:dyDescent="0.4">
      <c r="N162" s="1073">
        <f>IF($A$8=3,1,0)</f>
        <v>0</v>
      </c>
      <c r="O162" s="1106" t="s">
        <v>247</v>
      </c>
      <c r="P162" s="1528">
        <v>17200</v>
      </c>
      <c r="Q162" s="131">
        <v>19</v>
      </c>
      <c r="R162" s="975">
        <v>4</v>
      </c>
      <c r="S162" s="135">
        <v>308000</v>
      </c>
      <c r="T162" s="136">
        <v>4</v>
      </c>
      <c r="U162" s="137">
        <v>230</v>
      </c>
      <c r="V162" s="1648">
        <v>160</v>
      </c>
      <c r="W162" s="1649">
        <v>0.85</v>
      </c>
      <c r="X162" s="1650">
        <v>8</v>
      </c>
      <c r="Y162" s="1651">
        <v>600</v>
      </c>
      <c r="Z162" s="1652">
        <v>8</v>
      </c>
      <c r="AA162" s="1174">
        <f>IF(SUM(N162:N229)=1953,P157,0)</f>
        <v>0</v>
      </c>
      <c r="AB162" s="1107">
        <v>0.28999999999999998</v>
      </c>
      <c r="AC162" s="1704">
        <v>1.8</v>
      </c>
      <c r="AD162" s="1705">
        <v>1.04</v>
      </c>
      <c r="AE162" s="1706" t="s">
        <v>324</v>
      </c>
    </row>
    <row r="163" spans="14:31" ht="13.9" x14ac:dyDescent="0.4">
      <c r="N163" s="1073">
        <f t="shared" ref="N163:N202" si="17">IF($A$8=3,N162+1,0)</f>
        <v>0</v>
      </c>
      <c r="O163" s="1106" t="s">
        <v>974</v>
      </c>
      <c r="P163" s="1528">
        <v>20400</v>
      </c>
      <c r="Q163" s="132">
        <v>25</v>
      </c>
      <c r="R163" s="977">
        <v>4</v>
      </c>
      <c r="S163" s="138">
        <v>308000</v>
      </c>
      <c r="T163" s="139">
        <v>4</v>
      </c>
      <c r="U163" s="140">
        <v>230</v>
      </c>
      <c r="V163" s="1108">
        <v>160</v>
      </c>
      <c r="W163" s="1653">
        <v>0.85</v>
      </c>
      <c r="X163" s="1654">
        <v>8</v>
      </c>
      <c r="Y163" s="1655">
        <v>600</v>
      </c>
      <c r="Z163" s="1656">
        <v>8</v>
      </c>
      <c r="AA163" s="1071">
        <f>AA162</f>
        <v>0</v>
      </c>
      <c r="AB163" s="1107">
        <v>0.28999999999999998</v>
      </c>
      <c r="AC163" s="1704">
        <v>1.8</v>
      </c>
      <c r="AD163" s="1705">
        <v>1.04</v>
      </c>
      <c r="AE163" s="1706" t="s">
        <v>324</v>
      </c>
    </row>
    <row r="164" spans="14:31" ht="13.9" x14ac:dyDescent="0.4">
      <c r="N164" s="1073">
        <f t="shared" si="17"/>
        <v>0</v>
      </c>
      <c r="O164" s="1106" t="s">
        <v>975</v>
      </c>
      <c r="P164" s="1528">
        <v>14000</v>
      </c>
      <c r="Q164" s="132">
        <v>12</v>
      </c>
      <c r="R164" s="977">
        <v>4</v>
      </c>
      <c r="S164" s="138">
        <v>308000</v>
      </c>
      <c r="T164" s="139">
        <v>4</v>
      </c>
      <c r="U164" s="140">
        <v>230</v>
      </c>
      <c r="V164" s="1108">
        <v>160</v>
      </c>
      <c r="W164" s="1653">
        <v>0.85</v>
      </c>
      <c r="X164" s="1654">
        <v>8</v>
      </c>
      <c r="Y164" s="1655">
        <v>600</v>
      </c>
      <c r="Z164" s="1656">
        <v>8</v>
      </c>
      <c r="AA164" s="1071">
        <f t="shared" ref="AA164:AA175" si="18">AA163</f>
        <v>0</v>
      </c>
      <c r="AB164" s="1107">
        <v>0.28999999999999998</v>
      </c>
      <c r="AC164" s="1704">
        <v>1.8</v>
      </c>
      <c r="AD164" s="1705">
        <v>1.04</v>
      </c>
      <c r="AE164" s="1706" t="s">
        <v>324</v>
      </c>
    </row>
    <row r="165" spans="14:31" ht="13.9" x14ac:dyDescent="0.4">
      <c r="N165" s="1073">
        <f t="shared" si="17"/>
        <v>0</v>
      </c>
      <c r="O165" s="1106" t="s">
        <v>1009</v>
      </c>
      <c r="P165" s="1528">
        <v>55700</v>
      </c>
      <c r="Q165" s="132">
        <v>38</v>
      </c>
      <c r="R165" s="977">
        <v>4</v>
      </c>
      <c r="S165" s="138">
        <v>308000</v>
      </c>
      <c r="T165" s="139">
        <v>4</v>
      </c>
      <c r="U165" s="140">
        <v>230</v>
      </c>
      <c r="V165" s="1108">
        <v>160</v>
      </c>
      <c r="W165" s="1653">
        <v>0.85</v>
      </c>
      <c r="X165" s="1654">
        <v>8</v>
      </c>
      <c r="Y165" s="1655">
        <v>600</v>
      </c>
      <c r="Z165" s="1656">
        <v>8</v>
      </c>
      <c r="AA165" s="1071">
        <f t="shared" si="18"/>
        <v>0</v>
      </c>
      <c r="AB165" s="1107">
        <v>0.18</v>
      </c>
      <c r="AC165" s="1704">
        <v>1.7</v>
      </c>
      <c r="AD165" s="1705">
        <v>1.04</v>
      </c>
      <c r="AE165" s="1706" t="s">
        <v>324</v>
      </c>
    </row>
    <row r="166" spans="14:31" ht="13.9" x14ac:dyDescent="0.4">
      <c r="N166" s="1073">
        <f t="shared" si="17"/>
        <v>0</v>
      </c>
      <c r="O166" s="1106" t="s">
        <v>1008</v>
      </c>
      <c r="P166" s="1528">
        <v>35285</v>
      </c>
      <c r="Q166" s="132">
        <v>38</v>
      </c>
      <c r="R166" s="977">
        <v>4</v>
      </c>
      <c r="S166" s="138">
        <v>308000</v>
      </c>
      <c r="T166" s="139">
        <v>4</v>
      </c>
      <c r="U166" s="140">
        <v>230</v>
      </c>
      <c r="V166" s="1108">
        <v>160</v>
      </c>
      <c r="W166" s="1653">
        <v>0.85</v>
      </c>
      <c r="X166" s="1654">
        <v>8</v>
      </c>
      <c r="Y166" s="1655">
        <v>600</v>
      </c>
      <c r="Z166" s="1656">
        <v>8</v>
      </c>
      <c r="AA166" s="1071">
        <f t="shared" si="18"/>
        <v>0</v>
      </c>
      <c r="AB166" s="1107">
        <v>0.28999999999999998</v>
      </c>
      <c r="AC166" s="1704">
        <v>1.8</v>
      </c>
      <c r="AD166" s="1705">
        <v>1.04</v>
      </c>
      <c r="AE166" s="1706" t="s">
        <v>324</v>
      </c>
    </row>
    <row r="167" spans="14:31" ht="13.9" x14ac:dyDescent="0.4">
      <c r="N167" s="1073">
        <f t="shared" si="17"/>
        <v>0</v>
      </c>
      <c r="O167" s="1107" t="s">
        <v>255</v>
      </c>
      <c r="P167" s="1528">
        <v>75000</v>
      </c>
      <c r="Q167" s="132">
        <v>32</v>
      </c>
      <c r="R167" s="977">
        <v>5.5</v>
      </c>
      <c r="S167" s="138">
        <v>308000</v>
      </c>
      <c r="T167" s="139">
        <v>4</v>
      </c>
      <c r="U167" s="140">
        <v>230</v>
      </c>
      <c r="V167" s="1108">
        <v>160</v>
      </c>
      <c r="W167" s="1653">
        <v>0.85</v>
      </c>
      <c r="X167" s="1654">
        <v>8</v>
      </c>
      <c r="Y167" s="1655">
        <v>600</v>
      </c>
      <c r="Z167" s="1656">
        <v>8</v>
      </c>
      <c r="AA167" s="1071">
        <f t="shared" si="18"/>
        <v>0</v>
      </c>
      <c r="AB167" s="1107">
        <v>0.18</v>
      </c>
      <c r="AC167" s="1704">
        <v>1.7</v>
      </c>
      <c r="AD167" s="1705">
        <v>1.04</v>
      </c>
      <c r="AE167" s="1706" t="s">
        <v>324</v>
      </c>
    </row>
    <row r="168" spans="14:31" ht="13.9" x14ac:dyDescent="0.4">
      <c r="N168" s="1073">
        <f t="shared" si="17"/>
        <v>0</v>
      </c>
      <c r="O168" s="1107" t="s">
        <v>146</v>
      </c>
      <c r="P168" s="1528">
        <v>51700</v>
      </c>
      <c r="Q168" s="132">
        <v>38</v>
      </c>
      <c r="R168" s="977">
        <v>4.5</v>
      </c>
      <c r="S168" s="138">
        <v>308000</v>
      </c>
      <c r="T168" s="139">
        <v>4</v>
      </c>
      <c r="U168" s="140">
        <v>230</v>
      </c>
      <c r="V168" s="1108">
        <v>160</v>
      </c>
      <c r="W168" s="1653">
        <v>0.8</v>
      </c>
      <c r="X168" s="1654">
        <v>8</v>
      </c>
      <c r="Y168" s="1655">
        <v>600</v>
      </c>
      <c r="Z168" s="1656">
        <v>8</v>
      </c>
      <c r="AA168" s="1071">
        <f t="shared" si="18"/>
        <v>0</v>
      </c>
      <c r="AB168" s="1107">
        <v>0.18</v>
      </c>
      <c r="AC168" s="1704">
        <v>1.7</v>
      </c>
      <c r="AD168" s="1705">
        <v>1.04</v>
      </c>
      <c r="AE168" s="1706" t="s">
        <v>324</v>
      </c>
    </row>
    <row r="169" spans="14:31" ht="13.9" x14ac:dyDescent="0.4">
      <c r="N169" s="1073">
        <f t="shared" si="17"/>
        <v>0</v>
      </c>
      <c r="O169" s="1107" t="s">
        <v>147</v>
      </c>
      <c r="P169" s="1528">
        <v>48400</v>
      </c>
      <c r="Q169" s="132">
        <v>32</v>
      </c>
      <c r="R169" s="977">
        <v>5</v>
      </c>
      <c r="S169" s="138">
        <v>308000</v>
      </c>
      <c r="T169" s="139">
        <v>4</v>
      </c>
      <c r="U169" s="140">
        <v>230</v>
      </c>
      <c r="V169" s="1108">
        <v>160</v>
      </c>
      <c r="W169" s="1653">
        <v>0.85</v>
      </c>
      <c r="X169" s="1654">
        <v>8</v>
      </c>
      <c r="Y169" s="1655">
        <v>600</v>
      </c>
      <c r="Z169" s="1656">
        <v>8</v>
      </c>
      <c r="AA169" s="1071">
        <f t="shared" si="18"/>
        <v>0</v>
      </c>
      <c r="AB169" s="1107">
        <v>0.28000000000000003</v>
      </c>
      <c r="AC169" s="1704">
        <v>1.4</v>
      </c>
      <c r="AD169" s="1705">
        <v>1.04</v>
      </c>
      <c r="AE169" s="1706" t="s">
        <v>324</v>
      </c>
    </row>
    <row r="170" spans="14:31" ht="13.9" x14ac:dyDescent="0.4">
      <c r="N170" s="1073">
        <f t="shared" si="17"/>
        <v>0</v>
      </c>
      <c r="O170" s="1107" t="s">
        <v>236</v>
      </c>
      <c r="P170" s="1528">
        <v>41785</v>
      </c>
      <c r="Q170" s="132">
        <v>40</v>
      </c>
      <c r="R170" s="977">
        <v>7</v>
      </c>
      <c r="S170" s="138">
        <v>248000</v>
      </c>
      <c r="T170" s="139">
        <v>4</v>
      </c>
      <c r="U170" s="140">
        <v>195</v>
      </c>
      <c r="V170" s="1108">
        <v>160</v>
      </c>
      <c r="W170" s="1653">
        <v>0.85</v>
      </c>
      <c r="X170" s="1654">
        <v>8</v>
      </c>
      <c r="Y170" s="1655">
        <v>600</v>
      </c>
      <c r="Z170" s="1656">
        <v>8</v>
      </c>
      <c r="AA170" s="1071">
        <f t="shared" si="18"/>
        <v>0</v>
      </c>
      <c r="AB170" s="1107">
        <v>0.27</v>
      </c>
      <c r="AC170" s="1704">
        <v>1.4</v>
      </c>
      <c r="AD170" s="1705">
        <v>1.04</v>
      </c>
      <c r="AE170" s="1706" t="s">
        <v>324</v>
      </c>
    </row>
    <row r="171" spans="14:31" ht="13.9" x14ac:dyDescent="0.4">
      <c r="N171" s="1073">
        <f t="shared" si="17"/>
        <v>0</v>
      </c>
      <c r="O171" s="1107" t="s">
        <v>148</v>
      </c>
      <c r="P171" s="1528">
        <v>21800</v>
      </c>
      <c r="Q171" s="132">
        <v>38</v>
      </c>
      <c r="R171" s="977">
        <v>6</v>
      </c>
      <c r="S171" s="138">
        <v>308000</v>
      </c>
      <c r="T171" s="139">
        <v>4</v>
      </c>
      <c r="U171" s="140">
        <v>230</v>
      </c>
      <c r="V171" s="1108">
        <v>120</v>
      </c>
      <c r="W171" s="1653">
        <v>0.85</v>
      </c>
      <c r="X171" s="1654">
        <v>8</v>
      </c>
      <c r="Y171" s="1655">
        <v>600</v>
      </c>
      <c r="Z171" s="1656">
        <v>8</v>
      </c>
      <c r="AA171" s="1071">
        <f t="shared" si="18"/>
        <v>0</v>
      </c>
      <c r="AB171" s="1107">
        <v>0.16</v>
      </c>
      <c r="AC171" s="1704">
        <v>1.3</v>
      </c>
      <c r="AD171" s="1705">
        <v>1.04</v>
      </c>
      <c r="AE171" s="1706" t="s">
        <v>325</v>
      </c>
    </row>
    <row r="172" spans="14:31" ht="13.9" x14ac:dyDescent="0.4">
      <c r="N172" s="1073">
        <f t="shared" si="17"/>
        <v>0</v>
      </c>
      <c r="O172" s="1107" t="s">
        <v>246</v>
      </c>
      <c r="P172" s="1528">
        <v>32500</v>
      </c>
      <c r="Q172" s="132">
        <v>38</v>
      </c>
      <c r="R172" s="977">
        <v>5</v>
      </c>
      <c r="S172" s="138">
        <v>308000</v>
      </c>
      <c r="T172" s="139">
        <v>4</v>
      </c>
      <c r="U172" s="140">
        <v>230</v>
      </c>
      <c r="V172" s="1108">
        <v>120</v>
      </c>
      <c r="W172" s="1653">
        <v>0.85</v>
      </c>
      <c r="X172" s="1654">
        <v>8</v>
      </c>
      <c r="Y172" s="1655">
        <v>600</v>
      </c>
      <c r="Z172" s="1656">
        <v>8</v>
      </c>
      <c r="AA172" s="1071">
        <f t="shared" si="18"/>
        <v>0</v>
      </c>
      <c r="AB172" s="1107">
        <v>0.16</v>
      </c>
      <c r="AC172" s="1704">
        <v>1.3</v>
      </c>
      <c r="AD172" s="1705">
        <v>1.04</v>
      </c>
      <c r="AE172" s="1706" t="s">
        <v>324</v>
      </c>
    </row>
    <row r="173" spans="14:31" ht="13.9" x14ac:dyDescent="0.4">
      <c r="N173" s="1073">
        <f t="shared" si="17"/>
        <v>0</v>
      </c>
      <c r="O173" s="1107" t="s">
        <v>149</v>
      </c>
      <c r="P173" s="1528">
        <v>7800</v>
      </c>
      <c r="Q173" s="1918">
        <v>1</v>
      </c>
      <c r="R173" s="1721">
        <v>10</v>
      </c>
      <c r="S173" s="138">
        <v>148000</v>
      </c>
      <c r="T173" s="139">
        <v>4</v>
      </c>
      <c r="U173" s="140">
        <v>175</v>
      </c>
      <c r="V173" s="1108">
        <v>50</v>
      </c>
      <c r="W173" s="1653">
        <v>0.95</v>
      </c>
      <c r="X173" s="1654">
        <v>8</v>
      </c>
      <c r="Y173" s="1655">
        <v>600</v>
      </c>
      <c r="Z173" s="1656">
        <v>8</v>
      </c>
      <c r="AA173" s="1071">
        <f t="shared" si="18"/>
        <v>0</v>
      </c>
      <c r="AB173" s="1107">
        <v>0.28000000000000003</v>
      </c>
      <c r="AC173" s="1704">
        <v>1.4</v>
      </c>
      <c r="AD173" s="1705">
        <v>1.04</v>
      </c>
      <c r="AE173" s="1706" t="s">
        <v>324</v>
      </c>
    </row>
    <row r="174" spans="14:31" ht="13.9" x14ac:dyDescent="0.4">
      <c r="N174" s="1073">
        <f t="shared" si="17"/>
        <v>0</v>
      </c>
      <c r="O174" s="1107" t="s">
        <v>959</v>
      </c>
      <c r="P174" s="1528">
        <v>92900</v>
      </c>
      <c r="Q174" s="132">
        <v>30</v>
      </c>
      <c r="R174" s="133">
        <v>7</v>
      </c>
      <c r="S174" s="138">
        <v>308000</v>
      </c>
      <c r="T174" s="139">
        <v>4</v>
      </c>
      <c r="U174" s="140">
        <v>230</v>
      </c>
      <c r="V174" s="1108">
        <v>160</v>
      </c>
      <c r="W174" s="1653">
        <v>0.8</v>
      </c>
      <c r="X174" s="1654">
        <v>8</v>
      </c>
      <c r="Y174" s="1655">
        <v>600</v>
      </c>
      <c r="Z174" s="1656">
        <v>8</v>
      </c>
      <c r="AA174" s="1071">
        <f t="shared" si="18"/>
        <v>0</v>
      </c>
      <c r="AB174" s="1107">
        <v>0.23</v>
      </c>
      <c r="AC174" s="1704">
        <v>1.4</v>
      </c>
      <c r="AD174" s="1705">
        <v>1.04</v>
      </c>
      <c r="AE174" s="1706" t="s">
        <v>324</v>
      </c>
    </row>
    <row r="175" spans="14:31" ht="13.9" x14ac:dyDescent="0.4">
      <c r="N175" s="1073">
        <f t="shared" si="17"/>
        <v>0</v>
      </c>
      <c r="O175" s="1107" t="s">
        <v>350</v>
      </c>
      <c r="P175" s="1528">
        <v>34900</v>
      </c>
      <c r="Q175" s="132">
        <v>45</v>
      </c>
      <c r="R175" s="133">
        <v>7</v>
      </c>
      <c r="S175" s="138">
        <v>308000</v>
      </c>
      <c r="T175" s="139">
        <v>4</v>
      </c>
      <c r="U175" s="140">
        <v>230</v>
      </c>
      <c r="V175" s="1108">
        <v>120</v>
      </c>
      <c r="W175" s="1653">
        <v>0.8</v>
      </c>
      <c r="X175" s="1654">
        <v>8</v>
      </c>
      <c r="Y175" s="1655">
        <v>600</v>
      </c>
      <c r="Z175" s="1656">
        <v>8</v>
      </c>
      <c r="AA175" s="1071">
        <f t="shared" si="18"/>
        <v>0</v>
      </c>
      <c r="AB175" s="1107">
        <v>0.23</v>
      </c>
      <c r="AC175" s="1704">
        <v>1.4</v>
      </c>
      <c r="AD175" s="1705">
        <v>1.04</v>
      </c>
      <c r="AE175" s="1706" t="s">
        <v>324</v>
      </c>
    </row>
    <row r="176" spans="14:31" ht="13.9" x14ac:dyDescent="0.4">
      <c r="N176" s="1073">
        <f t="shared" si="17"/>
        <v>0</v>
      </c>
      <c r="O176" s="1107" t="s">
        <v>83</v>
      </c>
      <c r="P176" s="1528">
        <v>76800</v>
      </c>
      <c r="Q176" s="132">
        <v>42</v>
      </c>
      <c r="R176" s="133">
        <v>7</v>
      </c>
      <c r="S176" s="138">
        <v>308000</v>
      </c>
      <c r="T176" s="139">
        <v>4</v>
      </c>
      <c r="U176" s="140">
        <v>230</v>
      </c>
      <c r="V176" s="1108">
        <v>160</v>
      </c>
      <c r="W176" s="1653">
        <v>0.85</v>
      </c>
      <c r="X176" s="1654">
        <v>8</v>
      </c>
      <c r="Y176" s="1655">
        <v>600</v>
      </c>
      <c r="Z176" s="1656">
        <v>8</v>
      </c>
      <c r="AA176" s="1071">
        <f>AA162</f>
        <v>0</v>
      </c>
      <c r="AB176" s="1107">
        <v>0.27</v>
      </c>
      <c r="AC176" s="1704">
        <v>1.4</v>
      </c>
      <c r="AD176" s="1705">
        <v>1.04</v>
      </c>
      <c r="AE176" s="1706" t="s">
        <v>324</v>
      </c>
    </row>
    <row r="177" spans="14:31" ht="13.9" x14ac:dyDescent="0.4">
      <c r="N177" s="1073">
        <f t="shared" si="17"/>
        <v>0</v>
      </c>
      <c r="O177" s="1107" t="s">
        <v>965</v>
      </c>
      <c r="P177" s="1528">
        <v>29200</v>
      </c>
      <c r="Q177" s="132">
        <v>38</v>
      </c>
      <c r="R177" s="133">
        <v>7</v>
      </c>
      <c r="S177" s="138">
        <v>308000</v>
      </c>
      <c r="T177" s="139">
        <v>4</v>
      </c>
      <c r="U177" s="140">
        <v>230</v>
      </c>
      <c r="V177" s="1108">
        <v>120</v>
      </c>
      <c r="W177" s="1653">
        <v>0.8</v>
      </c>
      <c r="X177" s="1654">
        <v>8</v>
      </c>
      <c r="Y177" s="1655">
        <v>600</v>
      </c>
      <c r="Z177" s="1656">
        <v>8</v>
      </c>
      <c r="AA177" s="1071">
        <f>AA176</f>
        <v>0</v>
      </c>
      <c r="AB177" s="1107">
        <v>0.17</v>
      </c>
      <c r="AC177" s="1704">
        <v>2.2000000000000002</v>
      </c>
      <c r="AD177" s="1705">
        <v>1.04</v>
      </c>
      <c r="AE177" s="1706" t="s">
        <v>324</v>
      </c>
    </row>
    <row r="178" spans="14:31" ht="13.9" x14ac:dyDescent="0.4">
      <c r="N178" s="1073">
        <f t="shared" si="17"/>
        <v>0</v>
      </c>
      <c r="O178" s="1107" t="s">
        <v>408</v>
      </c>
      <c r="P178" s="1528">
        <v>13000</v>
      </c>
      <c r="Q178" s="132">
        <v>60</v>
      </c>
      <c r="R178" s="133">
        <v>12</v>
      </c>
      <c r="S178" s="138">
        <v>148000</v>
      </c>
      <c r="T178" s="139">
        <v>4</v>
      </c>
      <c r="U178" s="140">
        <v>175</v>
      </c>
      <c r="V178" s="1108">
        <v>120</v>
      </c>
      <c r="W178" s="1653">
        <v>0.65</v>
      </c>
      <c r="X178" s="1654">
        <v>8</v>
      </c>
      <c r="Y178" s="1655">
        <v>600</v>
      </c>
      <c r="Z178" s="1656">
        <v>8</v>
      </c>
      <c r="AA178" s="1071">
        <f t="shared" ref="AA178:AA185" si="19">AA177</f>
        <v>0</v>
      </c>
      <c r="AB178" s="1107">
        <v>0.41</v>
      </c>
      <c r="AC178" s="1704">
        <v>1.3</v>
      </c>
      <c r="AD178" s="1705">
        <v>1.04</v>
      </c>
      <c r="AE178" s="1706" t="s">
        <v>326</v>
      </c>
    </row>
    <row r="179" spans="14:31" ht="13.9" x14ac:dyDescent="0.4">
      <c r="N179" s="1073">
        <f t="shared" si="17"/>
        <v>0</v>
      </c>
      <c r="O179" s="1107" t="s">
        <v>409</v>
      </c>
      <c r="P179" s="1528">
        <v>17000</v>
      </c>
      <c r="Q179" s="132">
        <v>38</v>
      </c>
      <c r="R179" s="133">
        <v>12</v>
      </c>
      <c r="S179" s="138">
        <v>148000</v>
      </c>
      <c r="T179" s="139">
        <v>4</v>
      </c>
      <c r="U179" s="140">
        <v>175</v>
      </c>
      <c r="V179" s="1108">
        <v>120</v>
      </c>
      <c r="W179" s="1653">
        <v>0.65</v>
      </c>
      <c r="X179" s="1654">
        <v>8</v>
      </c>
      <c r="Y179" s="1655">
        <v>600</v>
      </c>
      <c r="Z179" s="1656">
        <v>8</v>
      </c>
      <c r="AA179" s="1071">
        <f t="shared" si="19"/>
        <v>0</v>
      </c>
      <c r="AB179" s="1107">
        <v>0.41</v>
      </c>
      <c r="AC179" s="1704">
        <v>1.3</v>
      </c>
      <c r="AD179" s="1705">
        <v>1.04</v>
      </c>
      <c r="AE179" s="1706" t="s">
        <v>326</v>
      </c>
    </row>
    <row r="180" spans="14:31" ht="13.9" x14ac:dyDescent="0.4">
      <c r="N180" s="1073">
        <f t="shared" si="17"/>
        <v>0</v>
      </c>
      <c r="O180" s="1107" t="s">
        <v>133</v>
      </c>
      <c r="P180" s="1528">
        <v>8333</v>
      </c>
      <c r="Q180" s="132">
        <v>17</v>
      </c>
      <c r="R180" s="133">
        <v>8.5</v>
      </c>
      <c r="S180" s="138">
        <v>248000</v>
      </c>
      <c r="T180" s="139">
        <v>4</v>
      </c>
      <c r="U180" s="140">
        <v>195</v>
      </c>
      <c r="V180" s="1108">
        <v>160</v>
      </c>
      <c r="W180" s="1653">
        <v>0.85</v>
      </c>
      <c r="X180" s="1654">
        <v>8</v>
      </c>
      <c r="Y180" s="1655">
        <v>600</v>
      </c>
      <c r="Z180" s="1656">
        <v>8</v>
      </c>
      <c r="AA180" s="1071">
        <f t="shared" si="19"/>
        <v>0</v>
      </c>
      <c r="AB180" s="1107">
        <v>0.16</v>
      </c>
      <c r="AC180" s="1704">
        <v>1.3</v>
      </c>
      <c r="AD180" s="1705">
        <v>1.04</v>
      </c>
      <c r="AE180" s="1706" t="s">
        <v>325</v>
      </c>
    </row>
    <row r="181" spans="14:31" ht="13.9" x14ac:dyDescent="0.4">
      <c r="N181" s="1073">
        <f t="shared" si="17"/>
        <v>0</v>
      </c>
      <c r="O181" s="1107" t="s">
        <v>410</v>
      </c>
      <c r="P181" s="1528">
        <v>13733</v>
      </c>
      <c r="Q181" s="132">
        <v>30</v>
      </c>
      <c r="R181" s="133">
        <v>10</v>
      </c>
      <c r="S181" s="138">
        <v>248000</v>
      </c>
      <c r="T181" s="139">
        <v>4</v>
      </c>
      <c r="U181" s="140">
        <v>195</v>
      </c>
      <c r="V181" s="1108">
        <v>100</v>
      </c>
      <c r="W181" s="1653">
        <v>0.7</v>
      </c>
      <c r="X181" s="1654">
        <v>8</v>
      </c>
      <c r="Y181" s="1655">
        <v>600</v>
      </c>
      <c r="Z181" s="1656">
        <v>8</v>
      </c>
      <c r="AA181" s="1071">
        <f t="shared" si="19"/>
        <v>0</v>
      </c>
      <c r="AB181" s="1107">
        <v>0.63</v>
      </c>
      <c r="AC181" s="1704">
        <v>1.3</v>
      </c>
      <c r="AD181" s="1705">
        <v>1.33</v>
      </c>
      <c r="AE181" s="1706" t="s">
        <v>327</v>
      </c>
    </row>
    <row r="182" spans="14:31" ht="13.9" x14ac:dyDescent="0.4">
      <c r="N182" s="1073">
        <f t="shared" si="17"/>
        <v>0</v>
      </c>
      <c r="O182" s="1107" t="s">
        <v>162</v>
      </c>
      <c r="P182" s="1528">
        <v>25700</v>
      </c>
      <c r="Q182" s="132">
        <v>38</v>
      </c>
      <c r="R182" s="133">
        <v>7</v>
      </c>
      <c r="S182" s="138">
        <v>308000</v>
      </c>
      <c r="T182" s="139">
        <v>4</v>
      </c>
      <c r="U182" s="140">
        <v>230</v>
      </c>
      <c r="V182" s="1108">
        <v>160</v>
      </c>
      <c r="W182" s="1653">
        <v>0.85</v>
      </c>
      <c r="X182" s="1654">
        <v>8</v>
      </c>
      <c r="Y182" s="1655">
        <v>600</v>
      </c>
      <c r="Z182" s="1656">
        <v>8</v>
      </c>
      <c r="AA182" s="1071">
        <f t="shared" si="19"/>
        <v>0</v>
      </c>
      <c r="AB182" s="1107">
        <v>0.27</v>
      </c>
      <c r="AC182" s="1704">
        <v>1.4</v>
      </c>
      <c r="AD182" s="1705">
        <v>1.04</v>
      </c>
      <c r="AE182" s="1706" t="s">
        <v>325</v>
      </c>
    </row>
    <row r="183" spans="14:31" ht="13.9" x14ac:dyDescent="0.4">
      <c r="N183" s="1073">
        <f t="shared" si="17"/>
        <v>0</v>
      </c>
      <c r="O183" s="1107" t="s">
        <v>84</v>
      </c>
      <c r="P183" s="1528">
        <v>90000</v>
      </c>
      <c r="Q183" s="132">
        <v>36</v>
      </c>
      <c r="R183" s="133">
        <v>6</v>
      </c>
      <c r="S183" s="138">
        <v>248000</v>
      </c>
      <c r="T183" s="139">
        <v>4</v>
      </c>
      <c r="U183" s="140">
        <v>195</v>
      </c>
      <c r="V183" s="1108">
        <v>160</v>
      </c>
      <c r="W183" s="1653">
        <v>0.65</v>
      </c>
      <c r="X183" s="1654">
        <v>8</v>
      </c>
      <c r="Y183" s="1655">
        <v>600</v>
      </c>
      <c r="Z183" s="1656">
        <v>8</v>
      </c>
      <c r="AA183" s="1071">
        <f t="shared" si="19"/>
        <v>0</v>
      </c>
      <c r="AB183" s="1107">
        <v>0.32</v>
      </c>
      <c r="AC183" s="1704">
        <v>2.1</v>
      </c>
      <c r="AD183" s="1705">
        <v>1.1599999999999999</v>
      </c>
      <c r="AE183" s="1706" t="s">
        <v>328</v>
      </c>
    </row>
    <row r="184" spans="14:31" ht="13.9" x14ac:dyDescent="0.4">
      <c r="N184" s="1073">
        <f t="shared" si="17"/>
        <v>0</v>
      </c>
      <c r="O184" s="1107" t="s">
        <v>132</v>
      </c>
      <c r="P184" s="1528">
        <v>150000</v>
      </c>
      <c r="Q184" s="132">
        <v>36</v>
      </c>
      <c r="R184" s="133">
        <v>6</v>
      </c>
      <c r="S184" s="138">
        <v>308000</v>
      </c>
      <c r="T184" s="139">
        <v>4</v>
      </c>
      <c r="U184" s="140">
        <v>230</v>
      </c>
      <c r="V184" s="1108">
        <v>160</v>
      </c>
      <c r="W184" s="1653">
        <v>0.65</v>
      </c>
      <c r="X184" s="1654">
        <v>8</v>
      </c>
      <c r="Y184" s="1655">
        <v>600</v>
      </c>
      <c r="Z184" s="1656">
        <v>8</v>
      </c>
      <c r="AA184" s="1071">
        <f t="shared" si="19"/>
        <v>0</v>
      </c>
      <c r="AB184" s="1107">
        <v>0.32</v>
      </c>
      <c r="AC184" s="1704">
        <v>2.1</v>
      </c>
      <c r="AD184" s="1705">
        <v>1.1599999999999999</v>
      </c>
      <c r="AE184" s="1706" t="s">
        <v>328</v>
      </c>
    </row>
    <row r="185" spans="14:31" ht="13.9" x14ac:dyDescent="0.4">
      <c r="N185" s="1073">
        <f t="shared" si="17"/>
        <v>0</v>
      </c>
      <c r="O185" s="1107" t="s">
        <v>1004</v>
      </c>
      <c r="P185" s="1528">
        <v>106000</v>
      </c>
      <c r="Q185" s="132">
        <v>30</v>
      </c>
      <c r="R185" s="133">
        <v>5.5</v>
      </c>
      <c r="S185" s="138">
        <v>308000</v>
      </c>
      <c r="T185" s="139">
        <v>4</v>
      </c>
      <c r="U185" s="140">
        <v>230</v>
      </c>
      <c r="V185" s="1108">
        <v>160</v>
      </c>
      <c r="W185" s="1653">
        <v>0.7</v>
      </c>
      <c r="X185" s="1654">
        <v>8</v>
      </c>
      <c r="Y185" s="1655">
        <v>600</v>
      </c>
      <c r="Z185" s="1656">
        <v>8</v>
      </c>
      <c r="AA185" s="1071">
        <f t="shared" si="19"/>
        <v>0</v>
      </c>
      <c r="AB185" s="1107">
        <v>0.32</v>
      </c>
      <c r="AC185" s="1704">
        <v>2.1</v>
      </c>
      <c r="AD185" s="1705">
        <v>1.1100000000000001</v>
      </c>
      <c r="AE185" s="1706" t="s">
        <v>328</v>
      </c>
    </row>
    <row r="186" spans="14:31" ht="13.9" x14ac:dyDescent="0.4">
      <c r="N186" s="1073">
        <f t="shared" si="17"/>
        <v>0</v>
      </c>
      <c r="O186" s="1108" t="s">
        <v>1005</v>
      </c>
      <c r="P186" s="1528">
        <v>208000</v>
      </c>
      <c r="Q186" s="132">
        <v>42</v>
      </c>
      <c r="R186" s="133">
        <v>7</v>
      </c>
      <c r="S186" s="138">
        <v>308000</v>
      </c>
      <c r="T186" s="139">
        <v>4</v>
      </c>
      <c r="U186" s="140">
        <v>230</v>
      </c>
      <c r="V186" s="1108">
        <v>160</v>
      </c>
      <c r="W186" s="1653">
        <v>0.7</v>
      </c>
      <c r="X186" s="1654">
        <v>8</v>
      </c>
      <c r="Y186" s="1655">
        <v>600</v>
      </c>
      <c r="Z186" s="1656">
        <v>8</v>
      </c>
      <c r="AA186" s="1071">
        <f t="shared" ref="AA186:AA196" si="20">AA185</f>
        <v>0</v>
      </c>
      <c r="AB186" s="1107">
        <v>0.32</v>
      </c>
      <c r="AC186" s="1704">
        <v>2.1</v>
      </c>
      <c r="AD186" s="1705">
        <v>1.1100000000000001</v>
      </c>
      <c r="AE186" s="1706" t="s">
        <v>328</v>
      </c>
    </row>
    <row r="187" spans="14:31" ht="13.9" x14ac:dyDescent="0.4">
      <c r="N187" s="1073">
        <f t="shared" si="17"/>
        <v>0</v>
      </c>
      <c r="O187" s="1108" t="s">
        <v>239</v>
      </c>
      <c r="P187" s="1528">
        <v>19500</v>
      </c>
      <c r="Q187" s="132">
        <v>38</v>
      </c>
      <c r="R187" s="133">
        <v>10</v>
      </c>
      <c r="S187" s="138">
        <v>308000</v>
      </c>
      <c r="T187" s="139">
        <v>4</v>
      </c>
      <c r="U187" s="140">
        <v>230</v>
      </c>
      <c r="V187" s="1108">
        <v>120</v>
      </c>
      <c r="W187" s="1653">
        <v>0.65</v>
      </c>
      <c r="X187" s="1654">
        <v>8</v>
      </c>
      <c r="Y187" s="1655">
        <v>600</v>
      </c>
      <c r="Z187" s="1656">
        <v>8</v>
      </c>
      <c r="AA187" s="1071">
        <f t="shared" si="20"/>
        <v>0</v>
      </c>
      <c r="AB187" s="1107">
        <v>0.41</v>
      </c>
      <c r="AC187" s="1704">
        <v>1.3</v>
      </c>
      <c r="AD187" s="1705">
        <v>1.33</v>
      </c>
      <c r="AE187" s="1706" t="s">
        <v>326</v>
      </c>
    </row>
    <row r="188" spans="14:31" ht="13.9" x14ac:dyDescent="0.4">
      <c r="N188" s="1073">
        <f t="shared" si="17"/>
        <v>0</v>
      </c>
      <c r="O188" s="1108" t="s">
        <v>960</v>
      </c>
      <c r="P188" s="1528">
        <v>46000</v>
      </c>
      <c r="Q188" s="132">
        <v>38</v>
      </c>
      <c r="R188" s="133">
        <v>7</v>
      </c>
      <c r="S188" s="138">
        <v>308000</v>
      </c>
      <c r="T188" s="139">
        <v>4</v>
      </c>
      <c r="U188" s="140">
        <v>230</v>
      </c>
      <c r="V188" s="1108">
        <v>120</v>
      </c>
      <c r="W188" s="1653">
        <v>0.65</v>
      </c>
      <c r="X188" s="1654">
        <v>8</v>
      </c>
      <c r="Y188" s="1655">
        <v>600</v>
      </c>
      <c r="Z188" s="1656">
        <v>8</v>
      </c>
      <c r="AA188" s="1071">
        <f t="shared" si="20"/>
        <v>0</v>
      </c>
      <c r="AB188" s="1107">
        <v>0.41</v>
      </c>
      <c r="AC188" s="1704">
        <v>1.3</v>
      </c>
      <c r="AD188" s="1705">
        <v>1.33</v>
      </c>
      <c r="AE188" s="1706" t="s">
        <v>324</v>
      </c>
    </row>
    <row r="189" spans="14:31" ht="13.9" x14ac:dyDescent="0.4">
      <c r="N189" s="1073">
        <f t="shared" si="17"/>
        <v>0</v>
      </c>
      <c r="O189" s="1108" t="s">
        <v>190</v>
      </c>
      <c r="P189" s="1528">
        <v>8100</v>
      </c>
      <c r="Q189" s="1918">
        <v>1</v>
      </c>
      <c r="R189" s="1721">
        <v>2.5</v>
      </c>
      <c r="S189" s="138">
        <v>148000</v>
      </c>
      <c r="T189" s="139">
        <v>4</v>
      </c>
      <c r="U189" s="140">
        <v>175</v>
      </c>
      <c r="V189" s="1108">
        <v>25</v>
      </c>
      <c r="W189" s="1653">
        <v>0.95</v>
      </c>
      <c r="X189" s="1654">
        <v>8</v>
      </c>
      <c r="Y189" s="1655">
        <v>600</v>
      </c>
      <c r="Z189" s="1656">
        <v>8</v>
      </c>
      <c r="AA189" s="1071">
        <f t="shared" si="20"/>
        <v>0</v>
      </c>
      <c r="AB189" s="1107">
        <v>0.16</v>
      </c>
      <c r="AC189" s="1704">
        <v>1.3</v>
      </c>
      <c r="AD189" s="1705">
        <v>3.12</v>
      </c>
      <c r="AE189" s="1706" t="s">
        <v>327</v>
      </c>
    </row>
    <row r="190" spans="14:31" ht="13.9" x14ac:dyDescent="0.4">
      <c r="N190" s="1073">
        <f t="shared" si="17"/>
        <v>0</v>
      </c>
      <c r="O190" s="1108" t="s">
        <v>89</v>
      </c>
      <c r="P190" s="1528">
        <v>25100</v>
      </c>
      <c r="Q190" s="132">
        <v>38</v>
      </c>
      <c r="R190" s="133">
        <v>7</v>
      </c>
      <c r="S190" s="138">
        <v>148000</v>
      </c>
      <c r="T190" s="139">
        <v>4</v>
      </c>
      <c r="U190" s="140">
        <v>175</v>
      </c>
      <c r="V190" s="1108">
        <v>120</v>
      </c>
      <c r="W190" s="1653">
        <v>0.65</v>
      </c>
      <c r="X190" s="1654">
        <v>8</v>
      </c>
      <c r="Y190" s="1655">
        <v>600</v>
      </c>
      <c r="Z190" s="1656">
        <v>8</v>
      </c>
      <c r="AA190" s="1071">
        <f t="shared" si="20"/>
        <v>0</v>
      </c>
      <c r="AB190" s="1107">
        <v>0.41</v>
      </c>
      <c r="AC190" s="1704">
        <v>1.3</v>
      </c>
      <c r="AD190" s="1705">
        <v>1.04</v>
      </c>
      <c r="AE190" s="1706" t="s">
        <v>326</v>
      </c>
    </row>
    <row r="191" spans="14:31" ht="13.9" x14ac:dyDescent="0.4">
      <c r="N191" s="1073">
        <f t="shared" si="17"/>
        <v>0</v>
      </c>
      <c r="O191" s="1108" t="s">
        <v>152</v>
      </c>
      <c r="P191" s="1528">
        <v>8760</v>
      </c>
      <c r="Q191" s="1918">
        <v>1</v>
      </c>
      <c r="R191" s="1721">
        <v>2.5</v>
      </c>
      <c r="S191" s="138">
        <v>148000</v>
      </c>
      <c r="T191" s="139">
        <v>4</v>
      </c>
      <c r="U191" s="140">
        <v>175</v>
      </c>
      <c r="V191" s="1108">
        <v>100</v>
      </c>
      <c r="W191" s="1653">
        <v>0.25</v>
      </c>
      <c r="X191" s="1654">
        <v>8</v>
      </c>
      <c r="Y191" s="1655">
        <v>600</v>
      </c>
      <c r="Z191" s="1656">
        <v>8</v>
      </c>
      <c r="AA191" s="1071">
        <f t="shared" si="20"/>
        <v>0</v>
      </c>
      <c r="AB191" s="1107">
        <v>0.28000000000000003</v>
      </c>
      <c r="AC191" s="1704">
        <v>1.4</v>
      </c>
      <c r="AD191" s="1705">
        <v>1.04</v>
      </c>
      <c r="AE191" s="1706" t="s">
        <v>324</v>
      </c>
    </row>
    <row r="192" spans="14:31" ht="13.9" x14ac:dyDescent="0.4">
      <c r="N192" s="1073">
        <f t="shared" si="17"/>
        <v>0</v>
      </c>
      <c r="O192" s="1108" t="s">
        <v>407</v>
      </c>
      <c r="P192" s="1528">
        <v>12000</v>
      </c>
      <c r="Q192" s="1918">
        <v>1</v>
      </c>
      <c r="R192" s="1721">
        <v>2.5</v>
      </c>
      <c r="S192" s="138">
        <v>148000</v>
      </c>
      <c r="T192" s="139">
        <v>4</v>
      </c>
      <c r="U192" s="140">
        <v>175</v>
      </c>
      <c r="V192" s="1108">
        <v>100</v>
      </c>
      <c r="W192" s="1653">
        <v>0.23</v>
      </c>
      <c r="X192" s="1654">
        <v>8</v>
      </c>
      <c r="Y192" s="1655">
        <v>600</v>
      </c>
      <c r="Z192" s="1656">
        <v>8</v>
      </c>
      <c r="AA192" s="1071">
        <f t="shared" si="20"/>
        <v>0</v>
      </c>
      <c r="AB192" s="1107">
        <v>0.28000000000000003</v>
      </c>
      <c r="AC192" s="1704">
        <v>1.4</v>
      </c>
      <c r="AD192" s="1705">
        <v>1.04</v>
      </c>
      <c r="AE192" s="1706" t="s">
        <v>324</v>
      </c>
    </row>
    <row r="193" spans="14:31" ht="13.9" x14ac:dyDescent="0.4">
      <c r="N193" s="1073">
        <f t="shared" si="17"/>
        <v>0</v>
      </c>
      <c r="O193" s="1108" t="s">
        <v>261</v>
      </c>
      <c r="P193" s="1528">
        <v>6190</v>
      </c>
      <c r="Q193" s="1918">
        <v>1</v>
      </c>
      <c r="R193" s="1721">
        <v>2.5</v>
      </c>
      <c r="S193" s="138">
        <v>148000</v>
      </c>
      <c r="T193" s="139">
        <v>4</v>
      </c>
      <c r="U193" s="140">
        <v>175</v>
      </c>
      <c r="V193" s="1108">
        <v>100</v>
      </c>
      <c r="W193" s="1653">
        <v>0.5</v>
      </c>
      <c r="X193" s="1654">
        <v>8</v>
      </c>
      <c r="Y193" s="1655">
        <v>600</v>
      </c>
      <c r="Z193" s="1656">
        <v>8</v>
      </c>
      <c r="AA193" s="1071">
        <f t="shared" si="20"/>
        <v>0</v>
      </c>
      <c r="AB193" s="1107">
        <v>0.28000000000000003</v>
      </c>
      <c r="AC193" s="1704">
        <v>1.4</v>
      </c>
      <c r="AD193" s="1705">
        <v>1.04</v>
      </c>
      <c r="AE193" s="1706" t="s">
        <v>324</v>
      </c>
    </row>
    <row r="194" spans="14:31" ht="13.9" x14ac:dyDescent="0.4">
      <c r="N194" s="1073">
        <f t="shared" si="17"/>
        <v>0</v>
      </c>
      <c r="O194" s="1108" t="s">
        <v>619</v>
      </c>
      <c r="P194" s="1528">
        <v>3860</v>
      </c>
      <c r="Q194" s="1918">
        <v>1</v>
      </c>
      <c r="R194" s="1721">
        <v>2.5</v>
      </c>
      <c r="S194" s="138">
        <v>148000</v>
      </c>
      <c r="T194" s="139">
        <v>4</v>
      </c>
      <c r="U194" s="140">
        <v>175</v>
      </c>
      <c r="V194" s="1108">
        <v>100</v>
      </c>
      <c r="W194" s="1653">
        <v>0.25</v>
      </c>
      <c r="X194" s="1654">
        <v>8</v>
      </c>
      <c r="Y194" s="1655">
        <v>600</v>
      </c>
      <c r="Z194" s="1656">
        <v>8</v>
      </c>
      <c r="AA194" s="1071">
        <f t="shared" si="20"/>
        <v>0</v>
      </c>
      <c r="AB194" s="1107">
        <v>0.18</v>
      </c>
      <c r="AC194" s="1704">
        <v>1.7</v>
      </c>
      <c r="AD194" s="1705">
        <v>3.12</v>
      </c>
      <c r="AE194" s="1706" t="s">
        <v>324</v>
      </c>
    </row>
    <row r="195" spans="14:31" ht="13.9" x14ac:dyDescent="0.4">
      <c r="N195" s="1073">
        <f t="shared" si="17"/>
        <v>0</v>
      </c>
      <c r="O195" s="1108" t="s">
        <v>879</v>
      </c>
      <c r="P195" s="1528">
        <v>8270</v>
      </c>
      <c r="Q195" s="1921">
        <v>1</v>
      </c>
      <c r="R195" s="1922">
        <v>2.5</v>
      </c>
      <c r="S195" s="141">
        <v>148000</v>
      </c>
      <c r="T195" s="139">
        <v>4</v>
      </c>
      <c r="U195" s="142">
        <v>175</v>
      </c>
      <c r="V195" s="1108">
        <v>100</v>
      </c>
      <c r="W195" s="1653">
        <v>0.25</v>
      </c>
      <c r="X195" s="1654">
        <v>8</v>
      </c>
      <c r="Y195" s="1655">
        <v>600</v>
      </c>
      <c r="Z195" s="1656">
        <v>8</v>
      </c>
      <c r="AA195" s="1071">
        <f t="shared" si="20"/>
        <v>0</v>
      </c>
      <c r="AB195" s="1107">
        <v>0.28000000000000003</v>
      </c>
      <c r="AC195" s="1704">
        <v>1.4</v>
      </c>
      <c r="AD195" s="1705">
        <v>1.04</v>
      </c>
      <c r="AE195" s="1706" t="s">
        <v>324</v>
      </c>
    </row>
    <row r="196" spans="14:31" ht="13.9" x14ac:dyDescent="0.4">
      <c r="N196" s="1073">
        <f t="shared" si="17"/>
        <v>0</v>
      </c>
      <c r="O196" s="1108" t="s">
        <v>433</v>
      </c>
      <c r="P196" s="1528">
        <v>48000</v>
      </c>
      <c r="Q196" s="132">
        <v>19</v>
      </c>
      <c r="R196" s="133">
        <v>3</v>
      </c>
      <c r="S196" s="138">
        <v>248000</v>
      </c>
      <c r="T196" s="139">
        <v>4</v>
      </c>
      <c r="U196" s="140">
        <v>195</v>
      </c>
      <c r="V196" s="1108">
        <v>200</v>
      </c>
      <c r="W196" s="1653">
        <v>0.65</v>
      </c>
      <c r="X196" s="1654">
        <v>8</v>
      </c>
      <c r="Y196" s="1655">
        <v>600</v>
      </c>
      <c r="Z196" s="1656">
        <v>8</v>
      </c>
      <c r="AA196" s="1071">
        <f t="shared" si="20"/>
        <v>0</v>
      </c>
      <c r="AB196" s="1107">
        <v>0.28000000000000003</v>
      </c>
      <c r="AC196" s="1704">
        <v>1.4</v>
      </c>
      <c r="AD196" s="1705">
        <v>1.04</v>
      </c>
      <c r="AE196" s="1706" t="s">
        <v>324</v>
      </c>
    </row>
    <row r="197" spans="14:31" ht="13.9" x14ac:dyDescent="0.4">
      <c r="N197" s="1073">
        <f t="shared" si="17"/>
        <v>0</v>
      </c>
      <c r="O197" s="1108" t="s">
        <v>436</v>
      </c>
      <c r="P197" s="1528">
        <v>18900</v>
      </c>
      <c r="Q197" s="132">
        <v>19</v>
      </c>
      <c r="R197" s="133">
        <v>3</v>
      </c>
      <c r="S197" s="138">
        <v>248000</v>
      </c>
      <c r="T197" s="139">
        <v>4</v>
      </c>
      <c r="U197" s="140">
        <v>195</v>
      </c>
      <c r="V197" s="1108">
        <v>200</v>
      </c>
      <c r="W197" s="1653">
        <v>0.65</v>
      </c>
      <c r="X197" s="1654">
        <v>8</v>
      </c>
      <c r="Y197" s="1655">
        <v>600</v>
      </c>
      <c r="Z197" s="1656">
        <v>8</v>
      </c>
      <c r="AA197" s="1071">
        <f t="shared" ref="AA197:AA202" si="21">AA196</f>
        <v>0</v>
      </c>
      <c r="AB197" s="1107">
        <v>0.27</v>
      </c>
      <c r="AC197" s="1704">
        <v>1.4</v>
      </c>
      <c r="AD197" s="1705">
        <v>1.04</v>
      </c>
      <c r="AE197" s="1706" t="s">
        <v>324</v>
      </c>
    </row>
    <row r="198" spans="14:31" ht="13.9" x14ac:dyDescent="0.4">
      <c r="N198" s="1073">
        <f t="shared" si="17"/>
        <v>0</v>
      </c>
      <c r="O198" s="1108" t="s">
        <v>519</v>
      </c>
      <c r="P198" s="1528">
        <v>15600</v>
      </c>
      <c r="Q198" s="132">
        <v>19</v>
      </c>
      <c r="R198" s="133">
        <v>3</v>
      </c>
      <c r="S198" s="138">
        <v>248000</v>
      </c>
      <c r="T198" s="139">
        <v>4</v>
      </c>
      <c r="U198" s="140">
        <v>195</v>
      </c>
      <c r="V198" s="1108">
        <v>200</v>
      </c>
      <c r="W198" s="1653">
        <v>0.65</v>
      </c>
      <c r="X198" s="1654">
        <v>8</v>
      </c>
      <c r="Y198" s="1655">
        <v>600</v>
      </c>
      <c r="Z198" s="1656">
        <v>8</v>
      </c>
      <c r="AA198" s="1071">
        <f t="shared" si="21"/>
        <v>0</v>
      </c>
      <c r="AB198" s="1107">
        <v>0.27</v>
      </c>
      <c r="AC198" s="1704">
        <v>1.4</v>
      </c>
      <c r="AD198" s="1705">
        <v>1.04</v>
      </c>
      <c r="AE198" s="1706" t="s">
        <v>324</v>
      </c>
    </row>
    <row r="199" spans="14:31" ht="13.9" x14ac:dyDescent="0.4">
      <c r="N199" s="1073">
        <f t="shared" si="17"/>
        <v>0</v>
      </c>
      <c r="O199" s="1108" t="s">
        <v>232</v>
      </c>
      <c r="P199" s="1528">
        <v>33100</v>
      </c>
      <c r="Q199" s="538">
        <v>20</v>
      </c>
      <c r="R199" s="723">
        <v>7</v>
      </c>
      <c r="S199" s="141">
        <v>248000</v>
      </c>
      <c r="T199" s="139">
        <v>4</v>
      </c>
      <c r="U199" s="142">
        <v>195</v>
      </c>
      <c r="V199" s="1108">
        <v>160</v>
      </c>
      <c r="W199" s="1653">
        <v>0.8</v>
      </c>
      <c r="X199" s="1654">
        <v>8</v>
      </c>
      <c r="Y199" s="1655">
        <v>600</v>
      </c>
      <c r="Z199" s="1656">
        <v>8</v>
      </c>
      <c r="AA199" s="1071">
        <f t="shared" si="21"/>
        <v>0</v>
      </c>
      <c r="AB199" s="1107">
        <v>0.44</v>
      </c>
      <c r="AC199" s="1704">
        <v>2</v>
      </c>
      <c r="AD199" s="1705">
        <v>1.1000000000000001</v>
      </c>
      <c r="AE199" s="1706" t="s">
        <v>330</v>
      </c>
    </row>
    <row r="200" spans="14:31" ht="13.9" x14ac:dyDescent="0.4">
      <c r="N200" s="1073">
        <f t="shared" si="17"/>
        <v>0</v>
      </c>
      <c r="O200" s="1108" t="s">
        <v>882</v>
      </c>
      <c r="P200" s="1528">
        <v>27300</v>
      </c>
      <c r="Q200" s="132">
        <v>32</v>
      </c>
      <c r="R200" s="133">
        <v>6</v>
      </c>
      <c r="S200" s="138">
        <v>308000</v>
      </c>
      <c r="T200" s="153">
        <v>4</v>
      </c>
      <c r="U200" s="140">
        <v>230</v>
      </c>
      <c r="V200" s="1108">
        <v>120</v>
      </c>
      <c r="W200" s="1653">
        <v>0.85</v>
      </c>
      <c r="X200" s="1654">
        <v>8</v>
      </c>
      <c r="Y200" s="1655">
        <v>600</v>
      </c>
      <c r="Z200" s="1656">
        <v>8</v>
      </c>
      <c r="AA200" s="1071">
        <f t="shared" si="21"/>
        <v>0</v>
      </c>
      <c r="AB200" s="1107">
        <v>0.16</v>
      </c>
      <c r="AC200" s="1704">
        <v>1.3</v>
      </c>
      <c r="AD200" s="1705">
        <v>1.04</v>
      </c>
      <c r="AE200" s="1706" t="s">
        <v>325</v>
      </c>
    </row>
    <row r="201" spans="14:31" ht="13.9" x14ac:dyDescent="0.4">
      <c r="N201" s="1073">
        <f t="shared" si="17"/>
        <v>0</v>
      </c>
      <c r="O201" s="1108" t="s">
        <v>561</v>
      </c>
      <c r="P201" s="1528">
        <v>0</v>
      </c>
      <c r="Q201" s="132">
        <v>1</v>
      </c>
      <c r="R201" s="133">
        <v>1</v>
      </c>
      <c r="S201" s="138">
        <v>308000</v>
      </c>
      <c r="T201" s="139">
        <v>4</v>
      </c>
      <c r="U201" s="140">
        <v>230</v>
      </c>
      <c r="V201" s="1108">
        <v>100</v>
      </c>
      <c r="W201" s="1653">
        <v>0.7</v>
      </c>
      <c r="X201" s="1654">
        <v>8</v>
      </c>
      <c r="Y201" s="1655">
        <v>600</v>
      </c>
      <c r="Z201" s="1656">
        <v>8</v>
      </c>
      <c r="AA201" s="1071">
        <f t="shared" si="21"/>
        <v>0</v>
      </c>
      <c r="AB201" s="1107">
        <v>0.63</v>
      </c>
      <c r="AC201" s="1704">
        <v>1.3</v>
      </c>
      <c r="AD201" s="1705">
        <v>1.33</v>
      </c>
      <c r="AE201" s="1706" t="s">
        <v>327</v>
      </c>
    </row>
    <row r="202" spans="14:31" ht="14.25" thickBot="1" x14ac:dyDescent="0.45">
      <c r="N202" s="1073">
        <f t="shared" si="17"/>
        <v>0</v>
      </c>
      <c r="O202" s="1109" t="s">
        <v>561</v>
      </c>
      <c r="P202" s="1530">
        <v>0</v>
      </c>
      <c r="Q202" s="134">
        <v>1</v>
      </c>
      <c r="R202" s="734">
        <v>1</v>
      </c>
      <c r="S202" s="143">
        <v>308000</v>
      </c>
      <c r="T202" s="144">
        <v>4</v>
      </c>
      <c r="U202" s="145">
        <v>230</v>
      </c>
      <c r="V202" s="1109">
        <v>100</v>
      </c>
      <c r="W202" s="1657">
        <v>0.7</v>
      </c>
      <c r="X202" s="1658">
        <v>8</v>
      </c>
      <c r="Y202" s="143">
        <v>600</v>
      </c>
      <c r="Z202" s="1659">
        <v>8</v>
      </c>
      <c r="AA202" s="1071">
        <f t="shared" si="21"/>
        <v>0</v>
      </c>
      <c r="AB202" s="1707">
        <v>0.63</v>
      </c>
      <c r="AC202" s="1708">
        <v>1.3</v>
      </c>
      <c r="AD202" s="1709">
        <v>1.33</v>
      </c>
      <c r="AE202" s="1703" t="s">
        <v>327</v>
      </c>
    </row>
    <row r="203" spans="14:31" ht="13.9" x14ac:dyDescent="0.4">
      <c r="N203" s="1071"/>
      <c r="O203" s="1660"/>
      <c r="P203" s="1660"/>
      <c r="Q203" s="1660"/>
      <c r="R203" s="1660"/>
      <c r="S203" s="1660"/>
      <c r="T203" s="1660"/>
      <c r="U203" s="1660"/>
      <c r="V203" s="1660"/>
      <c r="W203" s="1660"/>
      <c r="X203" s="1661"/>
      <c r="Y203" s="1662"/>
      <c r="Z203" s="1661"/>
      <c r="AA203" s="1071"/>
      <c r="AB203" s="1660"/>
      <c r="AC203" s="1660"/>
      <c r="AD203" s="1660"/>
      <c r="AE203" s="1660"/>
    </row>
    <row r="204" spans="14:31" ht="13.9" x14ac:dyDescent="0.4">
      <c r="N204" s="1071"/>
      <c r="O204" s="1663"/>
      <c r="P204" s="1663"/>
      <c r="Q204" s="1663"/>
      <c r="R204" s="1663"/>
      <c r="S204" s="1663"/>
      <c r="T204" s="1663"/>
      <c r="U204" s="1663"/>
      <c r="V204" s="1663"/>
      <c r="W204" s="1663"/>
      <c r="X204" s="1663"/>
      <c r="Y204" s="1663"/>
      <c r="Z204" s="1663"/>
      <c r="AA204" s="1071"/>
      <c r="AB204" s="1663"/>
      <c r="AC204" s="1663"/>
      <c r="AD204" s="1663"/>
      <c r="AE204" s="1663"/>
    </row>
    <row r="205" spans="14:31" ht="14.25" thickBot="1" x14ac:dyDescent="0.45">
      <c r="N205" s="1071"/>
      <c r="O205" s="1664" t="s">
        <v>74</v>
      </c>
      <c r="P205" s="1665"/>
      <c r="Q205" s="1663"/>
      <c r="R205" s="1663"/>
      <c r="S205" s="1663"/>
      <c r="T205" s="1663"/>
      <c r="U205" s="1663"/>
      <c r="V205" s="1663"/>
      <c r="W205" s="1663"/>
      <c r="X205" s="1663"/>
      <c r="Y205" s="1663"/>
      <c r="Z205" s="1663"/>
      <c r="AA205" s="1071"/>
      <c r="AB205" s="1663"/>
      <c r="AC205" s="1663"/>
      <c r="AD205" s="1663"/>
      <c r="AE205" s="1663"/>
    </row>
    <row r="206" spans="14:31" ht="13.9" x14ac:dyDescent="0.4">
      <c r="N206" s="1073">
        <f>IF($A$8=3,N202+1,0)</f>
        <v>0</v>
      </c>
      <c r="O206" s="1666" t="s">
        <v>256</v>
      </c>
      <c r="P206" s="147">
        <v>348000</v>
      </c>
      <c r="Q206" s="131">
        <v>90</v>
      </c>
      <c r="R206" s="152">
        <v>12</v>
      </c>
      <c r="S206" s="1667"/>
      <c r="T206" s="1668"/>
      <c r="U206" s="137">
        <v>250</v>
      </c>
      <c r="V206" s="1648">
        <v>120</v>
      </c>
      <c r="W206" s="1649">
        <v>0.65</v>
      </c>
      <c r="X206" s="1650">
        <v>8</v>
      </c>
      <c r="Y206" s="1669"/>
      <c r="Z206" s="1670"/>
      <c r="AA206" s="1071">
        <f>AA202</f>
        <v>0</v>
      </c>
      <c r="AB206" s="1710">
        <v>0.11</v>
      </c>
      <c r="AC206" s="1711">
        <v>1.8</v>
      </c>
      <c r="AD206" s="1666">
        <v>1.25</v>
      </c>
      <c r="AE206" s="1712" t="s">
        <v>326</v>
      </c>
    </row>
    <row r="207" spans="14:31" ht="13.9" x14ac:dyDescent="0.4">
      <c r="N207" s="1073">
        <f>IF($A$8=3,N206+1,0)</f>
        <v>0</v>
      </c>
      <c r="O207" s="1671" t="s">
        <v>262</v>
      </c>
      <c r="P207" s="129">
        <v>16900</v>
      </c>
      <c r="Q207" s="1918">
        <v>1</v>
      </c>
      <c r="R207" s="1721">
        <v>2.5</v>
      </c>
      <c r="S207" s="1672"/>
      <c r="T207" s="1673"/>
      <c r="U207" s="154">
        <v>50</v>
      </c>
      <c r="V207" s="1108">
        <v>80</v>
      </c>
      <c r="W207" s="1653">
        <v>0.25</v>
      </c>
      <c r="X207" s="1654">
        <v>8</v>
      </c>
      <c r="Y207" s="1674"/>
      <c r="Z207" s="1675"/>
      <c r="AA207" s="1071">
        <f>AA206</f>
        <v>0</v>
      </c>
      <c r="AB207" s="1107">
        <v>0.28000000000000003</v>
      </c>
      <c r="AC207" s="1704">
        <v>1.4</v>
      </c>
      <c r="AD207" s="1705">
        <v>1.04</v>
      </c>
      <c r="AE207" s="1713" t="s">
        <v>329</v>
      </c>
    </row>
    <row r="208" spans="14:31" ht="14.25" thickBot="1" x14ac:dyDescent="0.45">
      <c r="N208" s="1073">
        <f>IF($A$8=3,N207+1,0)</f>
        <v>0</v>
      </c>
      <c r="O208" s="1676" t="s">
        <v>962</v>
      </c>
      <c r="P208" s="151">
        <v>464900</v>
      </c>
      <c r="Q208" s="741">
        <v>80</v>
      </c>
      <c r="R208" s="795">
        <v>12</v>
      </c>
      <c r="S208" s="1677"/>
      <c r="T208" s="1678"/>
      <c r="U208" s="155">
        <v>250</v>
      </c>
      <c r="V208" s="1109">
        <v>120</v>
      </c>
      <c r="W208" s="1657">
        <v>0.65</v>
      </c>
      <c r="X208" s="1658">
        <v>8</v>
      </c>
      <c r="Y208" s="1679"/>
      <c r="Z208" s="1680"/>
      <c r="AA208" s="1071">
        <f>AA207</f>
        <v>0</v>
      </c>
      <c r="AB208" s="1707">
        <v>0.11</v>
      </c>
      <c r="AC208" s="1714">
        <v>1.8</v>
      </c>
      <c r="AD208" s="1676">
        <v>1.25</v>
      </c>
      <c r="AE208" s="1715" t="s">
        <v>326</v>
      </c>
    </row>
    <row r="209" spans="14:31" ht="13.9" x14ac:dyDescent="0.4">
      <c r="P209" s="1660"/>
      <c r="Q209" s="1660"/>
      <c r="R209" s="1660"/>
      <c r="S209" s="1660"/>
      <c r="T209" s="1660"/>
      <c r="U209" s="1660"/>
    </row>
    <row r="210" spans="14:31" ht="13.9" x14ac:dyDescent="0.4">
      <c r="P210" s="1663"/>
      <c r="Q210" s="1663"/>
      <c r="R210" s="1663"/>
      <c r="S210" s="1663"/>
      <c r="T210" s="1663"/>
      <c r="U210" s="1663"/>
    </row>
    <row r="211" spans="14:31" ht="14.25" thickBot="1" x14ac:dyDescent="0.45">
      <c r="N211" s="1071"/>
      <c r="O211" s="1664" t="s">
        <v>79</v>
      </c>
      <c r="P211" s="1665"/>
      <c r="Q211" s="1663"/>
      <c r="R211" s="1663"/>
      <c r="S211" s="1663"/>
      <c r="T211" s="1663"/>
      <c r="U211" s="1663"/>
      <c r="V211" s="1663"/>
      <c r="W211" s="1663"/>
      <c r="X211" s="1663"/>
      <c r="Y211" s="1663"/>
      <c r="Z211" s="1663"/>
      <c r="AA211" s="1071"/>
      <c r="AB211" s="1663"/>
      <c r="AC211" s="1663"/>
      <c r="AD211" s="1663"/>
      <c r="AE211" s="1663"/>
    </row>
    <row r="212" spans="14:31" ht="13.9" x14ac:dyDescent="0.4">
      <c r="N212" s="1073">
        <f>IF($A$8=3,N208+1,0)</f>
        <v>0</v>
      </c>
      <c r="O212" s="1666" t="s">
        <v>73</v>
      </c>
      <c r="P212" s="1531">
        <v>478000</v>
      </c>
      <c r="Q212" s="131">
        <v>19</v>
      </c>
      <c r="R212" s="152">
        <v>3.5</v>
      </c>
      <c r="S212" s="1681"/>
      <c r="T212" s="1668"/>
      <c r="U212" s="137">
        <v>355</v>
      </c>
      <c r="V212" s="1648">
        <v>200</v>
      </c>
      <c r="W212" s="1649">
        <v>0.7</v>
      </c>
      <c r="X212" s="1650">
        <v>8</v>
      </c>
      <c r="Y212" s="1669"/>
      <c r="Z212" s="1670"/>
      <c r="AA212" s="1071">
        <f>AA208</f>
        <v>0</v>
      </c>
      <c r="AB212" s="1710">
        <v>0.11</v>
      </c>
      <c r="AC212" s="1716">
        <v>1.8</v>
      </c>
      <c r="AD212" s="1717">
        <v>1.1100000000000001</v>
      </c>
      <c r="AE212" s="1718" t="s">
        <v>349</v>
      </c>
    </row>
    <row r="213" spans="14:31" ht="13.9" x14ac:dyDescent="0.4">
      <c r="N213" s="1073">
        <f t="shared" ref="N213:N229" si="22">IF($A$8=3,N212+1,0)</f>
        <v>0</v>
      </c>
      <c r="O213" s="1671" t="s">
        <v>984</v>
      </c>
      <c r="P213" s="1528">
        <v>30500</v>
      </c>
      <c r="Q213" s="1918">
        <f>Q212</f>
        <v>19</v>
      </c>
      <c r="R213" s="1925">
        <f>R212</f>
        <v>3.5</v>
      </c>
      <c r="S213" s="138">
        <v>248000</v>
      </c>
      <c r="T213" s="153">
        <v>4</v>
      </c>
      <c r="U213" s="154">
        <v>195</v>
      </c>
      <c r="V213" s="1108">
        <v>200</v>
      </c>
      <c r="W213" s="1653">
        <v>0.7</v>
      </c>
      <c r="X213" s="1654">
        <v>8</v>
      </c>
      <c r="Y213" s="1655">
        <v>600</v>
      </c>
      <c r="Z213" s="1656">
        <v>8</v>
      </c>
      <c r="AA213" s="1071">
        <f>AA212</f>
        <v>0</v>
      </c>
      <c r="AB213" s="1107">
        <v>0.19</v>
      </c>
      <c r="AC213" s="1704">
        <v>1.3</v>
      </c>
      <c r="AD213" s="1719">
        <v>1.1100000000000001</v>
      </c>
      <c r="AE213" s="1706" t="s">
        <v>327</v>
      </c>
    </row>
    <row r="214" spans="14:31" ht="13.9" x14ac:dyDescent="0.4">
      <c r="N214" s="1073">
        <f t="shared" si="22"/>
        <v>0</v>
      </c>
      <c r="O214" s="1671" t="s">
        <v>983</v>
      </c>
      <c r="P214" s="1528">
        <v>34700</v>
      </c>
      <c r="Q214" s="1921">
        <f>Q212</f>
        <v>19</v>
      </c>
      <c r="R214" s="1925">
        <f>R212</f>
        <v>3.5</v>
      </c>
      <c r="S214" s="138">
        <v>248000</v>
      </c>
      <c r="T214" s="153">
        <v>4</v>
      </c>
      <c r="U214" s="154">
        <v>195</v>
      </c>
      <c r="V214" s="1682">
        <v>200</v>
      </c>
      <c r="W214" s="1916">
        <v>0.7</v>
      </c>
      <c r="X214" s="1683">
        <v>8</v>
      </c>
      <c r="Y214" s="138">
        <v>600</v>
      </c>
      <c r="Z214" s="1684">
        <v>8</v>
      </c>
      <c r="AA214" s="1071">
        <f t="shared" ref="AA214:AA229" si="23">AA213</f>
        <v>0</v>
      </c>
      <c r="AB214" s="1720">
        <v>0.19</v>
      </c>
      <c r="AC214" s="1721">
        <v>1.3</v>
      </c>
      <c r="AD214" s="1722">
        <v>3.33</v>
      </c>
      <c r="AE214" s="1706" t="s">
        <v>327</v>
      </c>
    </row>
    <row r="215" spans="14:31" ht="13.9" x14ac:dyDescent="0.4">
      <c r="N215" s="1073">
        <f t="shared" si="22"/>
        <v>0</v>
      </c>
      <c r="O215" s="1671" t="s">
        <v>270</v>
      </c>
      <c r="P215" s="1528">
        <v>960000</v>
      </c>
      <c r="Q215" s="132">
        <v>19</v>
      </c>
      <c r="R215" s="317">
        <v>3.7</v>
      </c>
      <c r="S215" s="1685"/>
      <c r="T215" s="1686"/>
      <c r="U215" s="140">
        <v>560</v>
      </c>
      <c r="V215" s="1108">
        <v>200</v>
      </c>
      <c r="W215" s="1653">
        <v>0.85</v>
      </c>
      <c r="X215" s="1654">
        <v>8</v>
      </c>
      <c r="Y215" s="1687"/>
      <c r="Z215" s="1688"/>
      <c r="AA215" s="1071">
        <f t="shared" si="23"/>
        <v>0</v>
      </c>
      <c r="AB215" s="1107">
        <v>0.11</v>
      </c>
      <c r="AC215" s="1704">
        <v>1.8</v>
      </c>
      <c r="AD215" s="1705">
        <v>1.1100000000000001</v>
      </c>
      <c r="AE215" s="1706" t="s">
        <v>349</v>
      </c>
    </row>
    <row r="216" spans="14:31" ht="13.9" x14ac:dyDescent="0.4">
      <c r="N216" s="1073">
        <f t="shared" si="22"/>
        <v>0</v>
      </c>
      <c r="O216" s="1671" t="s">
        <v>982</v>
      </c>
      <c r="P216" s="1528">
        <v>13750</v>
      </c>
      <c r="Q216" s="1921">
        <v>1</v>
      </c>
      <c r="R216" s="1925">
        <f>R215</f>
        <v>3.7</v>
      </c>
      <c r="S216" s="1105">
        <v>248000</v>
      </c>
      <c r="T216" s="153">
        <v>4</v>
      </c>
      <c r="U216" s="140">
        <v>195</v>
      </c>
      <c r="V216" s="1682">
        <v>10</v>
      </c>
      <c r="W216" s="1916">
        <v>0.9</v>
      </c>
      <c r="X216" s="1683">
        <v>8</v>
      </c>
      <c r="Y216" s="1655">
        <v>600</v>
      </c>
      <c r="Z216" s="1656">
        <v>8</v>
      </c>
      <c r="AA216" s="1071">
        <f t="shared" si="23"/>
        <v>0</v>
      </c>
      <c r="AB216" s="1107">
        <v>0.19</v>
      </c>
      <c r="AC216" s="1704">
        <v>1.3</v>
      </c>
      <c r="AD216" s="1705">
        <v>1.1100000000000001</v>
      </c>
      <c r="AE216" s="1706" t="s">
        <v>327</v>
      </c>
    </row>
    <row r="217" spans="14:31" ht="13.9" x14ac:dyDescent="0.4">
      <c r="N217" s="1073">
        <f t="shared" si="22"/>
        <v>0</v>
      </c>
      <c r="O217" s="1671" t="s">
        <v>127</v>
      </c>
      <c r="P217" s="1528">
        <v>739000</v>
      </c>
      <c r="Q217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17" s="1925">
        <f>MAX(IF(Machine!$B$70&gt;0,1,Machine!$B$70)*Machine!$E$70,IF(Machine!$B$71&gt;0,1,Machine!$B$71)*Machine!$E$71,IF(Machine!$B$72&gt;0,1,Machine!$B$72)*Machine!$E$72,IF(Machine!$B$73&gt;0,1,Machine!$B$73)*Machine!$E$73,1)</f>
        <v>3.5</v>
      </c>
      <c r="S217" s="1950">
        <v>0</v>
      </c>
      <c r="T217" s="1686"/>
      <c r="U217" s="142">
        <v>325</v>
      </c>
      <c r="V217" s="1108">
        <v>300</v>
      </c>
      <c r="W217" s="1653">
        <v>0.7</v>
      </c>
      <c r="X217" s="1654">
        <v>8</v>
      </c>
      <c r="Y217" s="1687"/>
      <c r="Z217" s="1688"/>
      <c r="AA217" s="1071">
        <f t="shared" si="23"/>
        <v>0</v>
      </c>
      <c r="AB217" s="1723">
        <v>0.04</v>
      </c>
      <c r="AC217" s="1724">
        <v>2.1</v>
      </c>
      <c r="AD217" s="1725">
        <v>1.1100000000000001</v>
      </c>
      <c r="AE217" s="1706" t="s">
        <v>349</v>
      </c>
    </row>
    <row r="218" spans="14:31" ht="13.9" x14ac:dyDescent="0.4">
      <c r="N218" s="1073">
        <f t="shared" si="22"/>
        <v>0</v>
      </c>
      <c r="O218" s="1671" t="s">
        <v>128</v>
      </c>
      <c r="P218" s="1528">
        <v>67900</v>
      </c>
      <c r="Q218" s="1520">
        <v>25</v>
      </c>
      <c r="R218" s="1521">
        <v>3.5</v>
      </c>
      <c r="S218" s="1951">
        <v>0</v>
      </c>
      <c r="T218" s="1689"/>
      <c r="U218" s="1953">
        <v>0</v>
      </c>
      <c r="V218" s="1108">
        <v>300</v>
      </c>
      <c r="W218" s="1653">
        <v>0.7</v>
      </c>
      <c r="X218" s="1654">
        <v>8</v>
      </c>
      <c r="Y218" s="1687"/>
      <c r="Z218" s="1688"/>
      <c r="AA218" s="1071">
        <f t="shared" si="23"/>
        <v>0</v>
      </c>
      <c r="AB218" s="1107">
        <v>0.12</v>
      </c>
      <c r="AC218" s="1704">
        <v>2.2999999999999998</v>
      </c>
      <c r="AD218" s="1726"/>
      <c r="AE218" s="1706" t="s">
        <v>349</v>
      </c>
    </row>
    <row r="219" spans="14:31" ht="13.9" x14ac:dyDescent="0.4">
      <c r="N219" s="1073">
        <f t="shared" si="22"/>
        <v>0</v>
      </c>
      <c r="O219" s="1671" t="s">
        <v>129</v>
      </c>
      <c r="P219" s="1528">
        <v>43800</v>
      </c>
      <c r="Q219" s="1520">
        <v>30</v>
      </c>
      <c r="R219" s="1521">
        <v>4.5</v>
      </c>
      <c r="S219" s="1951">
        <v>0</v>
      </c>
      <c r="T219" s="1689"/>
      <c r="U219" s="1953">
        <v>0</v>
      </c>
      <c r="V219" s="1108">
        <v>300</v>
      </c>
      <c r="W219" s="1653">
        <v>0.7</v>
      </c>
      <c r="X219" s="1654">
        <v>8</v>
      </c>
      <c r="Y219" s="1687"/>
      <c r="Z219" s="1688"/>
      <c r="AA219" s="1071">
        <f t="shared" si="23"/>
        <v>0</v>
      </c>
      <c r="AB219" s="1107">
        <v>0.12</v>
      </c>
      <c r="AC219" s="1704">
        <v>2.2999999999999998</v>
      </c>
      <c r="AD219" s="1726"/>
      <c r="AE219" s="1706" t="s">
        <v>349</v>
      </c>
    </row>
    <row r="220" spans="14:31" ht="13.9" x14ac:dyDescent="0.4">
      <c r="N220" s="1073">
        <f t="shared" si="22"/>
        <v>0</v>
      </c>
      <c r="O220" s="1671" t="s">
        <v>130</v>
      </c>
      <c r="P220" s="1528">
        <v>78600</v>
      </c>
      <c r="Q220" s="1520">
        <v>30</v>
      </c>
      <c r="R220" s="1521">
        <v>2.5</v>
      </c>
      <c r="S220" s="1951">
        <v>0</v>
      </c>
      <c r="T220" s="1689"/>
      <c r="U220" s="1953">
        <v>0</v>
      </c>
      <c r="V220" s="1108">
        <v>300</v>
      </c>
      <c r="W220" s="1653">
        <v>0.7</v>
      </c>
      <c r="X220" s="1654">
        <v>8</v>
      </c>
      <c r="Y220" s="1687"/>
      <c r="Z220" s="1688"/>
      <c r="AA220" s="1071">
        <f t="shared" si="23"/>
        <v>0</v>
      </c>
      <c r="AB220" s="1107">
        <v>0.12</v>
      </c>
      <c r="AC220" s="1704">
        <v>2.2999999999999998</v>
      </c>
      <c r="AD220" s="1726"/>
      <c r="AE220" s="1706" t="s">
        <v>349</v>
      </c>
    </row>
    <row r="221" spans="14:31" ht="13.9" x14ac:dyDescent="0.4">
      <c r="N221" s="1073">
        <f t="shared" si="22"/>
        <v>0</v>
      </c>
      <c r="O221" s="1671" t="s">
        <v>160</v>
      </c>
      <c r="P221" s="1528">
        <v>29100</v>
      </c>
      <c r="Q221" s="1520">
        <v>30</v>
      </c>
      <c r="R221" s="1521">
        <v>3.5</v>
      </c>
      <c r="S221" s="1952">
        <v>0</v>
      </c>
      <c r="T221" s="1690"/>
      <c r="U221" s="1953">
        <v>0</v>
      </c>
      <c r="V221" s="1108">
        <v>300</v>
      </c>
      <c r="W221" s="1653">
        <v>0.7</v>
      </c>
      <c r="X221" s="1654">
        <v>8</v>
      </c>
      <c r="Y221" s="1687"/>
      <c r="Z221" s="1688"/>
      <c r="AA221" s="1071">
        <f t="shared" si="23"/>
        <v>0</v>
      </c>
      <c r="AB221" s="1107">
        <v>0.12</v>
      </c>
      <c r="AC221" s="1704">
        <v>2.2999999999999998</v>
      </c>
      <c r="AD221" s="1726"/>
      <c r="AE221" s="1706" t="s">
        <v>349</v>
      </c>
    </row>
    <row r="222" spans="14:31" ht="13.9" x14ac:dyDescent="0.4">
      <c r="N222" s="1073">
        <f t="shared" si="22"/>
        <v>0</v>
      </c>
      <c r="O222" s="1671" t="s">
        <v>980</v>
      </c>
      <c r="P222" s="1528">
        <v>58400</v>
      </c>
      <c r="Q222" s="1921">
        <f>Q217</f>
        <v>30</v>
      </c>
      <c r="R222" s="1925">
        <f>R217</f>
        <v>3.5</v>
      </c>
      <c r="S222" s="1105">
        <v>248000</v>
      </c>
      <c r="T222" s="139">
        <v>4</v>
      </c>
      <c r="U222" s="142">
        <v>195</v>
      </c>
      <c r="V222" s="1682">
        <v>300</v>
      </c>
      <c r="W222" s="1916">
        <v>0.7</v>
      </c>
      <c r="X222" s="1683">
        <v>8</v>
      </c>
      <c r="Y222" s="138">
        <v>600</v>
      </c>
      <c r="Z222" s="1684">
        <v>8</v>
      </c>
      <c r="AA222" s="1071">
        <f t="shared" si="23"/>
        <v>0</v>
      </c>
      <c r="AB222" s="1720">
        <v>0.19</v>
      </c>
      <c r="AC222" s="1721">
        <v>1.3</v>
      </c>
      <c r="AD222" s="1722">
        <v>1.1100000000000001</v>
      </c>
      <c r="AE222" s="1706" t="s">
        <v>327</v>
      </c>
    </row>
    <row r="223" spans="14:31" ht="13.9" x14ac:dyDescent="0.4">
      <c r="N223" s="1073">
        <f t="shared" si="22"/>
        <v>0</v>
      </c>
      <c r="O223" s="1671" t="s">
        <v>562</v>
      </c>
      <c r="P223" s="1105">
        <v>0</v>
      </c>
      <c r="Q223" s="538">
        <v>19</v>
      </c>
      <c r="R223" s="723">
        <v>2.5</v>
      </c>
      <c r="S223" s="1952">
        <v>0</v>
      </c>
      <c r="T223" s="1690"/>
      <c r="U223" s="142">
        <v>230</v>
      </c>
      <c r="V223" s="1108">
        <v>200</v>
      </c>
      <c r="W223" s="1653">
        <v>0.65</v>
      </c>
      <c r="X223" s="1654">
        <v>8</v>
      </c>
      <c r="Y223" s="1687"/>
      <c r="Z223" s="1688"/>
      <c r="AA223" s="1071">
        <f t="shared" si="23"/>
        <v>0</v>
      </c>
      <c r="AB223" s="1107">
        <v>0.04</v>
      </c>
      <c r="AC223" s="1704">
        <v>2.1</v>
      </c>
      <c r="AD223" s="1671">
        <v>1.1100000000000001</v>
      </c>
      <c r="AE223" s="1706" t="s">
        <v>349</v>
      </c>
    </row>
    <row r="224" spans="14:31" ht="13.9" x14ac:dyDescent="0.4">
      <c r="N224" s="1073">
        <f t="shared" si="22"/>
        <v>0</v>
      </c>
      <c r="O224" s="1671" t="s">
        <v>981</v>
      </c>
      <c r="P224" s="1528">
        <v>179000</v>
      </c>
      <c r="Q224" s="538">
        <v>19</v>
      </c>
      <c r="R224" s="723">
        <v>2</v>
      </c>
      <c r="S224" s="138">
        <v>308000</v>
      </c>
      <c r="T224" s="139">
        <v>4</v>
      </c>
      <c r="U224" s="142">
        <v>230</v>
      </c>
      <c r="V224" s="1108">
        <v>200</v>
      </c>
      <c r="W224" s="1653">
        <v>0.65</v>
      </c>
      <c r="X224" s="1654">
        <v>8</v>
      </c>
      <c r="Y224" s="1655">
        <v>600</v>
      </c>
      <c r="Z224" s="1656">
        <v>8</v>
      </c>
      <c r="AA224" s="1071">
        <f t="shared" si="23"/>
        <v>0</v>
      </c>
      <c r="AB224" s="1107">
        <v>0.04</v>
      </c>
      <c r="AC224" s="1704">
        <v>2.1</v>
      </c>
      <c r="AD224" s="1671">
        <v>1.1100000000000001</v>
      </c>
      <c r="AE224" s="1706" t="s">
        <v>349</v>
      </c>
    </row>
    <row r="225" spans="14:31" ht="13.9" x14ac:dyDescent="0.4">
      <c r="N225" s="1073">
        <f t="shared" si="22"/>
        <v>0</v>
      </c>
      <c r="O225" s="1671" t="s">
        <v>985</v>
      </c>
      <c r="P225" s="1528">
        <v>57500</v>
      </c>
      <c r="Q225" s="1921">
        <f>IF(Machine!$B$75&gt;0,Q223,Q224)</f>
        <v>19</v>
      </c>
      <c r="R225" s="1925">
        <f>IF(Machine!$B$75&gt;0,R223,R224)</f>
        <v>2</v>
      </c>
      <c r="S225" s="149">
        <v>248000</v>
      </c>
      <c r="T225" s="139">
        <v>4</v>
      </c>
      <c r="U225" s="142">
        <v>195</v>
      </c>
      <c r="V225" s="1108">
        <v>200</v>
      </c>
      <c r="W225" s="1653">
        <v>0.65</v>
      </c>
      <c r="X225" s="1654">
        <v>8</v>
      </c>
      <c r="Y225" s="1655">
        <v>600</v>
      </c>
      <c r="Z225" s="1656">
        <v>8</v>
      </c>
      <c r="AA225" s="1071">
        <f t="shared" si="23"/>
        <v>0</v>
      </c>
      <c r="AB225" s="1107">
        <v>0.19</v>
      </c>
      <c r="AC225" s="1704">
        <v>1.3</v>
      </c>
      <c r="AD225" s="1727">
        <v>1.1100000000000001</v>
      </c>
      <c r="AE225" s="1706" t="s">
        <v>327</v>
      </c>
    </row>
    <row r="226" spans="14:31" ht="13.9" x14ac:dyDescent="0.4">
      <c r="N226" s="1073">
        <f t="shared" si="22"/>
        <v>0</v>
      </c>
      <c r="O226" s="1671" t="s">
        <v>986</v>
      </c>
      <c r="P226" s="1528">
        <v>7800</v>
      </c>
      <c r="Q226" s="1921">
        <f>Q225</f>
        <v>19</v>
      </c>
      <c r="R226" s="1925">
        <f>R225</f>
        <v>2</v>
      </c>
      <c r="S226" s="149">
        <v>248000</v>
      </c>
      <c r="T226" s="139">
        <v>4</v>
      </c>
      <c r="U226" s="142">
        <v>195</v>
      </c>
      <c r="V226" s="1682">
        <v>200</v>
      </c>
      <c r="W226" s="1653">
        <v>0.65</v>
      </c>
      <c r="X226" s="1683">
        <v>8</v>
      </c>
      <c r="Y226" s="138">
        <v>600</v>
      </c>
      <c r="Z226" s="1684">
        <v>8</v>
      </c>
      <c r="AA226" s="1071">
        <f t="shared" si="23"/>
        <v>0</v>
      </c>
      <c r="AB226" s="1720">
        <v>0.19</v>
      </c>
      <c r="AC226" s="1721">
        <v>1.3</v>
      </c>
      <c r="AD226" s="1728">
        <v>1.1100000000000001</v>
      </c>
      <c r="AE226" s="1706" t="s">
        <v>327</v>
      </c>
    </row>
    <row r="227" spans="14:31" ht="13.9" x14ac:dyDescent="0.4">
      <c r="N227" s="1073">
        <f t="shared" si="22"/>
        <v>0</v>
      </c>
      <c r="O227" s="1671" t="s">
        <v>562</v>
      </c>
      <c r="P227" s="1528">
        <v>0</v>
      </c>
      <c r="Q227" s="738">
        <v>1</v>
      </c>
      <c r="R227" s="317">
        <v>1</v>
      </c>
      <c r="S227" s="1952">
        <v>0</v>
      </c>
      <c r="T227" s="1691"/>
      <c r="U227" s="140">
        <v>325</v>
      </c>
      <c r="V227" s="1108">
        <v>200</v>
      </c>
      <c r="W227" s="1653">
        <v>0.7</v>
      </c>
      <c r="X227" s="1654">
        <v>8</v>
      </c>
      <c r="Y227" s="1687"/>
      <c r="Z227" s="1688"/>
      <c r="AA227" s="1071">
        <f t="shared" si="23"/>
        <v>0</v>
      </c>
      <c r="AB227" s="1107">
        <v>0.11</v>
      </c>
      <c r="AC227" s="1704">
        <v>1.8</v>
      </c>
      <c r="AD227" s="1705">
        <v>1.1100000000000001</v>
      </c>
      <c r="AE227" s="1706" t="s">
        <v>349</v>
      </c>
    </row>
    <row r="228" spans="14:31" ht="13.9" x14ac:dyDescent="0.4">
      <c r="N228" s="1073">
        <f t="shared" si="22"/>
        <v>0</v>
      </c>
      <c r="O228" s="1671" t="s">
        <v>562</v>
      </c>
      <c r="P228" s="1528">
        <v>0</v>
      </c>
      <c r="Q228" s="1918">
        <f>Q227</f>
        <v>1</v>
      </c>
      <c r="R228" s="1925">
        <f>R227</f>
        <v>1</v>
      </c>
      <c r="S228" s="138">
        <v>248000</v>
      </c>
      <c r="T228" s="153">
        <v>4</v>
      </c>
      <c r="U228" s="154">
        <v>195</v>
      </c>
      <c r="V228" s="1108">
        <v>200</v>
      </c>
      <c r="W228" s="1653">
        <v>0.7</v>
      </c>
      <c r="X228" s="1654">
        <v>8</v>
      </c>
      <c r="Y228" s="1655">
        <v>600</v>
      </c>
      <c r="Z228" s="1656">
        <v>8</v>
      </c>
      <c r="AA228" s="1071">
        <f t="shared" si="23"/>
        <v>0</v>
      </c>
      <c r="AB228" s="1107">
        <v>0.19</v>
      </c>
      <c r="AC228" s="1704">
        <v>1.3</v>
      </c>
      <c r="AD228" s="1719">
        <v>1.1100000000000001</v>
      </c>
      <c r="AE228" s="1706" t="s">
        <v>327</v>
      </c>
    </row>
    <row r="229" spans="14:31" ht="14.25" thickBot="1" x14ac:dyDescent="0.45">
      <c r="N229" s="1073">
        <f t="shared" si="22"/>
        <v>0</v>
      </c>
      <c r="O229" s="1676" t="s">
        <v>562</v>
      </c>
      <c r="P229" s="1532">
        <v>0</v>
      </c>
      <c r="Q229" s="1929">
        <f>Q227</f>
        <v>1</v>
      </c>
      <c r="R229" s="1930">
        <f>R227</f>
        <v>1</v>
      </c>
      <c r="S229" s="143">
        <v>248000</v>
      </c>
      <c r="T229" s="535">
        <v>4</v>
      </c>
      <c r="U229" s="740">
        <v>195</v>
      </c>
      <c r="V229" s="1109">
        <v>200</v>
      </c>
      <c r="W229" s="1657">
        <v>0.7</v>
      </c>
      <c r="X229" s="1658">
        <v>8</v>
      </c>
      <c r="Y229" s="143">
        <v>600</v>
      </c>
      <c r="Z229" s="1659">
        <v>8</v>
      </c>
      <c r="AA229" s="1071">
        <f t="shared" si="23"/>
        <v>0</v>
      </c>
      <c r="AB229" s="1707">
        <v>0.19</v>
      </c>
      <c r="AC229" s="1708">
        <v>1.3</v>
      </c>
      <c r="AD229" s="1729">
        <v>1.1100000000000001</v>
      </c>
      <c r="AE229" s="1703" t="s">
        <v>327</v>
      </c>
    </row>
    <row r="230" spans="14:31" ht="13.9" x14ac:dyDescent="0.4">
      <c r="N230" s="1071"/>
      <c r="O230" s="1660"/>
      <c r="P230" s="1660"/>
      <c r="Q230" s="1660"/>
      <c r="R230" s="1660"/>
      <c r="S230" s="1660"/>
      <c r="T230" s="1660"/>
      <c r="U230" s="1660"/>
      <c r="V230" s="1660"/>
      <c r="W230" s="1660"/>
      <c r="X230" s="1661"/>
      <c r="Y230" s="1662"/>
      <c r="Z230" s="1661"/>
      <c r="AA230" s="83"/>
      <c r="AB230" s="1660"/>
      <c r="AC230" s="1660"/>
      <c r="AD230" s="1660"/>
      <c r="AE230" s="1660"/>
    </row>
    <row r="231" spans="14:31" ht="14.25" thickBot="1" x14ac:dyDescent="0.45">
      <c r="N231" s="1071"/>
      <c r="O231" s="1621" t="s">
        <v>714</v>
      </c>
      <c r="P231" s="1622">
        <v>4</v>
      </c>
      <c r="Q231" s="1621"/>
      <c r="R231" s="1621"/>
      <c r="S231" s="1621"/>
      <c r="T231" s="1621"/>
      <c r="U231" s="1621"/>
      <c r="V231" s="1623"/>
      <c r="W231" s="1623"/>
      <c r="X231" s="1623"/>
      <c r="Y231" s="1623"/>
      <c r="Z231" s="1623"/>
      <c r="AA231" s="1173"/>
      <c r="AB231" s="1623"/>
      <c r="AC231" s="1623"/>
      <c r="AD231" s="1623"/>
      <c r="AE231" s="1623"/>
    </row>
    <row r="232" spans="14:31" ht="14.25" thickBot="1" x14ac:dyDescent="0.45">
      <c r="N232" s="1071"/>
      <c r="O232" s="1624"/>
      <c r="P232" s="1624"/>
      <c r="Q232" s="1624"/>
      <c r="R232" s="1624"/>
      <c r="S232" s="1624"/>
      <c r="T232" s="1624"/>
      <c r="U232" s="1624"/>
      <c r="V232" s="1625" t="s">
        <v>709</v>
      </c>
      <c r="W232" s="1625"/>
      <c r="X232" s="1626"/>
      <c r="Y232" s="1627" t="s">
        <v>322</v>
      </c>
      <c r="Z232" s="1628"/>
      <c r="AA232" s="1533"/>
      <c r="AB232" s="1692" t="s">
        <v>455</v>
      </c>
      <c r="AC232" s="1693"/>
      <c r="AD232" s="1694"/>
      <c r="AE232" s="1695"/>
    </row>
    <row r="233" spans="14:31" ht="13.9" x14ac:dyDescent="0.4">
      <c r="N233" s="1071"/>
      <c r="O233" s="1629"/>
      <c r="P233" s="1102" t="s">
        <v>175</v>
      </c>
      <c r="Q233" s="1103"/>
      <c r="R233" s="1104" t="s">
        <v>202</v>
      </c>
      <c r="S233" s="1102" t="s">
        <v>344</v>
      </c>
      <c r="T233" s="1630" t="s">
        <v>68</v>
      </c>
      <c r="U233" s="1631" t="s">
        <v>52</v>
      </c>
      <c r="V233" s="415"/>
      <c r="W233" s="1632"/>
      <c r="X233" s="1633" t="s">
        <v>24</v>
      </c>
      <c r="Y233" s="1634"/>
      <c r="Z233" s="1635" t="s">
        <v>24</v>
      </c>
      <c r="AA233" s="1565"/>
      <c r="AB233" s="1696" t="s">
        <v>254</v>
      </c>
      <c r="AC233" s="1697"/>
      <c r="AD233" s="1698"/>
      <c r="AE233" s="1698"/>
    </row>
    <row r="234" spans="14:31" ht="13.9" x14ac:dyDescent="0.4">
      <c r="N234" s="1071"/>
      <c r="O234" s="1636"/>
      <c r="P234" s="380" t="s">
        <v>343</v>
      </c>
      <c r="Q234" s="378" t="s">
        <v>43</v>
      </c>
      <c r="R234" s="379" t="s">
        <v>203</v>
      </c>
      <c r="S234" s="380" t="s">
        <v>343</v>
      </c>
      <c r="T234" s="1637" t="s">
        <v>59</v>
      </c>
      <c r="U234" s="1638" t="s">
        <v>57</v>
      </c>
      <c r="V234" s="30" t="s">
        <v>36</v>
      </c>
      <c r="W234" s="23" t="s">
        <v>45</v>
      </c>
      <c r="X234" s="1639" t="s">
        <v>25</v>
      </c>
      <c r="Y234" s="30" t="s">
        <v>36</v>
      </c>
      <c r="Z234" s="1640" t="s">
        <v>25</v>
      </c>
      <c r="AA234" s="1071"/>
      <c r="AB234" s="30" t="s">
        <v>58</v>
      </c>
      <c r="AC234" s="1699" t="s">
        <v>58</v>
      </c>
      <c r="AD234" s="1700" t="s">
        <v>55</v>
      </c>
      <c r="AE234" s="1701" t="s">
        <v>966</v>
      </c>
    </row>
    <row r="235" spans="14:31" ht="14.25" thickBot="1" x14ac:dyDescent="0.45">
      <c r="N235" s="1071"/>
      <c r="O235" s="1641" t="s">
        <v>158</v>
      </c>
      <c r="P235" s="380" t="s">
        <v>342</v>
      </c>
      <c r="Q235" s="378" t="s">
        <v>44</v>
      </c>
      <c r="R235" s="379" t="s">
        <v>201</v>
      </c>
      <c r="S235" s="1642" t="s">
        <v>342</v>
      </c>
      <c r="T235" s="1643" t="s">
        <v>188</v>
      </c>
      <c r="U235" s="1644" t="s">
        <v>2</v>
      </c>
      <c r="V235" s="1645" t="s">
        <v>37</v>
      </c>
      <c r="W235" s="1646" t="s">
        <v>46</v>
      </c>
      <c r="X235" s="1646" t="s">
        <v>26</v>
      </c>
      <c r="Y235" s="1645" t="s">
        <v>37</v>
      </c>
      <c r="Z235" s="1647" t="s">
        <v>26</v>
      </c>
      <c r="AA235" s="1071"/>
      <c r="AB235" s="1645" t="s">
        <v>76</v>
      </c>
      <c r="AC235" s="1647" t="s">
        <v>77</v>
      </c>
      <c r="AD235" s="1702" t="s">
        <v>31</v>
      </c>
      <c r="AE235" s="1703" t="s">
        <v>312</v>
      </c>
    </row>
    <row r="236" spans="14:31" ht="13.9" x14ac:dyDescent="0.4">
      <c r="N236" s="1073">
        <f>IF($A$8=4,1,0)</f>
        <v>0</v>
      </c>
      <c r="O236" s="1106" t="s">
        <v>247</v>
      </c>
      <c r="P236" s="1528">
        <v>17200</v>
      </c>
      <c r="Q236" s="131">
        <v>19</v>
      </c>
      <c r="R236" s="975">
        <v>4</v>
      </c>
      <c r="S236" s="135">
        <v>308000</v>
      </c>
      <c r="T236" s="136">
        <v>4</v>
      </c>
      <c r="U236" s="137">
        <v>230</v>
      </c>
      <c r="V236" s="1648">
        <v>160</v>
      </c>
      <c r="W236" s="1649">
        <v>0.85</v>
      </c>
      <c r="X236" s="1650">
        <v>8</v>
      </c>
      <c r="Y236" s="1651">
        <v>600</v>
      </c>
      <c r="Z236" s="1652">
        <v>8</v>
      </c>
      <c r="AA236" s="1174">
        <f>IF(SUM(N236:N303)=1953,P231,0)</f>
        <v>0</v>
      </c>
      <c r="AB236" s="1107">
        <v>0.28999999999999998</v>
      </c>
      <c r="AC236" s="1704">
        <v>1.8</v>
      </c>
      <c r="AD236" s="1705">
        <v>1.04</v>
      </c>
      <c r="AE236" s="1706" t="s">
        <v>324</v>
      </c>
    </row>
    <row r="237" spans="14:31" ht="13.9" x14ac:dyDescent="0.4">
      <c r="N237" s="1073">
        <f t="shared" ref="N237:N276" si="24">IF($A$8=4,N236+1,0)</f>
        <v>0</v>
      </c>
      <c r="O237" s="1106" t="s">
        <v>974</v>
      </c>
      <c r="P237" s="1528">
        <v>20400</v>
      </c>
      <c r="Q237" s="132">
        <v>25</v>
      </c>
      <c r="R237" s="977">
        <v>4</v>
      </c>
      <c r="S237" s="138">
        <v>308000</v>
      </c>
      <c r="T237" s="139">
        <v>4</v>
      </c>
      <c r="U237" s="140">
        <v>230</v>
      </c>
      <c r="V237" s="1108">
        <v>160</v>
      </c>
      <c r="W237" s="1653">
        <v>0.85</v>
      </c>
      <c r="X237" s="1654">
        <v>8</v>
      </c>
      <c r="Y237" s="1655">
        <v>600</v>
      </c>
      <c r="Z237" s="1656">
        <v>8</v>
      </c>
      <c r="AA237" s="1071">
        <f>AA236</f>
        <v>0</v>
      </c>
      <c r="AB237" s="1107">
        <v>0.28999999999999998</v>
      </c>
      <c r="AC237" s="1704">
        <v>1.8</v>
      </c>
      <c r="AD237" s="1705">
        <v>1.04</v>
      </c>
      <c r="AE237" s="1706" t="s">
        <v>324</v>
      </c>
    </row>
    <row r="238" spans="14:31" ht="13.9" x14ac:dyDescent="0.4">
      <c r="N238" s="1073">
        <f t="shared" si="24"/>
        <v>0</v>
      </c>
      <c r="O238" s="1106" t="s">
        <v>975</v>
      </c>
      <c r="P238" s="1528">
        <v>14000</v>
      </c>
      <c r="Q238" s="132">
        <v>12</v>
      </c>
      <c r="R238" s="977">
        <v>4</v>
      </c>
      <c r="S238" s="138">
        <v>308000</v>
      </c>
      <c r="T238" s="139">
        <v>4</v>
      </c>
      <c r="U238" s="140">
        <v>230</v>
      </c>
      <c r="V238" s="1108">
        <v>160</v>
      </c>
      <c r="W238" s="1653">
        <v>0.85</v>
      </c>
      <c r="X238" s="1654">
        <v>8</v>
      </c>
      <c r="Y238" s="1655">
        <v>600</v>
      </c>
      <c r="Z238" s="1656">
        <v>8</v>
      </c>
      <c r="AA238" s="1071">
        <f t="shared" ref="AA238:AA249" si="25">AA237</f>
        <v>0</v>
      </c>
      <c r="AB238" s="1107">
        <v>0.28999999999999998</v>
      </c>
      <c r="AC238" s="1704">
        <v>1.8</v>
      </c>
      <c r="AD238" s="1705">
        <v>1.04</v>
      </c>
      <c r="AE238" s="1706" t="s">
        <v>324</v>
      </c>
    </row>
    <row r="239" spans="14:31" ht="13.9" x14ac:dyDescent="0.4">
      <c r="N239" s="1073">
        <f t="shared" si="24"/>
        <v>0</v>
      </c>
      <c r="O239" s="1106" t="s">
        <v>1009</v>
      </c>
      <c r="P239" s="1528">
        <v>55700</v>
      </c>
      <c r="Q239" s="132">
        <v>38</v>
      </c>
      <c r="R239" s="977">
        <v>4</v>
      </c>
      <c r="S239" s="138">
        <v>308000</v>
      </c>
      <c r="T239" s="139">
        <v>4</v>
      </c>
      <c r="U239" s="140">
        <v>230</v>
      </c>
      <c r="V239" s="1108">
        <v>160</v>
      </c>
      <c r="W239" s="1653">
        <v>0.85</v>
      </c>
      <c r="X239" s="1654">
        <v>8</v>
      </c>
      <c r="Y239" s="1655">
        <v>600</v>
      </c>
      <c r="Z239" s="1656">
        <v>8</v>
      </c>
      <c r="AA239" s="1071">
        <f t="shared" si="25"/>
        <v>0</v>
      </c>
      <c r="AB239" s="1107">
        <v>0.18</v>
      </c>
      <c r="AC239" s="1704">
        <v>1.7</v>
      </c>
      <c r="AD239" s="1705">
        <v>1.04</v>
      </c>
      <c r="AE239" s="1706" t="s">
        <v>324</v>
      </c>
    </row>
    <row r="240" spans="14:31" ht="13.9" x14ac:dyDescent="0.4">
      <c r="N240" s="1073">
        <f t="shared" si="24"/>
        <v>0</v>
      </c>
      <c r="O240" s="1106" t="s">
        <v>1008</v>
      </c>
      <c r="P240" s="1528">
        <v>35285</v>
      </c>
      <c r="Q240" s="132">
        <v>38</v>
      </c>
      <c r="R240" s="977">
        <v>4</v>
      </c>
      <c r="S240" s="138">
        <v>308000</v>
      </c>
      <c r="T240" s="139">
        <v>4</v>
      </c>
      <c r="U240" s="140">
        <v>230</v>
      </c>
      <c r="V240" s="1108">
        <v>160</v>
      </c>
      <c r="W240" s="1653">
        <v>0.85</v>
      </c>
      <c r="X240" s="1654">
        <v>8</v>
      </c>
      <c r="Y240" s="1655">
        <v>600</v>
      </c>
      <c r="Z240" s="1656">
        <v>8</v>
      </c>
      <c r="AA240" s="1071">
        <f t="shared" si="25"/>
        <v>0</v>
      </c>
      <c r="AB240" s="1107">
        <v>0.28999999999999998</v>
      </c>
      <c r="AC240" s="1704">
        <v>1.8</v>
      </c>
      <c r="AD240" s="1705">
        <v>1.04</v>
      </c>
      <c r="AE240" s="1706" t="s">
        <v>324</v>
      </c>
    </row>
    <row r="241" spans="14:31" ht="13.9" x14ac:dyDescent="0.4">
      <c r="N241" s="1073">
        <f t="shared" si="24"/>
        <v>0</v>
      </c>
      <c r="O241" s="1107" t="s">
        <v>255</v>
      </c>
      <c r="P241" s="1528">
        <v>75000</v>
      </c>
      <c r="Q241" s="132">
        <v>32</v>
      </c>
      <c r="R241" s="977">
        <v>5.5</v>
      </c>
      <c r="S241" s="138">
        <v>308000</v>
      </c>
      <c r="T241" s="139">
        <v>4</v>
      </c>
      <c r="U241" s="140">
        <v>230</v>
      </c>
      <c r="V241" s="1108">
        <v>160</v>
      </c>
      <c r="W241" s="1653">
        <v>0.85</v>
      </c>
      <c r="X241" s="1654">
        <v>8</v>
      </c>
      <c r="Y241" s="1655">
        <v>600</v>
      </c>
      <c r="Z241" s="1656">
        <v>8</v>
      </c>
      <c r="AA241" s="1071">
        <f t="shared" si="25"/>
        <v>0</v>
      </c>
      <c r="AB241" s="1107">
        <v>0.18</v>
      </c>
      <c r="AC241" s="1704">
        <v>1.7</v>
      </c>
      <c r="AD241" s="1705">
        <v>1.04</v>
      </c>
      <c r="AE241" s="1706" t="s">
        <v>324</v>
      </c>
    </row>
    <row r="242" spans="14:31" ht="13.9" x14ac:dyDescent="0.4">
      <c r="N242" s="1073">
        <f t="shared" si="24"/>
        <v>0</v>
      </c>
      <c r="O242" s="1107" t="s">
        <v>146</v>
      </c>
      <c r="P242" s="1528">
        <v>51700</v>
      </c>
      <c r="Q242" s="132">
        <v>38</v>
      </c>
      <c r="R242" s="977">
        <v>4.5</v>
      </c>
      <c r="S242" s="138">
        <v>308000</v>
      </c>
      <c r="T242" s="139">
        <v>4</v>
      </c>
      <c r="U242" s="140">
        <v>230</v>
      </c>
      <c r="V242" s="1108">
        <v>160</v>
      </c>
      <c r="W242" s="1653">
        <v>0.8</v>
      </c>
      <c r="X242" s="1654">
        <v>8</v>
      </c>
      <c r="Y242" s="1655">
        <v>600</v>
      </c>
      <c r="Z242" s="1656">
        <v>8</v>
      </c>
      <c r="AA242" s="1071">
        <f t="shared" si="25"/>
        <v>0</v>
      </c>
      <c r="AB242" s="1107">
        <v>0.18</v>
      </c>
      <c r="AC242" s="1704">
        <v>1.7</v>
      </c>
      <c r="AD242" s="1705">
        <v>1.04</v>
      </c>
      <c r="AE242" s="1706" t="s">
        <v>324</v>
      </c>
    </row>
    <row r="243" spans="14:31" ht="13.9" x14ac:dyDescent="0.4">
      <c r="N243" s="1073">
        <f t="shared" si="24"/>
        <v>0</v>
      </c>
      <c r="O243" s="1107" t="s">
        <v>147</v>
      </c>
      <c r="P243" s="1528">
        <v>48400</v>
      </c>
      <c r="Q243" s="132">
        <v>32</v>
      </c>
      <c r="R243" s="977">
        <v>5</v>
      </c>
      <c r="S243" s="138">
        <v>308000</v>
      </c>
      <c r="T243" s="139">
        <v>4</v>
      </c>
      <c r="U243" s="140">
        <v>230</v>
      </c>
      <c r="V243" s="1108">
        <v>160</v>
      </c>
      <c r="W243" s="1653">
        <v>0.85</v>
      </c>
      <c r="X243" s="1654">
        <v>8</v>
      </c>
      <c r="Y243" s="1655">
        <v>600</v>
      </c>
      <c r="Z243" s="1656">
        <v>8</v>
      </c>
      <c r="AA243" s="1071">
        <f t="shared" si="25"/>
        <v>0</v>
      </c>
      <c r="AB243" s="1107">
        <v>0.28000000000000003</v>
      </c>
      <c r="AC243" s="1704">
        <v>1.4</v>
      </c>
      <c r="AD243" s="1705">
        <v>1.04</v>
      </c>
      <c r="AE243" s="1706" t="s">
        <v>324</v>
      </c>
    </row>
    <row r="244" spans="14:31" ht="13.9" x14ac:dyDescent="0.4">
      <c r="N244" s="1073">
        <f t="shared" si="24"/>
        <v>0</v>
      </c>
      <c r="O244" s="1107" t="s">
        <v>236</v>
      </c>
      <c r="P244" s="1528">
        <v>41785</v>
      </c>
      <c r="Q244" s="132">
        <v>40</v>
      </c>
      <c r="R244" s="977">
        <v>7</v>
      </c>
      <c r="S244" s="138">
        <v>248000</v>
      </c>
      <c r="T244" s="139">
        <v>4</v>
      </c>
      <c r="U244" s="140">
        <v>195</v>
      </c>
      <c r="V244" s="1108">
        <v>160</v>
      </c>
      <c r="W244" s="1653">
        <v>0.85</v>
      </c>
      <c r="X244" s="1654">
        <v>8</v>
      </c>
      <c r="Y244" s="1655">
        <v>600</v>
      </c>
      <c r="Z244" s="1656">
        <v>8</v>
      </c>
      <c r="AA244" s="1071">
        <f t="shared" si="25"/>
        <v>0</v>
      </c>
      <c r="AB244" s="1107">
        <v>0.27</v>
      </c>
      <c r="AC244" s="1704">
        <v>1.4</v>
      </c>
      <c r="AD244" s="1705">
        <v>1.04</v>
      </c>
      <c r="AE244" s="1706" t="s">
        <v>324</v>
      </c>
    </row>
    <row r="245" spans="14:31" ht="13.9" x14ac:dyDescent="0.4">
      <c r="N245" s="1073">
        <f t="shared" si="24"/>
        <v>0</v>
      </c>
      <c r="O245" s="1107" t="s">
        <v>148</v>
      </c>
      <c r="P245" s="1528">
        <v>21800</v>
      </c>
      <c r="Q245" s="132">
        <v>38</v>
      </c>
      <c r="R245" s="977">
        <v>6</v>
      </c>
      <c r="S245" s="138">
        <v>308000</v>
      </c>
      <c r="T245" s="139">
        <v>4</v>
      </c>
      <c r="U245" s="140">
        <v>230</v>
      </c>
      <c r="V245" s="1108">
        <v>120</v>
      </c>
      <c r="W245" s="1653">
        <v>0.85</v>
      </c>
      <c r="X245" s="1654">
        <v>8</v>
      </c>
      <c r="Y245" s="1655">
        <v>600</v>
      </c>
      <c r="Z245" s="1656">
        <v>8</v>
      </c>
      <c r="AA245" s="1071">
        <f t="shared" si="25"/>
        <v>0</v>
      </c>
      <c r="AB245" s="1107">
        <v>0.16</v>
      </c>
      <c r="AC245" s="1704">
        <v>1.3</v>
      </c>
      <c r="AD245" s="1705">
        <v>1.04</v>
      </c>
      <c r="AE245" s="1706" t="s">
        <v>325</v>
      </c>
    </row>
    <row r="246" spans="14:31" ht="13.9" x14ac:dyDescent="0.4">
      <c r="N246" s="1073">
        <f t="shared" si="24"/>
        <v>0</v>
      </c>
      <c r="O246" s="1107" t="s">
        <v>246</v>
      </c>
      <c r="P246" s="1528">
        <v>32500</v>
      </c>
      <c r="Q246" s="132">
        <v>38</v>
      </c>
      <c r="R246" s="977">
        <v>5</v>
      </c>
      <c r="S246" s="138">
        <v>308000</v>
      </c>
      <c r="T246" s="139">
        <v>4</v>
      </c>
      <c r="U246" s="140">
        <v>230</v>
      </c>
      <c r="V246" s="1108">
        <v>120</v>
      </c>
      <c r="W246" s="1653">
        <v>0.85</v>
      </c>
      <c r="X246" s="1654">
        <v>8</v>
      </c>
      <c r="Y246" s="1655">
        <v>600</v>
      </c>
      <c r="Z246" s="1656">
        <v>8</v>
      </c>
      <c r="AA246" s="1071">
        <f t="shared" si="25"/>
        <v>0</v>
      </c>
      <c r="AB246" s="1107">
        <v>0.16</v>
      </c>
      <c r="AC246" s="1704">
        <v>1.3</v>
      </c>
      <c r="AD246" s="1705">
        <v>1.04</v>
      </c>
      <c r="AE246" s="1706" t="s">
        <v>324</v>
      </c>
    </row>
    <row r="247" spans="14:31" ht="13.9" x14ac:dyDescent="0.4">
      <c r="N247" s="1073">
        <f t="shared" si="24"/>
        <v>0</v>
      </c>
      <c r="O247" s="1107" t="s">
        <v>149</v>
      </c>
      <c r="P247" s="1528">
        <v>7800</v>
      </c>
      <c r="Q247" s="1918">
        <v>1</v>
      </c>
      <c r="R247" s="1721">
        <v>10</v>
      </c>
      <c r="S247" s="138">
        <v>148000</v>
      </c>
      <c r="T247" s="139">
        <v>4</v>
      </c>
      <c r="U247" s="140">
        <v>175</v>
      </c>
      <c r="V247" s="1108">
        <v>50</v>
      </c>
      <c r="W247" s="1653">
        <v>0.95</v>
      </c>
      <c r="X247" s="1654">
        <v>8</v>
      </c>
      <c r="Y247" s="1655">
        <v>600</v>
      </c>
      <c r="Z247" s="1656">
        <v>8</v>
      </c>
      <c r="AA247" s="1071">
        <f t="shared" si="25"/>
        <v>0</v>
      </c>
      <c r="AB247" s="1107">
        <v>0.28000000000000003</v>
      </c>
      <c r="AC247" s="1704">
        <v>1.4</v>
      </c>
      <c r="AD247" s="1705">
        <v>1.04</v>
      </c>
      <c r="AE247" s="1706" t="s">
        <v>324</v>
      </c>
    </row>
    <row r="248" spans="14:31" ht="13.9" x14ac:dyDescent="0.4">
      <c r="N248" s="1073">
        <f t="shared" si="24"/>
        <v>0</v>
      </c>
      <c r="O248" s="1107" t="s">
        <v>959</v>
      </c>
      <c r="P248" s="1528">
        <v>92900</v>
      </c>
      <c r="Q248" s="132">
        <v>30</v>
      </c>
      <c r="R248" s="133">
        <v>7</v>
      </c>
      <c r="S248" s="138">
        <v>308000</v>
      </c>
      <c r="T248" s="139">
        <v>4</v>
      </c>
      <c r="U248" s="140">
        <v>230</v>
      </c>
      <c r="V248" s="1108">
        <v>160</v>
      </c>
      <c r="W248" s="1653">
        <v>0.8</v>
      </c>
      <c r="X248" s="1654">
        <v>8</v>
      </c>
      <c r="Y248" s="1655">
        <v>600</v>
      </c>
      <c r="Z248" s="1656">
        <v>8</v>
      </c>
      <c r="AA248" s="1071">
        <f t="shared" si="25"/>
        <v>0</v>
      </c>
      <c r="AB248" s="1107">
        <v>0.23</v>
      </c>
      <c r="AC248" s="1704">
        <v>1.4</v>
      </c>
      <c r="AD248" s="1705">
        <v>1.04</v>
      </c>
      <c r="AE248" s="1706" t="s">
        <v>324</v>
      </c>
    </row>
    <row r="249" spans="14:31" ht="13.9" x14ac:dyDescent="0.4">
      <c r="N249" s="1073">
        <f t="shared" si="24"/>
        <v>0</v>
      </c>
      <c r="O249" s="1107" t="s">
        <v>350</v>
      </c>
      <c r="P249" s="1528">
        <v>34900</v>
      </c>
      <c r="Q249" s="132">
        <v>45</v>
      </c>
      <c r="R249" s="133">
        <v>7</v>
      </c>
      <c r="S249" s="138">
        <v>308000</v>
      </c>
      <c r="T249" s="139">
        <v>4</v>
      </c>
      <c r="U249" s="140">
        <v>230</v>
      </c>
      <c r="V249" s="1108">
        <v>120</v>
      </c>
      <c r="W249" s="1653">
        <v>0.8</v>
      </c>
      <c r="X249" s="1654">
        <v>8</v>
      </c>
      <c r="Y249" s="1655">
        <v>600</v>
      </c>
      <c r="Z249" s="1656">
        <v>8</v>
      </c>
      <c r="AA249" s="1071">
        <f t="shared" si="25"/>
        <v>0</v>
      </c>
      <c r="AB249" s="1107">
        <v>0.23</v>
      </c>
      <c r="AC249" s="1704">
        <v>1.4</v>
      </c>
      <c r="AD249" s="1705">
        <v>1.04</v>
      </c>
      <c r="AE249" s="1706" t="s">
        <v>324</v>
      </c>
    </row>
    <row r="250" spans="14:31" ht="13.9" x14ac:dyDescent="0.4">
      <c r="N250" s="1073">
        <f t="shared" si="24"/>
        <v>0</v>
      </c>
      <c r="O250" s="1107" t="s">
        <v>83</v>
      </c>
      <c r="P250" s="1528">
        <v>76800</v>
      </c>
      <c r="Q250" s="132">
        <v>42</v>
      </c>
      <c r="R250" s="133">
        <v>7</v>
      </c>
      <c r="S250" s="138">
        <v>308000</v>
      </c>
      <c r="T250" s="139">
        <v>4</v>
      </c>
      <c r="U250" s="140">
        <v>230</v>
      </c>
      <c r="V250" s="1108">
        <v>160</v>
      </c>
      <c r="W250" s="1653">
        <v>0.85</v>
      </c>
      <c r="X250" s="1654">
        <v>8</v>
      </c>
      <c r="Y250" s="1655">
        <v>600</v>
      </c>
      <c r="Z250" s="1656">
        <v>8</v>
      </c>
      <c r="AA250" s="1071">
        <f>AA236</f>
        <v>0</v>
      </c>
      <c r="AB250" s="1107">
        <v>0.27</v>
      </c>
      <c r="AC250" s="1704">
        <v>1.4</v>
      </c>
      <c r="AD250" s="1705">
        <v>1.04</v>
      </c>
      <c r="AE250" s="1706" t="s">
        <v>324</v>
      </c>
    </row>
    <row r="251" spans="14:31" ht="13.9" x14ac:dyDescent="0.4">
      <c r="N251" s="1073">
        <f t="shared" si="24"/>
        <v>0</v>
      </c>
      <c r="O251" s="1107" t="s">
        <v>965</v>
      </c>
      <c r="P251" s="1528">
        <v>29200</v>
      </c>
      <c r="Q251" s="132">
        <v>38</v>
      </c>
      <c r="R251" s="133">
        <v>7</v>
      </c>
      <c r="S251" s="138">
        <v>308000</v>
      </c>
      <c r="T251" s="139">
        <v>4</v>
      </c>
      <c r="U251" s="140">
        <v>230</v>
      </c>
      <c r="V251" s="1108">
        <v>120</v>
      </c>
      <c r="W251" s="1653">
        <v>0.8</v>
      </c>
      <c r="X251" s="1654">
        <v>8</v>
      </c>
      <c r="Y251" s="1655">
        <v>600</v>
      </c>
      <c r="Z251" s="1656">
        <v>8</v>
      </c>
      <c r="AA251" s="1071">
        <f>AA250</f>
        <v>0</v>
      </c>
      <c r="AB251" s="1107">
        <v>0.17</v>
      </c>
      <c r="AC251" s="1704">
        <v>2.2000000000000002</v>
      </c>
      <c r="AD251" s="1705">
        <v>1.04</v>
      </c>
      <c r="AE251" s="1706" t="s">
        <v>324</v>
      </c>
    </row>
    <row r="252" spans="14:31" ht="13.9" x14ac:dyDescent="0.4">
      <c r="N252" s="1073">
        <f t="shared" si="24"/>
        <v>0</v>
      </c>
      <c r="O252" s="1107" t="s">
        <v>408</v>
      </c>
      <c r="P252" s="1528">
        <v>13000</v>
      </c>
      <c r="Q252" s="132">
        <v>60</v>
      </c>
      <c r="R252" s="133">
        <v>12</v>
      </c>
      <c r="S252" s="138">
        <v>148000</v>
      </c>
      <c r="T252" s="139">
        <v>4</v>
      </c>
      <c r="U252" s="140">
        <v>175</v>
      </c>
      <c r="V252" s="1108">
        <v>120</v>
      </c>
      <c r="W252" s="1653">
        <v>0.65</v>
      </c>
      <c r="X252" s="1654">
        <v>8</v>
      </c>
      <c r="Y252" s="1655">
        <v>600</v>
      </c>
      <c r="Z252" s="1656">
        <v>8</v>
      </c>
      <c r="AA252" s="1071">
        <f t="shared" ref="AA252:AA259" si="26">AA251</f>
        <v>0</v>
      </c>
      <c r="AB252" s="1107">
        <v>0.41</v>
      </c>
      <c r="AC252" s="1704">
        <v>1.3</v>
      </c>
      <c r="AD252" s="1705">
        <v>1.04</v>
      </c>
      <c r="AE252" s="1706" t="s">
        <v>326</v>
      </c>
    </row>
    <row r="253" spans="14:31" ht="13.9" x14ac:dyDescent="0.4">
      <c r="N253" s="1073">
        <f t="shared" si="24"/>
        <v>0</v>
      </c>
      <c r="O253" s="1107" t="s">
        <v>409</v>
      </c>
      <c r="P253" s="1528">
        <v>17000</v>
      </c>
      <c r="Q253" s="132">
        <v>38</v>
      </c>
      <c r="R253" s="133">
        <v>12</v>
      </c>
      <c r="S253" s="138">
        <v>148000</v>
      </c>
      <c r="T253" s="139">
        <v>4</v>
      </c>
      <c r="U253" s="140">
        <v>175</v>
      </c>
      <c r="V253" s="1108">
        <v>120</v>
      </c>
      <c r="W253" s="1653">
        <v>0.65</v>
      </c>
      <c r="X253" s="1654">
        <v>8</v>
      </c>
      <c r="Y253" s="1655">
        <v>600</v>
      </c>
      <c r="Z253" s="1656">
        <v>8</v>
      </c>
      <c r="AA253" s="1071">
        <f t="shared" si="26"/>
        <v>0</v>
      </c>
      <c r="AB253" s="1107">
        <v>0.41</v>
      </c>
      <c r="AC253" s="1704">
        <v>1.3</v>
      </c>
      <c r="AD253" s="1705">
        <v>1.04</v>
      </c>
      <c r="AE253" s="1706" t="s">
        <v>326</v>
      </c>
    </row>
    <row r="254" spans="14:31" ht="13.9" x14ac:dyDescent="0.4">
      <c r="N254" s="1073">
        <f t="shared" si="24"/>
        <v>0</v>
      </c>
      <c r="O254" s="1107" t="s">
        <v>133</v>
      </c>
      <c r="P254" s="1528">
        <v>8333</v>
      </c>
      <c r="Q254" s="132">
        <v>17</v>
      </c>
      <c r="R254" s="133">
        <v>8.5</v>
      </c>
      <c r="S254" s="138">
        <v>248000</v>
      </c>
      <c r="T254" s="139">
        <v>4</v>
      </c>
      <c r="U254" s="140">
        <v>195</v>
      </c>
      <c r="V254" s="1108">
        <v>160</v>
      </c>
      <c r="W254" s="1653">
        <v>0.85</v>
      </c>
      <c r="X254" s="1654">
        <v>8</v>
      </c>
      <c r="Y254" s="1655">
        <v>600</v>
      </c>
      <c r="Z254" s="1656">
        <v>8</v>
      </c>
      <c r="AA254" s="1071">
        <f t="shared" si="26"/>
        <v>0</v>
      </c>
      <c r="AB254" s="1107">
        <v>0.16</v>
      </c>
      <c r="AC254" s="1704">
        <v>1.3</v>
      </c>
      <c r="AD254" s="1705">
        <v>1.04</v>
      </c>
      <c r="AE254" s="1706" t="s">
        <v>325</v>
      </c>
    </row>
    <row r="255" spans="14:31" ht="13.9" x14ac:dyDescent="0.4">
      <c r="N255" s="1073">
        <f t="shared" si="24"/>
        <v>0</v>
      </c>
      <c r="O255" s="1107" t="s">
        <v>410</v>
      </c>
      <c r="P255" s="1528">
        <v>13733</v>
      </c>
      <c r="Q255" s="132">
        <v>30</v>
      </c>
      <c r="R255" s="133">
        <v>10</v>
      </c>
      <c r="S255" s="138">
        <v>248000</v>
      </c>
      <c r="T255" s="139">
        <v>4</v>
      </c>
      <c r="U255" s="140">
        <v>195</v>
      </c>
      <c r="V255" s="1108">
        <v>100</v>
      </c>
      <c r="W255" s="1653">
        <v>0.7</v>
      </c>
      <c r="X255" s="1654">
        <v>8</v>
      </c>
      <c r="Y255" s="1655">
        <v>600</v>
      </c>
      <c r="Z255" s="1656">
        <v>8</v>
      </c>
      <c r="AA255" s="1071">
        <f t="shared" si="26"/>
        <v>0</v>
      </c>
      <c r="AB255" s="1107">
        <v>0.63</v>
      </c>
      <c r="AC255" s="1704">
        <v>1.3</v>
      </c>
      <c r="AD255" s="1705">
        <v>1.33</v>
      </c>
      <c r="AE255" s="1706" t="s">
        <v>327</v>
      </c>
    </row>
    <row r="256" spans="14:31" ht="13.9" x14ac:dyDescent="0.4">
      <c r="N256" s="1073">
        <f t="shared" si="24"/>
        <v>0</v>
      </c>
      <c r="O256" s="1107" t="s">
        <v>162</v>
      </c>
      <c r="P256" s="1528">
        <v>25700</v>
      </c>
      <c r="Q256" s="132">
        <v>38</v>
      </c>
      <c r="R256" s="133">
        <v>7</v>
      </c>
      <c r="S256" s="138">
        <v>308000</v>
      </c>
      <c r="T256" s="139">
        <v>4</v>
      </c>
      <c r="U256" s="140">
        <v>230</v>
      </c>
      <c r="V256" s="1108">
        <v>160</v>
      </c>
      <c r="W256" s="1653">
        <v>0.85</v>
      </c>
      <c r="X256" s="1654">
        <v>8</v>
      </c>
      <c r="Y256" s="1655">
        <v>600</v>
      </c>
      <c r="Z256" s="1656">
        <v>8</v>
      </c>
      <c r="AA256" s="1071">
        <f t="shared" si="26"/>
        <v>0</v>
      </c>
      <c r="AB256" s="1107">
        <v>0.27</v>
      </c>
      <c r="AC256" s="1704">
        <v>1.4</v>
      </c>
      <c r="AD256" s="1705">
        <v>1.04</v>
      </c>
      <c r="AE256" s="1706" t="s">
        <v>325</v>
      </c>
    </row>
    <row r="257" spans="14:31" ht="13.9" x14ac:dyDescent="0.4">
      <c r="N257" s="1073">
        <f t="shared" si="24"/>
        <v>0</v>
      </c>
      <c r="O257" s="1107" t="s">
        <v>84</v>
      </c>
      <c r="P257" s="1528">
        <v>90000</v>
      </c>
      <c r="Q257" s="132">
        <v>36</v>
      </c>
      <c r="R257" s="133">
        <v>6</v>
      </c>
      <c r="S257" s="138">
        <v>248000</v>
      </c>
      <c r="T257" s="139">
        <v>4</v>
      </c>
      <c r="U257" s="140">
        <v>195</v>
      </c>
      <c r="V257" s="1108">
        <v>160</v>
      </c>
      <c r="W257" s="1653">
        <v>0.65</v>
      </c>
      <c r="X257" s="1654">
        <v>8</v>
      </c>
      <c r="Y257" s="1655">
        <v>600</v>
      </c>
      <c r="Z257" s="1656">
        <v>8</v>
      </c>
      <c r="AA257" s="1071">
        <f t="shared" si="26"/>
        <v>0</v>
      </c>
      <c r="AB257" s="1107">
        <v>0.32</v>
      </c>
      <c r="AC257" s="1704">
        <v>2.1</v>
      </c>
      <c r="AD257" s="1705">
        <v>1.1599999999999999</v>
      </c>
      <c r="AE257" s="1706" t="s">
        <v>328</v>
      </c>
    </row>
    <row r="258" spans="14:31" ht="13.9" x14ac:dyDescent="0.4">
      <c r="N258" s="1073">
        <f t="shared" si="24"/>
        <v>0</v>
      </c>
      <c r="O258" s="1107" t="s">
        <v>132</v>
      </c>
      <c r="P258" s="1528">
        <v>150000</v>
      </c>
      <c r="Q258" s="132">
        <v>36</v>
      </c>
      <c r="R258" s="133">
        <v>6</v>
      </c>
      <c r="S258" s="138">
        <v>308000</v>
      </c>
      <c r="T258" s="139">
        <v>4</v>
      </c>
      <c r="U258" s="140">
        <v>230</v>
      </c>
      <c r="V258" s="1108">
        <v>160</v>
      </c>
      <c r="W258" s="1653">
        <v>0.65</v>
      </c>
      <c r="X258" s="1654">
        <v>8</v>
      </c>
      <c r="Y258" s="1655">
        <v>600</v>
      </c>
      <c r="Z258" s="1656">
        <v>8</v>
      </c>
      <c r="AA258" s="1071">
        <f t="shared" si="26"/>
        <v>0</v>
      </c>
      <c r="AB258" s="1107">
        <v>0.32</v>
      </c>
      <c r="AC258" s="1704">
        <v>2.1</v>
      </c>
      <c r="AD258" s="1705">
        <v>1.1599999999999999</v>
      </c>
      <c r="AE258" s="1706" t="s">
        <v>328</v>
      </c>
    </row>
    <row r="259" spans="14:31" ht="13.9" x14ac:dyDescent="0.4">
      <c r="N259" s="1073">
        <f t="shared" si="24"/>
        <v>0</v>
      </c>
      <c r="O259" s="1107" t="s">
        <v>1004</v>
      </c>
      <c r="P259" s="1528">
        <v>106000</v>
      </c>
      <c r="Q259" s="132">
        <v>30</v>
      </c>
      <c r="R259" s="133">
        <v>5.5</v>
      </c>
      <c r="S259" s="138">
        <v>308000</v>
      </c>
      <c r="T259" s="139">
        <v>4</v>
      </c>
      <c r="U259" s="140">
        <v>230</v>
      </c>
      <c r="V259" s="1108">
        <v>160</v>
      </c>
      <c r="W259" s="1653">
        <v>0.7</v>
      </c>
      <c r="X259" s="1654">
        <v>8</v>
      </c>
      <c r="Y259" s="1655">
        <v>600</v>
      </c>
      <c r="Z259" s="1656">
        <v>8</v>
      </c>
      <c r="AA259" s="1071">
        <f t="shared" si="26"/>
        <v>0</v>
      </c>
      <c r="AB259" s="1107">
        <v>0.32</v>
      </c>
      <c r="AC259" s="1704">
        <v>2.1</v>
      </c>
      <c r="AD259" s="1705">
        <v>1.1100000000000001</v>
      </c>
      <c r="AE259" s="1706" t="s">
        <v>328</v>
      </c>
    </row>
    <row r="260" spans="14:31" ht="13.9" x14ac:dyDescent="0.4">
      <c r="N260" s="1073">
        <f t="shared" si="24"/>
        <v>0</v>
      </c>
      <c r="O260" s="1108" t="s">
        <v>1005</v>
      </c>
      <c r="P260" s="1528">
        <v>208000</v>
      </c>
      <c r="Q260" s="132">
        <v>42</v>
      </c>
      <c r="R260" s="133">
        <v>7</v>
      </c>
      <c r="S260" s="138">
        <v>308000</v>
      </c>
      <c r="T260" s="139">
        <v>4</v>
      </c>
      <c r="U260" s="140">
        <v>230</v>
      </c>
      <c r="V260" s="1108">
        <v>160</v>
      </c>
      <c r="W260" s="1653">
        <v>0.7</v>
      </c>
      <c r="X260" s="1654">
        <v>8</v>
      </c>
      <c r="Y260" s="1655">
        <v>600</v>
      </c>
      <c r="Z260" s="1656">
        <v>8</v>
      </c>
      <c r="AA260" s="1071">
        <f t="shared" ref="AA260:AA270" si="27">AA259</f>
        <v>0</v>
      </c>
      <c r="AB260" s="1107">
        <v>0.32</v>
      </c>
      <c r="AC260" s="1704">
        <v>2.1</v>
      </c>
      <c r="AD260" s="1705">
        <v>1.1100000000000001</v>
      </c>
      <c r="AE260" s="1706" t="s">
        <v>328</v>
      </c>
    </row>
    <row r="261" spans="14:31" ht="13.9" x14ac:dyDescent="0.4">
      <c r="N261" s="1073">
        <f t="shared" si="24"/>
        <v>0</v>
      </c>
      <c r="O261" s="1108" t="s">
        <v>239</v>
      </c>
      <c r="P261" s="1528">
        <v>19500</v>
      </c>
      <c r="Q261" s="132">
        <v>38</v>
      </c>
      <c r="R261" s="133">
        <v>10</v>
      </c>
      <c r="S261" s="138">
        <v>308000</v>
      </c>
      <c r="T261" s="139">
        <v>4</v>
      </c>
      <c r="U261" s="140">
        <v>230</v>
      </c>
      <c r="V261" s="1108">
        <v>120</v>
      </c>
      <c r="W261" s="1653">
        <v>0.65</v>
      </c>
      <c r="X261" s="1654">
        <v>8</v>
      </c>
      <c r="Y261" s="1655">
        <v>600</v>
      </c>
      <c r="Z261" s="1656">
        <v>8</v>
      </c>
      <c r="AA261" s="1071">
        <f t="shared" si="27"/>
        <v>0</v>
      </c>
      <c r="AB261" s="1107">
        <v>0.41</v>
      </c>
      <c r="AC261" s="1704">
        <v>1.3</v>
      </c>
      <c r="AD261" s="1705">
        <v>1.33</v>
      </c>
      <c r="AE261" s="1706" t="s">
        <v>326</v>
      </c>
    </row>
    <row r="262" spans="14:31" ht="13.9" x14ac:dyDescent="0.4">
      <c r="N262" s="1073">
        <f t="shared" si="24"/>
        <v>0</v>
      </c>
      <c r="O262" s="1108" t="s">
        <v>960</v>
      </c>
      <c r="P262" s="1528">
        <v>46000</v>
      </c>
      <c r="Q262" s="132">
        <v>38</v>
      </c>
      <c r="R262" s="133">
        <v>7</v>
      </c>
      <c r="S262" s="138">
        <v>308000</v>
      </c>
      <c r="T262" s="139">
        <v>4</v>
      </c>
      <c r="U262" s="140">
        <v>230</v>
      </c>
      <c r="V262" s="1108">
        <v>120</v>
      </c>
      <c r="W262" s="1653">
        <v>0.65</v>
      </c>
      <c r="X262" s="1654">
        <v>8</v>
      </c>
      <c r="Y262" s="1655">
        <v>600</v>
      </c>
      <c r="Z262" s="1656">
        <v>8</v>
      </c>
      <c r="AA262" s="1071">
        <f t="shared" si="27"/>
        <v>0</v>
      </c>
      <c r="AB262" s="1107">
        <v>0.41</v>
      </c>
      <c r="AC262" s="1704">
        <v>1.3</v>
      </c>
      <c r="AD262" s="1705">
        <v>1.33</v>
      </c>
      <c r="AE262" s="1706" t="s">
        <v>324</v>
      </c>
    </row>
    <row r="263" spans="14:31" ht="13.9" x14ac:dyDescent="0.4">
      <c r="N263" s="1073">
        <f t="shared" si="24"/>
        <v>0</v>
      </c>
      <c r="O263" s="1108" t="s">
        <v>190</v>
      </c>
      <c r="P263" s="1528">
        <v>8100</v>
      </c>
      <c r="Q263" s="1918">
        <v>1</v>
      </c>
      <c r="R263" s="1721">
        <v>2.5</v>
      </c>
      <c r="S263" s="138">
        <v>148000</v>
      </c>
      <c r="T263" s="139">
        <v>4</v>
      </c>
      <c r="U263" s="140">
        <v>175</v>
      </c>
      <c r="V263" s="1108">
        <v>25</v>
      </c>
      <c r="W263" s="1653">
        <v>0.95</v>
      </c>
      <c r="X263" s="1654">
        <v>8</v>
      </c>
      <c r="Y263" s="1655">
        <v>600</v>
      </c>
      <c r="Z263" s="1656">
        <v>8</v>
      </c>
      <c r="AA263" s="1071">
        <f t="shared" si="27"/>
        <v>0</v>
      </c>
      <c r="AB263" s="1107">
        <v>0.16</v>
      </c>
      <c r="AC263" s="1704">
        <v>1.3</v>
      </c>
      <c r="AD263" s="1705">
        <v>3.12</v>
      </c>
      <c r="AE263" s="1706" t="s">
        <v>327</v>
      </c>
    </row>
    <row r="264" spans="14:31" ht="13.9" x14ac:dyDescent="0.4">
      <c r="N264" s="1073">
        <f t="shared" si="24"/>
        <v>0</v>
      </c>
      <c r="O264" s="1108" t="s">
        <v>89</v>
      </c>
      <c r="P264" s="1528">
        <v>25100</v>
      </c>
      <c r="Q264" s="132">
        <v>38</v>
      </c>
      <c r="R264" s="133">
        <v>7</v>
      </c>
      <c r="S264" s="138">
        <v>148000</v>
      </c>
      <c r="T264" s="139">
        <v>4</v>
      </c>
      <c r="U264" s="140">
        <v>175</v>
      </c>
      <c r="V264" s="1108">
        <v>120</v>
      </c>
      <c r="W264" s="1653">
        <v>0.65</v>
      </c>
      <c r="X264" s="1654">
        <v>8</v>
      </c>
      <c r="Y264" s="1655">
        <v>600</v>
      </c>
      <c r="Z264" s="1656">
        <v>8</v>
      </c>
      <c r="AA264" s="1071">
        <f t="shared" si="27"/>
        <v>0</v>
      </c>
      <c r="AB264" s="1107">
        <v>0.41</v>
      </c>
      <c r="AC264" s="1704">
        <v>1.3</v>
      </c>
      <c r="AD264" s="1705">
        <v>1.04</v>
      </c>
      <c r="AE264" s="1706" t="s">
        <v>326</v>
      </c>
    </row>
    <row r="265" spans="14:31" ht="13.9" x14ac:dyDescent="0.4">
      <c r="N265" s="1073">
        <f t="shared" si="24"/>
        <v>0</v>
      </c>
      <c r="O265" s="1108" t="s">
        <v>152</v>
      </c>
      <c r="P265" s="1528">
        <v>8760</v>
      </c>
      <c r="Q265" s="1918">
        <v>1</v>
      </c>
      <c r="R265" s="1721">
        <v>2.5</v>
      </c>
      <c r="S265" s="138">
        <v>148000</v>
      </c>
      <c r="T265" s="139">
        <v>4</v>
      </c>
      <c r="U265" s="140">
        <v>175</v>
      </c>
      <c r="V265" s="1108">
        <v>100</v>
      </c>
      <c r="W265" s="1653">
        <v>0.25</v>
      </c>
      <c r="X265" s="1654">
        <v>8</v>
      </c>
      <c r="Y265" s="1655">
        <v>600</v>
      </c>
      <c r="Z265" s="1656">
        <v>8</v>
      </c>
      <c r="AA265" s="1071">
        <f t="shared" si="27"/>
        <v>0</v>
      </c>
      <c r="AB265" s="1107">
        <v>0.28000000000000003</v>
      </c>
      <c r="AC265" s="1704">
        <v>1.4</v>
      </c>
      <c r="AD265" s="1705">
        <v>1.04</v>
      </c>
      <c r="AE265" s="1706" t="s">
        <v>324</v>
      </c>
    </row>
    <row r="266" spans="14:31" ht="13.9" x14ac:dyDescent="0.4">
      <c r="N266" s="1073">
        <f t="shared" si="24"/>
        <v>0</v>
      </c>
      <c r="O266" s="1108" t="s">
        <v>407</v>
      </c>
      <c r="P266" s="1528">
        <v>12000</v>
      </c>
      <c r="Q266" s="1918">
        <v>1</v>
      </c>
      <c r="R266" s="1721">
        <v>2.5</v>
      </c>
      <c r="S266" s="138">
        <v>148000</v>
      </c>
      <c r="T266" s="139">
        <v>4</v>
      </c>
      <c r="U266" s="140">
        <v>175</v>
      </c>
      <c r="V266" s="1108">
        <v>100</v>
      </c>
      <c r="W266" s="1653">
        <v>0.23</v>
      </c>
      <c r="X266" s="1654">
        <v>8</v>
      </c>
      <c r="Y266" s="1655">
        <v>600</v>
      </c>
      <c r="Z266" s="1656">
        <v>8</v>
      </c>
      <c r="AA266" s="1071">
        <f t="shared" si="27"/>
        <v>0</v>
      </c>
      <c r="AB266" s="1107">
        <v>0.28000000000000003</v>
      </c>
      <c r="AC266" s="1704">
        <v>1.4</v>
      </c>
      <c r="AD266" s="1705">
        <v>1.04</v>
      </c>
      <c r="AE266" s="1706" t="s">
        <v>324</v>
      </c>
    </row>
    <row r="267" spans="14:31" ht="13.9" x14ac:dyDescent="0.4">
      <c r="N267" s="1073">
        <f t="shared" si="24"/>
        <v>0</v>
      </c>
      <c r="O267" s="1108" t="s">
        <v>261</v>
      </c>
      <c r="P267" s="1528">
        <v>6190</v>
      </c>
      <c r="Q267" s="1918">
        <v>1</v>
      </c>
      <c r="R267" s="1721">
        <v>2.5</v>
      </c>
      <c r="S267" s="138">
        <v>148000</v>
      </c>
      <c r="T267" s="139">
        <v>4</v>
      </c>
      <c r="U267" s="140">
        <v>175</v>
      </c>
      <c r="V267" s="1108">
        <v>100</v>
      </c>
      <c r="W267" s="1653">
        <v>0.5</v>
      </c>
      <c r="X267" s="1654">
        <v>8</v>
      </c>
      <c r="Y267" s="1655">
        <v>600</v>
      </c>
      <c r="Z267" s="1656">
        <v>8</v>
      </c>
      <c r="AA267" s="1071">
        <f t="shared" si="27"/>
        <v>0</v>
      </c>
      <c r="AB267" s="1107">
        <v>0.28000000000000003</v>
      </c>
      <c r="AC267" s="1704">
        <v>1.4</v>
      </c>
      <c r="AD267" s="1705">
        <v>1.04</v>
      </c>
      <c r="AE267" s="1706" t="s">
        <v>324</v>
      </c>
    </row>
    <row r="268" spans="14:31" ht="13.9" x14ac:dyDescent="0.4">
      <c r="N268" s="1073">
        <f t="shared" si="24"/>
        <v>0</v>
      </c>
      <c r="O268" s="1108" t="s">
        <v>619</v>
      </c>
      <c r="P268" s="1528">
        <v>3860</v>
      </c>
      <c r="Q268" s="1918">
        <v>1</v>
      </c>
      <c r="R268" s="1721">
        <v>2.5</v>
      </c>
      <c r="S268" s="138">
        <v>148000</v>
      </c>
      <c r="T268" s="139">
        <v>4</v>
      </c>
      <c r="U268" s="140">
        <v>175</v>
      </c>
      <c r="V268" s="1108">
        <v>100</v>
      </c>
      <c r="W268" s="1653">
        <v>0.25</v>
      </c>
      <c r="X268" s="1654">
        <v>8</v>
      </c>
      <c r="Y268" s="1655">
        <v>600</v>
      </c>
      <c r="Z268" s="1656">
        <v>8</v>
      </c>
      <c r="AA268" s="1071">
        <f t="shared" si="27"/>
        <v>0</v>
      </c>
      <c r="AB268" s="1107">
        <v>0.18</v>
      </c>
      <c r="AC268" s="1704">
        <v>1.7</v>
      </c>
      <c r="AD268" s="1705">
        <v>3.12</v>
      </c>
      <c r="AE268" s="1706" t="s">
        <v>324</v>
      </c>
    </row>
    <row r="269" spans="14:31" ht="13.9" x14ac:dyDescent="0.4">
      <c r="N269" s="1073">
        <f t="shared" si="24"/>
        <v>0</v>
      </c>
      <c r="O269" s="1108" t="s">
        <v>879</v>
      </c>
      <c r="P269" s="1528">
        <v>8270</v>
      </c>
      <c r="Q269" s="1921">
        <v>1</v>
      </c>
      <c r="R269" s="1922">
        <v>2.5</v>
      </c>
      <c r="S269" s="141">
        <v>148000</v>
      </c>
      <c r="T269" s="139">
        <v>4</v>
      </c>
      <c r="U269" s="142">
        <v>175</v>
      </c>
      <c r="V269" s="1108">
        <v>100</v>
      </c>
      <c r="W269" s="1653">
        <v>0.25</v>
      </c>
      <c r="X269" s="1654">
        <v>8</v>
      </c>
      <c r="Y269" s="1655">
        <v>600</v>
      </c>
      <c r="Z269" s="1656">
        <v>8</v>
      </c>
      <c r="AA269" s="1071">
        <f t="shared" si="27"/>
        <v>0</v>
      </c>
      <c r="AB269" s="1107">
        <v>0.28000000000000003</v>
      </c>
      <c r="AC269" s="1704">
        <v>1.4</v>
      </c>
      <c r="AD269" s="1705">
        <v>1.04</v>
      </c>
      <c r="AE269" s="1706" t="s">
        <v>324</v>
      </c>
    </row>
    <row r="270" spans="14:31" ht="13.9" x14ac:dyDescent="0.4">
      <c r="N270" s="1073">
        <f t="shared" si="24"/>
        <v>0</v>
      </c>
      <c r="O270" s="1108" t="s">
        <v>433</v>
      </c>
      <c r="P270" s="1528">
        <v>48000</v>
      </c>
      <c r="Q270" s="132">
        <v>19</v>
      </c>
      <c r="R270" s="133">
        <v>3</v>
      </c>
      <c r="S270" s="138">
        <v>248000</v>
      </c>
      <c r="T270" s="139">
        <v>4</v>
      </c>
      <c r="U270" s="140">
        <v>195</v>
      </c>
      <c r="V270" s="1108">
        <v>200</v>
      </c>
      <c r="W270" s="1653">
        <v>0.65</v>
      </c>
      <c r="X270" s="1654">
        <v>8</v>
      </c>
      <c r="Y270" s="1655">
        <v>600</v>
      </c>
      <c r="Z270" s="1656">
        <v>8</v>
      </c>
      <c r="AA270" s="1071">
        <f t="shared" si="27"/>
        <v>0</v>
      </c>
      <c r="AB270" s="1107">
        <v>0.28000000000000003</v>
      </c>
      <c r="AC270" s="1704">
        <v>1.4</v>
      </c>
      <c r="AD270" s="1705">
        <v>1.04</v>
      </c>
      <c r="AE270" s="1706" t="s">
        <v>324</v>
      </c>
    </row>
    <row r="271" spans="14:31" ht="13.9" x14ac:dyDescent="0.4">
      <c r="N271" s="1073">
        <f t="shared" si="24"/>
        <v>0</v>
      </c>
      <c r="O271" s="1108" t="s">
        <v>436</v>
      </c>
      <c r="P271" s="1528">
        <v>18900</v>
      </c>
      <c r="Q271" s="132">
        <v>19</v>
      </c>
      <c r="R271" s="133">
        <v>3</v>
      </c>
      <c r="S271" s="138">
        <v>248000</v>
      </c>
      <c r="T271" s="139">
        <v>4</v>
      </c>
      <c r="U271" s="140">
        <v>195</v>
      </c>
      <c r="V271" s="1108">
        <v>200</v>
      </c>
      <c r="W271" s="1653">
        <v>0.65</v>
      </c>
      <c r="X271" s="1654">
        <v>8</v>
      </c>
      <c r="Y271" s="1655">
        <v>600</v>
      </c>
      <c r="Z271" s="1656">
        <v>8</v>
      </c>
      <c r="AA271" s="1071">
        <f t="shared" ref="AA271:AA276" si="28">AA270</f>
        <v>0</v>
      </c>
      <c r="AB271" s="1107">
        <v>0.27</v>
      </c>
      <c r="AC271" s="1704">
        <v>1.4</v>
      </c>
      <c r="AD271" s="1705">
        <v>1.04</v>
      </c>
      <c r="AE271" s="1706" t="s">
        <v>324</v>
      </c>
    </row>
    <row r="272" spans="14:31" ht="13.9" x14ac:dyDescent="0.4">
      <c r="N272" s="1073">
        <f t="shared" si="24"/>
        <v>0</v>
      </c>
      <c r="O272" s="1108" t="s">
        <v>519</v>
      </c>
      <c r="P272" s="1528">
        <v>15600</v>
      </c>
      <c r="Q272" s="132">
        <v>19</v>
      </c>
      <c r="R272" s="133">
        <v>3</v>
      </c>
      <c r="S272" s="138">
        <v>248000</v>
      </c>
      <c r="T272" s="139">
        <v>4</v>
      </c>
      <c r="U272" s="140">
        <v>195</v>
      </c>
      <c r="V272" s="1108">
        <v>200</v>
      </c>
      <c r="W272" s="1653">
        <v>0.65</v>
      </c>
      <c r="X272" s="1654">
        <v>8</v>
      </c>
      <c r="Y272" s="1655">
        <v>600</v>
      </c>
      <c r="Z272" s="1656">
        <v>8</v>
      </c>
      <c r="AA272" s="1071">
        <f t="shared" si="28"/>
        <v>0</v>
      </c>
      <c r="AB272" s="1107">
        <v>0.27</v>
      </c>
      <c r="AC272" s="1704">
        <v>1.4</v>
      </c>
      <c r="AD272" s="1705">
        <v>1.04</v>
      </c>
      <c r="AE272" s="1706" t="s">
        <v>324</v>
      </c>
    </row>
    <row r="273" spans="14:31" ht="13.9" x14ac:dyDescent="0.4">
      <c r="N273" s="1073">
        <f t="shared" si="24"/>
        <v>0</v>
      </c>
      <c r="O273" s="1108" t="s">
        <v>232</v>
      </c>
      <c r="P273" s="1528">
        <v>33100</v>
      </c>
      <c r="Q273" s="538">
        <v>20</v>
      </c>
      <c r="R273" s="723">
        <v>7</v>
      </c>
      <c r="S273" s="141">
        <v>248000</v>
      </c>
      <c r="T273" s="139">
        <v>4</v>
      </c>
      <c r="U273" s="142">
        <v>195</v>
      </c>
      <c r="V273" s="1108">
        <v>160</v>
      </c>
      <c r="W273" s="1653">
        <v>0.8</v>
      </c>
      <c r="X273" s="1654">
        <v>8</v>
      </c>
      <c r="Y273" s="1655">
        <v>600</v>
      </c>
      <c r="Z273" s="1656">
        <v>8</v>
      </c>
      <c r="AA273" s="1071">
        <f t="shared" si="28"/>
        <v>0</v>
      </c>
      <c r="AB273" s="1107">
        <v>0.44</v>
      </c>
      <c r="AC273" s="1704">
        <v>2</v>
      </c>
      <c r="AD273" s="1705">
        <v>1.1000000000000001</v>
      </c>
      <c r="AE273" s="1706" t="s">
        <v>330</v>
      </c>
    </row>
    <row r="274" spans="14:31" ht="13.9" x14ac:dyDescent="0.4">
      <c r="N274" s="1073">
        <f t="shared" si="24"/>
        <v>0</v>
      </c>
      <c r="O274" s="1108" t="s">
        <v>882</v>
      </c>
      <c r="P274" s="1528">
        <v>27300</v>
      </c>
      <c r="Q274" s="132">
        <v>32</v>
      </c>
      <c r="R274" s="133">
        <v>6</v>
      </c>
      <c r="S274" s="138">
        <v>308000</v>
      </c>
      <c r="T274" s="153">
        <v>4</v>
      </c>
      <c r="U274" s="140">
        <v>230</v>
      </c>
      <c r="V274" s="1108">
        <v>120</v>
      </c>
      <c r="W274" s="1653">
        <v>0.85</v>
      </c>
      <c r="X274" s="1654">
        <v>8</v>
      </c>
      <c r="Y274" s="1655">
        <v>600</v>
      </c>
      <c r="Z274" s="1656">
        <v>8</v>
      </c>
      <c r="AA274" s="1071">
        <f t="shared" si="28"/>
        <v>0</v>
      </c>
      <c r="AB274" s="1107">
        <v>0.16</v>
      </c>
      <c r="AC274" s="1704">
        <v>1.3</v>
      </c>
      <c r="AD274" s="1705">
        <v>1.04</v>
      </c>
      <c r="AE274" s="1706" t="s">
        <v>325</v>
      </c>
    </row>
    <row r="275" spans="14:31" ht="13.9" x14ac:dyDescent="0.4">
      <c r="N275" s="1073">
        <f t="shared" si="24"/>
        <v>0</v>
      </c>
      <c r="O275" s="1108" t="s">
        <v>561</v>
      </c>
      <c r="P275" s="1528">
        <v>0</v>
      </c>
      <c r="Q275" s="132">
        <v>1</v>
      </c>
      <c r="R275" s="133">
        <v>1</v>
      </c>
      <c r="S275" s="138">
        <v>308000</v>
      </c>
      <c r="T275" s="139">
        <v>4</v>
      </c>
      <c r="U275" s="140">
        <v>230</v>
      </c>
      <c r="V275" s="1108">
        <v>100</v>
      </c>
      <c r="W275" s="1653">
        <v>0.7</v>
      </c>
      <c r="X275" s="1654">
        <v>8</v>
      </c>
      <c r="Y275" s="1655">
        <v>600</v>
      </c>
      <c r="Z275" s="1656">
        <v>8</v>
      </c>
      <c r="AA275" s="1071">
        <f t="shared" si="28"/>
        <v>0</v>
      </c>
      <c r="AB275" s="1107">
        <v>0.63</v>
      </c>
      <c r="AC275" s="1704">
        <v>1.3</v>
      </c>
      <c r="AD275" s="1705">
        <v>1.33</v>
      </c>
      <c r="AE275" s="1706" t="s">
        <v>327</v>
      </c>
    </row>
    <row r="276" spans="14:31" ht="14.25" thickBot="1" x14ac:dyDescent="0.45">
      <c r="N276" s="1073">
        <f t="shared" si="24"/>
        <v>0</v>
      </c>
      <c r="O276" s="1109" t="s">
        <v>561</v>
      </c>
      <c r="P276" s="1530">
        <v>0</v>
      </c>
      <c r="Q276" s="134">
        <v>1</v>
      </c>
      <c r="R276" s="734">
        <v>1</v>
      </c>
      <c r="S276" s="143">
        <v>308000</v>
      </c>
      <c r="T276" s="144">
        <v>4</v>
      </c>
      <c r="U276" s="145">
        <v>230</v>
      </c>
      <c r="V276" s="1109">
        <v>100</v>
      </c>
      <c r="W276" s="1657">
        <v>0.7</v>
      </c>
      <c r="X276" s="1658">
        <v>8</v>
      </c>
      <c r="Y276" s="143">
        <v>600</v>
      </c>
      <c r="Z276" s="1659">
        <v>8</v>
      </c>
      <c r="AA276" s="1071">
        <f t="shared" si="28"/>
        <v>0</v>
      </c>
      <c r="AB276" s="1707">
        <v>0.63</v>
      </c>
      <c r="AC276" s="1708">
        <v>1.3</v>
      </c>
      <c r="AD276" s="1709">
        <v>1.33</v>
      </c>
      <c r="AE276" s="1703" t="s">
        <v>327</v>
      </c>
    </row>
    <row r="277" spans="14:31" ht="13.9" x14ac:dyDescent="0.4">
      <c r="N277" s="1071"/>
      <c r="O277" s="1660"/>
      <c r="P277" s="1660"/>
      <c r="Q277" s="1660"/>
      <c r="R277" s="1660"/>
      <c r="S277" s="1660"/>
      <c r="T277" s="1660"/>
      <c r="U277" s="1660"/>
      <c r="V277" s="1660"/>
      <c r="W277" s="1660"/>
      <c r="X277" s="1661"/>
      <c r="Y277" s="1662"/>
      <c r="Z277" s="1661"/>
      <c r="AA277" s="1071"/>
      <c r="AB277" s="1660"/>
      <c r="AC277" s="1660"/>
      <c r="AD277" s="1660"/>
      <c r="AE277" s="1660"/>
    </row>
    <row r="278" spans="14:31" ht="13.9" x14ac:dyDescent="0.4">
      <c r="N278" s="1071"/>
      <c r="O278" s="1663"/>
      <c r="P278" s="1663"/>
      <c r="Q278" s="1663"/>
      <c r="R278" s="1663"/>
      <c r="S278" s="1663"/>
      <c r="T278" s="1663"/>
      <c r="U278" s="1663"/>
      <c r="V278" s="1663"/>
      <c r="W278" s="1663"/>
      <c r="X278" s="1663"/>
      <c r="Y278" s="1663"/>
      <c r="Z278" s="1663"/>
      <c r="AA278" s="1071"/>
      <c r="AB278" s="1663"/>
      <c r="AC278" s="1663"/>
      <c r="AD278" s="1663"/>
      <c r="AE278" s="1663"/>
    </row>
    <row r="279" spans="14:31" ht="14.25" thickBot="1" x14ac:dyDescent="0.45">
      <c r="N279" s="1071"/>
      <c r="O279" s="1664" t="s">
        <v>74</v>
      </c>
      <c r="P279" s="1665"/>
      <c r="Q279" s="1663"/>
      <c r="R279" s="1663"/>
      <c r="S279" s="1663"/>
      <c r="T279" s="1663"/>
      <c r="U279" s="1663"/>
      <c r="V279" s="1663"/>
      <c r="W279" s="1663"/>
      <c r="X279" s="1663"/>
      <c r="Y279" s="1663"/>
      <c r="Z279" s="1663"/>
      <c r="AA279" s="1071"/>
      <c r="AB279" s="1663"/>
      <c r="AC279" s="1663"/>
      <c r="AD279" s="1663"/>
      <c r="AE279" s="1663"/>
    </row>
    <row r="280" spans="14:31" ht="13.9" x14ac:dyDescent="0.4">
      <c r="N280" s="1073">
        <f>IF($A$8=4,N276+1,0)</f>
        <v>0</v>
      </c>
      <c r="O280" s="1666" t="s">
        <v>256</v>
      </c>
      <c r="P280" s="147">
        <v>348000</v>
      </c>
      <c r="Q280" s="131">
        <v>90</v>
      </c>
      <c r="R280" s="152">
        <v>12</v>
      </c>
      <c r="S280" s="1667"/>
      <c r="T280" s="1668"/>
      <c r="U280" s="137">
        <v>250</v>
      </c>
      <c r="V280" s="1648">
        <v>120</v>
      </c>
      <c r="W280" s="1649">
        <v>0.65</v>
      </c>
      <c r="X280" s="1650">
        <v>8</v>
      </c>
      <c r="Y280" s="1669"/>
      <c r="Z280" s="1670"/>
      <c r="AA280" s="1071">
        <f>AA276</f>
        <v>0</v>
      </c>
      <c r="AB280" s="1710">
        <v>0.11</v>
      </c>
      <c r="AC280" s="1711">
        <v>1.8</v>
      </c>
      <c r="AD280" s="1666">
        <v>1.25</v>
      </c>
      <c r="AE280" s="1712" t="s">
        <v>326</v>
      </c>
    </row>
    <row r="281" spans="14:31" ht="13.9" x14ac:dyDescent="0.4">
      <c r="N281" s="1073">
        <f>IF($A$8=4,N280+1,0)</f>
        <v>0</v>
      </c>
      <c r="O281" s="1671" t="s">
        <v>262</v>
      </c>
      <c r="P281" s="129">
        <v>16900</v>
      </c>
      <c r="Q281" s="1918">
        <v>1</v>
      </c>
      <c r="R281" s="1721">
        <v>2.5</v>
      </c>
      <c r="S281" s="1672"/>
      <c r="T281" s="1673"/>
      <c r="U281" s="154">
        <v>50</v>
      </c>
      <c r="V281" s="1108">
        <v>80</v>
      </c>
      <c r="W281" s="1653">
        <v>0.25</v>
      </c>
      <c r="X281" s="1654">
        <v>8</v>
      </c>
      <c r="Y281" s="1674"/>
      <c r="Z281" s="1675"/>
      <c r="AA281" s="1071">
        <f>AA280</f>
        <v>0</v>
      </c>
      <c r="AB281" s="1107">
        <v>0.28000000000000003</v>
      </c>
      <c r="AC281" s="1704">
        <v>1.4</v>
      </c>
      <c r="AD281" s="1705">
        <v>1.04</v>
      </c>
      <c r="AE281" s="1713" t="s">
        <v>329</v>
      </c>
    </row>
    <row r="282" spans="14:31" ht="14.25" thickBot="1" x14ac:dyDescent="0.45">
      <c r="N282" s="1073">
        <f>IF($A$8=4,N281+1,0)</f>
        <v>0</v>
      </c>
      <c r="O282" s="1676" t="s">
        <v>962</v>
      </c>
      <c r="P282" s="151">
        <v>464900</v>
      </c>
      <c r="Q282" s="741">
        <v>80</v>
      </c>
      <c r="R282" s="795">
        <v>12</v>
      </c>
      <c r="S282" s="1677"/>
      <c r="T282" s="1678"/>
      <c r="U282" s="155">
        <v>250</v>
      </c>
      <c r="V282" s="1109">
        <v>120</v>
      </c>
      <c r="W282" s="1657">
        <v>0.65</v>
      </c>
      <c r="X282" s="1658">
        <v>8</v>
      </c>
      <c r="Y282" s="1679"/>
      <c r="Z282" s="1680"/>
      <c r="AA282" s="1071">
        <f>AA281</f>
        <v>0</v>
      </c>
      <c r="AB282" s="1707">
        <v>0.11</v>
      </c>
      <c r="AC282" s="1714">
        <v>1.8</v>
      </c>
      <c r="AD282" s="1676">
        <v>1.25</v>
      </c>
      <c r="AE282" s="1715" t="s">
        <v>326</v>
      </c>
    </row>
    <row r="283" spans="14:31" ht="13.9" x14ac:dyDescent="0.4">
      <c r="N283" s="1071"/>
      <c r="O283" s="1660"/>
      <c r="P283" s="1660"/>
      <c r="Q283" s="1660"/>
      <c r="R283" s="1660"/>
      <c r="S283" s="1660"/>
      <c r="T283" s="1660"/>
      <c r="U283" s="1660"/>
      <c r="V283" s="1660"/>
      <c r="W283" s="1660"/>
      <c r="X283" s="1661"/>
      <c r="Y283" s="1662"/>
      <c r="Z283" s="1661"/>
      <c r="AA283" s="1071"/>
      <c r="AB283" s="1660"/>
      <c r="AC283" s="1660"/>
      <c r="AD283" s="1660"/>
      <c r="AE283" s="1660"/>
    </row>
    <row r="284" spans="14:31" ht="13.9" x14ac:dyDescent="0.4">
      <c r="N284" s="1071"/>
      <c r="O284" s="1663"/>
      <c r="P284" s="1663"/>
      <c r="Q284" s="1663"/>
      <c r="R284" s="1663"/>
      <c r="S284" s="1663"/>
      <c r="T284" s="1663"/>
      <c r="U284" s="1663"/>
      <c r="V284" s="1663"/>
      <c r="W284" s="1663"/>
      <c r="X284" s="1663"/>
      <c r="Y284" s="1663"/>
      <c r="Z284" s="1663"/>
      <c r="AA284" s="1071"/>
      <c r="AB284" s="1663"/>
      <c r="AC284" s="1663"/>
      <c r="AD284" s="1663"/>
      <c r="AE284" s="1663"/>
    </row>
    <row r="285" spans="14:31" ht="14.25" thickBot="1" x14ac:dyDescent="0.45">
      <c r="N285" s="1071"/>
      <c r="O285" s="1664" t="s">
        <v>79</v>
      </c>
      <c r="P285" s="1665"/>
      <c r="Q285" s="1663"/>
      <c r="R285" s="1663"/>
      <c r="S285" s="1663"/>
      <c r="T285" s="1663"/>
      <c r="U285" s="1663"/>
      <c r="V285" s="1663"/>
      <c r="W285" s="1663"/>
      <c r="X285" s="1663"/>
      <c r="Y285" s="1663"/>
      <c r="Z285" s="1663"/>
      <c r="AA285" s="1071"/>
      <c r="AB285" s="1663"/>
      <c r="AC285" s="1663"/>
      <c r="AD285" s="1663"/>
      <c r="AE285" s="1663"/>
    </row>
    <row r="286" spans="14:31" ht="13.9" x14ac:dyDescent="0.4">
      <c r="N286" s="1073">
        <f>IF($A$8=4,N282+1,0)</f>
        <v>0</v>
      </c>
      <c r="O286" s="1666" t="s">
        <v>73</v>
      </c>
      <c r="P286" s="1531">
        <v>478000</v>
      </c>
      <c r="Q286" s="131">
        <v>19</v>
      </c>
      <c r="R286" s="152">
        <v>3.5</v>
      </c>
      <c r="S286" s="1681"/>
      <c r="T286" s="1668"/>
      <c r="U286" s="137">
        <v>355</v>
      </c>
      <c r="V286" s="1648">
        <v>200</v>
      </c>
      <c r="W286" s="1649">
        <v>0.7</v>
      </c>
      <c r="X286" s="1650">
        <v>8</v>
      </c>
      <c r="Y286" s="1669"/>
      <c r="Z286" s="1670"/>
      <c r="AA286" s="1071">
        <f>AA282</f>
        <v>0</v>
      </c>
      <c r="AB286" s="1710">
        <v>0.11</v>
      </c>
      <c r="AC286" s="1716">
        <v>1.8</v>
      </c>
      <c r="AD286" s="1717">
        <v>1.1100000000000001</v>
      </c>
      <c r="AE286" s="1718" t="s">
        <v>349</v>
      </c>
    </row>
    <row r="287" spans="14:31" ht="13.9" x14ac:dyDescent="0.4">
      <c r="N287" s="1073">
        <f t="shared" ref="N287:N303" si="29">IF($A$8=4,N286+1,0)</f>
        <v>0</v>
      </c>
      <c r="O287" s="1671" t="s">
        <v>984</v>
      </c>
      <c r="P287" s="1528">
        <v>30500</v>
      </c>
      <c r="Q287" s="1918">
        <f>Q286</f>
        <v>19</v>
      </c>
      <c r="R287" s="1925">
        <f>R286</f>
        <v>3.5</v>
      </c>
      <c r="S287" s="138">
        <v>248000</v>
      </c>
      <c r="T287" s="153">
        <v>4</v>
      </c>
      <c r="U287" s="154">
        <v>195</v>
      </c>
      <c r="V287" s="1108">
        <v>200</v>
      </c>
      <c r="W287" s="1653">
        <v>0.7</v>
      </c>
      <c r="X287" s="1654">
        <v>8</v>
      </c>
      <c r="Y287" s="1655">
        <v>600</v>
      </c>
      <c r="Z287" s="1656">
        <v>8</v>
      </c>
      <c r="AA287" s="1071">
        <f>AA286</f>
        <v>0</v>
      </c>
      <c r="AB287" s="1107">
        <v>0.19</v>
      </c>
      <c r="AC287" s="1704">
        <v>1.3</v>
      </c>
      <c r="AD287" s="1719">
        <v>1.1100000000000001</v>
      </c>
      <c r="AE287" s="1706" t="s">
        <v>327</v>
      </c>
    </row>
    <row r="288" spans="14:31" ht="13.9" x14ac:dyDescent="0.4">
      <c r="N288" s="1073">
        <f t="shared" si="29"/>
        <v>0</v>
      </c>
      <c r="O288" s="1671" t="s">
        <v>983</v>
      </c>
      <c r="P288" s="1528">
        <v>34700</v>
      </c>
      <c r="Q288" s="1921">
        <f>Q286</f>
        <v>19</v>
      </c>
      <c r="R288" s="1925">
        <f>R286</f>
        <v>3.5</v>
      </c>
      <c r="S288" s="138">
        <v>248000</v>
      </c>
      <c r="T288" s="153">
        <v>4</v>
      </c>
      <c r="U288" s="154">
        <v>195</v>
      </c>
      <c r="V288" s="1682">
        <v>200</v>
      </c>
      <c r="W288" s="1916">
        <v>0.7</v>
      </c>
      <c r="X288" s="1683">
        <v>8</v>
      </c>
      <c r="Y288" s="138">
        <v>600</v>
      </c>
      <c r="Z288" s="1684">
        <v>8</v>
      </c>
      <c r="AA288" s="1071">
        <f t="shared" ref="AA288:AA303" si="30">AA287</f>
        <v>0</v>
      </c>
      <c r="AB288" s="1720">
        <v>0.19</v>
      </c>
      <c r="AC288" s="1721">
        <v>1.3</v>
      </c>
      <c r="AD288" s="1722">
        <v>3.33</v>
      </c>
      <c r="AE288" s="1706" t="s">
        <v>327</v>
      </c>
    </row>
    <row r="289" spans="14:31" ht="13.9" x14ac:dyDescent="0.4">
      <c r="N289" s="1073">
        <f t="shared" si="29"/>
        <v>0</v>
      </c>
      <c r="O289" s="1671" t="s">
        <v>270</v>
      </c>
      <c r="P289" s="1528">
        <v>960000</v>
      </c>
      <c r="Q289" s="132">
        <v>19</v>
      </c>
      <c r="R289" s="317">
        <v>3.7</v>
      </c>
      <c r="S289" s="1685"/>
      <c r="T289" s="1686"/>
      <c r="U289" s="140">
        <v>560</v>
      </c>
      <c r="V289" s="1108">
        <v>200</v>
      </c>
      <c r="W289" s="1653">
        <v>0.85</v>
      </c>
      <c r="X289" s="1654">
        <v>8</v>
      </c>
      <c r="Y289" s="1687"/>
      <c r="Z289" s="1688"/>
      <c r="AA289" s="1071">
        <f t="shared" si="30"/>
        <v>0</v>
      </c>
      <c r="AB289" s="1107">
        <v>0.11</v>
      </c>
      <c r="AC289" s="1704">
        <v>1.8</v>
      </c>
      <c r="AD289" s="1705">
        <v>1.1100000000000001</v>
      </c>
      <c r="AE289" s="1706" t="s">
        <v>349</v>
      </c>
    </row>
    <row r="290" spans="14:31" ht="13.9" x14ac:dyDescent="0.4">
      <c r="N290" s="1073">
        <f t="shared" si="29"/>
        <v>0</v>
      </c>
      <c r="O290" s="1671" t="s">
        <v>982</v>
      </c>
      <c r="P290" s="1528">
        <v>13750</v>
      </c>
      <c r="Q290" s="1921">
        <v>1</v>
      </c>
      <c r="R290" s="1925">
        <f>R289</f>
        <v>3.7</v>
      </c>
      <c r="S290" s="1105">
        <v>248000</v>
      </c>
      <c r="T290" s="153">
        <v>4</v>
      </c>
      <c r="U290" s="140">
        <v>195</v>
      </c>
      <c r="V290" s="1682">
        <v>10</v>
      </c>
      <c r="W290" s="1916">
        <v>0.9</v>
      </c>
      <c r="X290" s="1683">
        <v>8</v>
      </c>
      <c r="Y290" s="1655">
        <v>600</v>
      </c>
      <c r="Z290" s="1656">
        <v>8</v>
      </c>
      <c r="AA290" s="1071">
        <f t="shared" si="30"/>
        <v>0</v>
      </c>
      <c r="AB290" s="1107">
        <v>0.19</v>
      </c>
      <c r="AC290" s="1704">
        <v>1.3</v>
      </c>
      <c r="AD290" s="1705">
        <v>1.1100000000000001</v>
      </c>
      <c r="AE290" s="1706" t="s">
        <v>327</v>
      </c>
    </row>
    <row r="291" spans="14:31" ht="13.9" x14ac:dyDescent="0.4">
      <c r="N291" s="1073">
        <f t="shared" si="29"/>
        <v>0</v>
      </c>
      <c r="O291" s="1671" t="s">
        <v>127</v>
      </c>
      <c r="P291" s="1528">
        <v>739000</v>
      </c>
      <c r="Q291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91" s="1925">
        <f>MAX(IF(Machine!$B$70&gt;0,1,Machine!$B$70)*Machine!$E$70,IF(Machine!$B$71&gt;0,1,Machine!$B$71)*Machine!$E$71,IF(Machine!$B$72&gt;0,1,Machine!$B$72)*Machine!$E$72,IF(Machine!$B$73&gt;0,1,Machine!$B$73)*Machine!$E$73,1)</f>
        <v>3.5</v>
      </c>
      <c r="S291" s="1950">
        <v>0</v>
      </c>
      <c r="T291" s="1686"/>
      <c r="U291" s="142">
        <v>325</v>
      </c>
      <c r="V291" s="1108">
        <v>300</v>
      </c>
      <c r="W291" s="1653">
        <v>0.7</v>
      </c>
      <c r="X291" s="1654">
        <v>8</v>
      </c>
      <c r="Y291" s="1687"/>
      <c r="Z291" s="1688"/>
      <c r="AA291" s="1071">
        <f t="shared" si="30"/>
        <v>0</v>
      </c>
      <c r="AB291" s="1723">
        <v>0.04</v>
      </c>
      <c r="AC291" s="1724">
        <v>2.1</v>
      </c>
      <c r="AD291" s="1725">
        <v>1.1100000000000001</v>
      </c>
      <c r="AE291" s="1706" t="s">
        <v>349</v>
      </c>
    </row>
    <row r="292" spans="14:31" ht="13.9" x14ac:dyDescent="0.4">
      <c r="N292" s="1073">
        <f t="shared" si="29"/>
        <v>0</v>
      </c>
      <c r="O292" s="1671" t="s">
        <v>128</v>
      </c>
      <c r="P292" s="1528">
        <v>67900</v>
      </c>
      <c r="Q292" s="1520">
        <v>25</v>
      </c>
      <c r="R292" s="1521">
        <v>3.5</v>
      </c>
      <c r="S292" s="1951">
        <v>0</v>
      </c>
      <c r="T292" s="1689"/>
      <c r="U292" s="1953">
        <v>0</v>
      </c>
      <c r="V292" s="1108">
        <v>300</v>
      </c>
      <c r="W292" s="1653">
        <v>0.7</v>
      </c>
      <c r="X292" s="1654">
        <v>8</v>
      </c>
      <c r="Y292" s="1687"/>
      <c r="Z292" s="1688"/>
      <c r="AA292" s="1071">
        <f t="shared" si="30"/>
        <v>0</v>
      </c>
      <c r="AB292" s="1107">
        <v>0.12</v>
      </c>
      <c r="AC292" s="1704">
        <v>2.2999999999999998</v>
      </c>
      <c r="AD292" s="1726"/>
      <c r="AE292" s="1706" t="s">
        <v>349</v>
      </c>
    </row>
    <row r="293" spans="14:31" ht="13.9" x14ac:dyDescent="0.4">
      <c r="N293" s="1073">
        <f t="shared" si="29"/>
        <v>0</v>
      </c>
      <c r="O293" s="1671" t="s">
        <v>129</v>
      </c>
      <c r="P293" s="1528">
        <v>43800</v>
      </c>
      <c r="Q293" s="1520">
        <v>30</v>
      </c>
      <c r="R293" s="1521">
        <v>4.5</v>
      </c>
      <c r="S293" s="1951">
        <v>0</v>
      </c>
      <c r="T293" s="1689"/>
      <c r="U293" s="1953">
        <v>0</v>
      </c>
      <c r="V293" s="1108">
        <v>300</v>
      </c>
      <c r="W293" s="1653">
        <v>0.7</v>
      </c>
      <c r="X293" s="1654">
        <v>8</v>
      </c>
      <c r="Y293" s="1687"/>
      <c r="Z293" s="1688"/>
      <c r="AA293" s="1071">
        <f t="shared" si="30"/>
        <v>0</v>
      </c>
      <c r="AB293" s="1107">
        <v>0.12</v>
      </c>
      <c r="AC293" s="1704">
        <v>2.2999999999999998</v>
      </c>
      <c r="AD293" s="1726"/>
      <c r="AE293" s="1706" t="s">
        <v>349</v>
      </c>
    </row>
    <row r="294" spans="14:31" ht="13.9" x14ac:dyDescent="0.4">
      <c r="N294" s="1073">
        <f t="shared" si="29"/>
        <v>0</v>
      </c>
      <c r="O294" s="1671" t="s">
        <v>130</v>
      </c>
      <c r="P294" s="1528">
        <v>78600</v>
      </c>
      <c r="Q294" s="1520">
        <v>30</v>
      </c>
      <c r="R294" s="1521">
        <v>2.5</v>
      </c>
      <c r="S294" s="1951">
        <v>0</v>
      </c>
      <c r="T294" s="1689"/>
      <c r="U294" s="1953">
        <v>0</v>
      </c>
      <c r="V294" s="1108">
        <v>300</v>
      </c>
      <c r="W294" s="1653">
        <v>0.7</v>
      </c>
      <c r="X294" s="1654">
        <v>8</v>
      </c>
      <c r="Y294" s="1687"/>
      <c r="Z294" s="1688"/>
      <c r="AA294" s="1071">
        <f t="shared" si="30"/>
        <v>0</v>
      </c>
      <c r="AB294" s="1107">
        <v>0.12</v>
      </c>
      <c r="AC294" s="1704">
        <v>2.2999999999999998</v>
      </c>
      <c r="AD294" s="1726"/>
      <c r="AE294" s="1706" t="s">
        <v>349</v>
      </c>
    </row>
    <row r="295" spans="14:31" ht="13.9" x14ac:dyDescent="0.4">
      <c r="N295" s="1073">
        <f t="shared" si="29"/>
        <v>0</v>
      </c>
      <c r="O295" s="1671" t="s">
        <v>160</v>
      </c>
      <c r="P295" s="1528">
        <v>29100</v>
      </c>
      <c r="Q295" s="1520">
        <v>30</v>
      </c>
      <c r="R295" s="1521">
        <v>3.5</v>
      </c>
      <c r="S295" s="1952">
        <v>0</v>
      </c>
      <c r="T295" s="1690"/>
      <c r="U295" s="1953">
        <v>0</v>
      </c>
      <c r="V295" s="1108">
        <v>300</v>
      </c>
      <c r="W295" s="1653">
        <v>0.7</v>
      </c>
      <c r="X295" s="1654">
        <v>8</v>
      </c>
      <c r="Y295" s="1687"/>
      <c r="Z295" s="1688"/>
      <c r="AA295" s="1071">
        <f t="shared" si="30"/>
        <v>0</v>
      </c>
      <c r="AB295" s="1107">
        <v>0.12</v>
      </c>
      <c r="AC295" s="1704">
        <v>2.2999999999999998</v>
      </c>
      <c r="AD295" s="1726"/>
      <c r="AE295" s="1706" t="s">
        <v>349</v>
      </c>
    </row>
    <row r="296" spans="14:31" ht="13.9" x14ac:dyDescent="0.4">
      <c r="N296" s="1073">
        <f t="shared" si="29"/>
        <v>0</v>
      </c>
      <c r="O296" s="1671" t="s">
        <v>980</v>
      </c>
      <c r="P296" s="1528">
        <v>58400</v>
      </c>
      <c r="Q296" s="1921">
        <f>Q291</f>
        <v>30</v>
      </c>
      <c r="R296" s="1925">
        <f>R291</f>
        <v>3.5</v>
      </c>
      <c r="S296" s="1105">
        <v>248000</v>
      </c>
      <c r="T296" s="139">
        <v>4</v>
      </c>
      <c r="U296" s="142">
        <v>195</v>
      </c>
      <c r="V296" s="1682">
        <v>300</v>
      </c>
      <c r="W296" s="1916">
        <v>0.7</v>
      </c>
      <c r="X296" s="1683">
        <v>8</v>
      </c>
      <c r="Y296" s="138">
        <v>600</v>
      </c>
      <c r="Z296" s="1684">
        <v>8</v>
      </c>
      <c r="AA296" s="1071">
        <f t="shared" si="30"/>
        <v>0</v>
      </c>
      <c r="AB296" s="1720">
        <v>0.19</v>
      </c>
      <c r="AC296" s="1721">
        <v>1.3</v>
      </c>
      <c r="AD296" s="1722">
        <v>1.1100000000000001</v>
      </c>
      <c r="AE296" s="1706" t="s">
        <v>327</v>
      </c>
    </row>
    <row r="297" spans="14:31" ht="13.9" x14ac:dyDescent="0.4">
      <c r="N297" s="1073">
        <f t="shared" si="29"/>
        <v>0</v>
      </c>
      <c r="O297" s="1671" t="s">
        <v>562</v>
      </c>
      <c r="P297" s="1105">
        <v>0</v>
      </c>
      <c r="Q297" s="538">
        <v>19</v>
      </c>
      <c r="R297" s="723">
        <v>2.5</v>
      </c>
      <c r="S297" s="1952">
        <v>0</v>
      </c>
      <c r="T297" s="1690"/>
      <c r="U297" s="142">
        <v>230</v>
      </c>
      <c r="V297" s="1108">
        <v>200</v>
      </c>
      <c r="W297" s="1653">
        <v>0.65</v>
      </c>
      <c r="X297" s="1654">
        <v>8</v>
      </c>
      <c r="Y297" s="1687"/>
      <c r="Z297" s="1688"/>
      <c r="AA297" s="1071">
        <f t="shared" si="30"/>
        <v>0</v>
      </c>
      <c r="AB297" s="1107">
        <v>0.04</v>
      </c>
      <c r="AC297" s="1704">
        <v>2.1</v>
      </c>
      <c r="AD297" s="1671">
        <v>1.1100000000000001</v>
      </c>
      <c r="AE297" s="1706" t="s">
        <v>349</v>
      </c>
    </row>
    <row r="298" spans="14:31" ht="13.9" x14ac:dyDescent="0.4">
      <c r="N298" s="1073">
        <f t="shared" si="29"/>
        <v>0</v>
      </c>
      <c r="O298" s="1671" t="s">
        <v>981</v>
      </c>
      <c r="P298" s="1528">
        <v>179000</v>
      </c>
      <c r="Q298" s="538">
        <v>19</v>
      </c>
      <c r="R298" s="723">
        <v>2</v>
      </c>
      <c r="S298" s="138">
        <v>308000</v>
      </c>
      <c r="T298" s="139">
        <v>4</v>
      </c>
      <c r="U298" s="142">
        <v>230</v>
      </c>
      <c r="V298" s="1108">
        <v>200</v>
      </c>
      <c r="W298" s="1653">
        <v>0.65</v>
      </c>
      <c r="X298" s="1654">
        <v>8</v>
      </c>
      <c r="Y298" s="1655">
        <v>600</v>
      </c>
      <c r="Z298" s="1656">
        <v>8</v>
      </c>
      <c r="AA298" s="1071">
        <f t="shared" si="30"/>
        <v>0</v>
      </c>
      <c r="AB298" s="1107">
        <v>0.04</v>
      </c>
      <c r="AC298" s="1704">
        <v>2.1</v>
      </c>
      <c r="AD298" s="1671">
        <v>1.1100000000000001</v>
      </c>
      <c r="AE298" s="1706" t="s">
        <v>349</v>
      </c>
    </row>
    <row r="299" spans="14:31" ht="13.9" x14ac:dyDescent="0.4">
      <c r="N299" s="1073">
        <f t="shared" si="29"/>
        <v>0</v>
      </c>
      <c r="O299" s="1671" t="s">
        <v>985</v>
      </c>
      <c r="P299" s="1528">
        <v>57500</v>
      </c>
      <c r="Q299" s="1921">
        <f>IF(Machine!$B$75&gt;0,Q297,Q298)</f>
        <v>19</v>
      </c>
      <c r="R299" s="1925">
        <f>IF(Machine!$B$75&gt;0,R297,R298)</f>
        <v>2</v>
      </c>
      <c r="S299" s="149">
        <v>248000</v>
      </c>
      <c r="T299" s="139">
        <v>4</v>
      </c>
      <c r="U299" s="142">
        <v>195</v>
      </c>
      <c r="V299" s="1108">
        <v>200</v>
      </c>
      <c r="W299" s="1653">
        <v>0.65</v>
      </c>
      <c r="X299" s="1654">
        <v>8</v>
      </c>
      <c r="Y299" s="1655">
        <v>600</v>
      </c>
      <c r="Z299" s="1656">
        <v>8</v>
      </c>
      <c r="AA299" s="1071">
        <f t="shared" si="30"/>
        <v>0</v>
      </c>
      <c r="AB299" s="1107">
        <v>0.19</v>
      </c>
      <c r="AC299" s="1704">
        <v>1.3</v>
      </c>
      <c r="AD299" s="1727">
        <v>1.1100000000000001</v>
      </c>
      <c r="AE299" s="1706" t="s">
        <v>327</v>
      </c>
    </row>
    <row r="300" spans="14:31" ht="13.9" x14ac:dyDescent="0.4">
      <c r="N300" s="1073">
        <f t="shared" si="29"/>
        <v>0</v>
      </c>
      <c r="O300" s="1671" t="s">
        <v>986</v>
      </c>
      <c r="P300" s="1528">
        <v>7800</v>
      </c>
      <c r="Q300" s="1921">
        <f>Q299</f>
        <v>19</v>
      </c>
      <c r="R300" s="1925">
        <f>R299</f>
        <v>2</v>
      </c>
      <c r="S300" s="149">
        <v>248000</v>
      </c>
      <c r="T300" s="139">
        <v>4</v>
      </c>
      <c r="U300" s="142">
        <v>195</v>
      </c>
      <c r="V300" s="1682">
        <v>200</v>
      </c>
      <c r="W300" s="1653">
        <v>0.65</v>
      </c>
      <c r="X300" s="1683">
        <v>8</v>
      </c>
      <c r="Y300" s="138">
        <v>600</v>
      </c>
      <c r="Z300" s="1684">
        <v>8</v>
      </c>
      <c r="AA300" s="1071">
        <f t="shared" si="30"/>
        <v>0</v>
      </c>
      <c r="AB300" s="1720">
        <v>0.19</v>
      </c>
      <c r="AC300" s="1721">
        <v>1.3</v>
      </c>
      <c r="AD300" s="1728">
        <v>1.1100000000000001</v>
      </c>
      <c r="AE300" s="1706" t="s">
        <v>327</v>
      </c>
    </row>
    <row r="301" spans="14:31" ht="13.9" x14ac:dyDescent="0.4">
      <c r="N301" s="1073">
        <f t="shared" si="29"/>
        <v>0</v>
      </c>
      <c r="O301" s="1671" t="s">
        <v>562</v>
      </c>
      <c r="P301" s="1528">
        <v>0</v>
      </c>
      <c r="Q301" s="738">
        <v>1</v>
      </c>
      <c r="R301" s="317">
        <v>1</v>
      </c>
      <c r="S301" s="1952">
        <v>0</v>
      </c>
      <c r="T301" s="1691"/>
      <c r="U301" s="140">
        <v>325</v>
      </c>
      <c r="V301" s="1108">
        <v>200</v>
      </c>
      <c r="W301" s="1653">
        <v>0.7</v>
      </c>
      <c r="X301" s="1654">
        <v>8</v>
      </c>
      <c r="Y301" s="1687"/>
      <c r="Z301" s="1688"/>
      <c r="AA301" s="1071">
        <f t="shared" si="30"/>
        <v>0</v>
      </c>
      <c r="AB301" s="1107">
        <v>0.11</v>
      </c>
      <c r="AC301" s="1704">
        <v>1.8</v>
      </c>
      <c r="AD301" s="1705">
        <v>1.1100000000000001</v>
      </c>
      <c r="AE301" s="1706" t="s">
        <v>349</v>
      </c>
    </row>
    <row r="302" spans="14:31" ht="13.9" x14ac:dyDescent="0.4">
      <c r="N302" s="1073">
        <f t="shared" si="29"/>
        <v>0</v>
      </c>
      <c r="O302" s="1671" t="s">
        <v>562</v>
      </c>
      <c r="P302" s="1528">
        <v>0</v>
      </c>
      <c r="Q302" s="1918">
        <f>Q301</f>
        <v>1</v>
      </c>
      <c r="R302" s="1925">
        <f>R301</f>
        <v>1</v>
      </c>
      <c r="S302" s="138">
        <v>248000</v>
      </c>
      <c r="T302" s="153">
        <v>4</v>
      </c>
      <c r="U302" s="154">
        <v>195</v>
      </c>
      <c r="V302" s="1108">
        <v>200</v>
      </c>
      <c r="W302" s="1653">
        <v>0.7</v>
      </c>
      <c r="X302" s="1654">
        <v>8</v>
      </c>
      <c r="Y302" s="1655">
        <v>600</v>
      </c>
      <c r="Z302" s="1656">
        <v>8</v>
      </c>
      <c r="AA302" s="1071">
        <f t="shared" si="30"/>
        <v>0</v>
      </c>
      <c r="AB302" s="1107">
        <v>0.19</v>
      </c>
      <c r="AC302" s="1704">
        <v>1.3</v>
      </c>
      <c r="AD302" s="1719">
        <v>1.1100000000000001</v>
      </c>
      <c r="AE302" s="1706" t="s">
        <v>327</v>
      </c>
    </row>
    <row r="303" spans="14:31" ht="14.25" thickBot="1" x14ac:dyDescent="0.45">
      <c r="N303" s="1073">
        <f t="shared" si="29"/>
        <v>0</v>
      </c>
      <c r="O303" s="1676" t="s">
        <v>562</v>
      </c>
      <c r="P303" s="1532">
        <v>0</v>
      </c>
      <c r="Q303" s="1929">
        <f>Q301</f>
        <v>1</v>
      </c>
      <c r="R303" s="1930">
        <f>R301</f>
        <v>1</v>
      </c>
      <c r="S303" s="143">
        <v>248000</v>
      </c>
      <c r="T303" s="535">
        <v>4</v>
      </c>
      <c r="U303" s="740">
        <v>195</v>
      </c>
      <c r="V303" s="1109">
        <v>200</v>
      </c>
      <c r="W303" s="1657">
        <v>0.7</v>
      </c>
      <c r="X303" s="1658">
        <v>8</v>
      </c>
      <c r="Y303" s="143">
        <v>600</v>
      </c>
      <c r="Z303" s="1659">
        <v>8</v>
      </c>
      <c r="AA303" s="1071">
        <f t="shared" si="30"/>
        <v>0</v>
      </c>
      <c r="AB303" s="1707">
        <v>0.19</v>
      </c>
      <c r="AC303" s="1708">
        <v>1.3</v>
      </c>
      <c r="AD303" s="1729">
        <v>1.1100000000000001</v>
      </c>
      <c r="AE303" s="1703" t="s">
        <v>327</v>
      </c>
    </row>
  </sheetData>
  <sheetProtection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T81"/>
  <sheetViews>
    <sheetView topLeftCell="A67" workbookViewId="0">
      <selection activeCell="C80" activeCellId="7" sqref="C25 C41 C43:C47 C59 C65:C68 C70:C74 C77:C78 C80:C81"/>
    </sheetView>
  </sheetViews>
  <sheetFormatPr defaultRowHeight="12.75" x14ac:dyDescent="0.35"/>
  <cols>
    <col min="1" max="1" width="30.86328125" customWidth="1"/>
    <col min="2" max="3" width="9.1328125" customWidth="1"/>
    <col min="4" max="4" width="9.86328125" customWidth="1"/>
    <col min="5" max="12" width="10.265625" customWidth="1"/>
    <col min="14" max="14" width="15.73046875" bestFit="1" customWidth="1"/>
    <col min="15" max="15" width="12" bestFit="1" customWidth="1"/>
    <col min="24" max="35" width="10.73046875" customWidth="1"/>
    <col min="57" max="57" width="12.265625" bestFit="1" customWidth="1"/>
  </cols>
  <sheetData>
    <row r="2" spans="1:98" ht="13.9" x14ac:dyDescent="0.4">
      <c r="A2" s="1370">
        <f>Machine!F3</f>
        <v>0.09</v>
      </c>
      <c r="B2" s="469" t="s">
        <v>520</v>
      </c>
      <c r="C2" s="469"/>
      <c r="D2" s="469"/>
      <c r="E2" s="470"/>
      <c r="F2" s="471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673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</row>
    <row r="3" spans="1:98" ht="13.9" x14ac:dyDescent="0.4">
      <c r="A3" s="1370">
        <v>0</v>
      </c>
      <c r="B3" s="5" t="s">
        <v>287</v>
      </c>
      <c r="C3" s="5"/>
      <c r="D3" s="5"/>
      <c r="E3" s="472"/>
      <c r="F3" s="473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673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</row>
    <row r="4" spans="1:98" ht="17.25" x14ac:dyDescent="0.45">
      <c r="A4" s="1371">
        <f>IF(AND(SUM(M14:M81)&lt;1,SUM(BD14:BD81)&lt;1),A2-A3,1/0)</f>
        <v>0.09</v>
      </c>
      <c r="B4" s="32" t="s">
        <v>286</v>
      </c>
      <c r="C4" s="32"/>
      <c r="D4" s="32"/>
      <c r="E4" s="320"/>
      <c r="F4" s="474"/>
      <c r="G4" s="428"/>
      <c r="H4" s="428"/>
      <c r="I4" s="428"/>
      <c r="J4" s="428"/>
      <c r="K4" s="428"/>
      <c r="L4" s="428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673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</row>
    <row r="5" spans="1:98" ht="13.9" x14ac:dyDescent="0.4">
      <c r="A5" s="1201">
        <f>Machine!F4</f>
        <v>0.2</v>
      </c>
      <c r="B5" s="1203" t="s">
        <v>770</v>
      </c>
      <c r="C5" s="1204"/>
      <c r="D5" s="1205"/>
      <c r="E5" s="1205"/>
      <c r="F5" s="1206"/>
      <c r="G5" s="554"/>
      <c r="H5" s="554"/>
      <c r="I5" s="554"/>
      <c r="J5" s="570"/>
      <c r="K5" s="570"/>
      <c r="L5" s="570"/>
      <c r="M5" s="166"/>
      <c r="N5" s="166"/>
      <c r="O5" s="417"/>
      <c r="P5" s="417"/>
      <c r="Q5" s="417"/>
      <c r="R5" s="417"/>
      <c r="S5" s="41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673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</row>
    <row r="6" spans="1:98" ht="13.9" x14ac:dyDescent="0.4">
      <c r="A6" s="1202">
        <f>Machine!F5</f>
        <v>46</v>
      </c>
      <c r="B6" s="1207" t="s">
        <v>771</v>
      </c>
      <c r="C6" s="1208"/>
      <c r="D6" s="1209"/>
      <c r="E6" s="1209"/>
      <c r="F6" s="1210"/>
      <c r="G6" s="554"/>
      <c r="H6" s="554"/>
      <c r="I6" s="554"/>
      <c r="J6" s="570"/>
      <c r="K6" s="570"/>
      <c r="L6" s="570"/>
      <c r="M6" s="166"/>
      <c r="N6" s="166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7"/>
      <c r="BB6" s="417"/>
      <c r="BC6" s="417"/>
      <c r="BD6" s="673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</row>
    <row r="7" spans="1:98" ht="13.9" x14ac:dyDescent="0.4">
      <c r="A7" s="166"/>
      <c r="B7" s="447"/>
      <c r="C7" s="447"/>
      <c r="D7" s="447"/>
      <c r="E7" s="447"/>
      <c r="F7" s="447"/>
      <c r="G7" s="447"/>
      <c r="H7" s="447"/>
      <c r="I7" s="447"/>
      <c r="J7" s="417"/>
      <c r="K7" s="417"/>
      <c r="L7" s="417"/>
      <c r="M7" s="166"/>
      <c r="N7" s="166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417"/>
      <c r="BC7" s="417"/>
      <c r="BD7" s="673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</row>
    <row r="8" spans="1:98" ht="13.9" x14ac:dyDescent="0.4">
      <c r="A8" s="417"/>
      <c r="B8" s="417"/>
      <c r="C8" s="430"/>
      <c r="D8" s="555"/>
      <c r="E8" s="430"/>
      <c r="F8" s="430"/>
      <c r="G8" s="430"/>
      <c r="H8" s="430"/>
      <c r="I8" s="430"/>
      <c r="J8" s="430"/>
      <c r="K8" s="430"/>
      <c r="L8" s="430"/>
      <c r="M8" s="166"/>
      <c r="N8" s="166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673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</row>
    <row r="9" spans="1:98" ht="17.649999999999999" thickBot="1" x14ac:dyDescent="0.5">
      <c r="A9" s="428" t="str">
        <f>'C1_Messages_Indicators'!B49</f>
        <v xml:space="preserve"> </v>
      </c>
      <c r="B9" s="166"/>
      <c r="C9" s="166"/>
      <c r="D9" s="166"/>
      <c r="E9" s="166"/>
      <c r="F9" s="428" t="str">
        <f>'C1_Messages_Indicators'!B50</f>
        <v xml:space="preserve"> </v>
      </c>
      <c r="G9" s="166"/>
      <c r="H9" s="166"/>
      <c r="I9" s="166"/>
      <c r="J9" s="166"/>
      <c r="K9" s="166"/>
      <c r="L9" s="166"/>
      <c r="M9" s="166"/>
      <c r="N9" s="166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  <c r="BB9" s="417"/>
      <c r="BC9" s="417"/>
      <c r="BD9" s="673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</row>
    <row r="10" spans="1:98" ht="17.649999999999999" thickBot="1" x14ac:dyDescent="0.5">
      <c r="A10" s="166"/>
      <c r="B10" s="432" t="s">
        <v>323</v>
      </c>
      <c r="C10" s="433"/>
      <c r="D10" s="434"/>
      <c r="E10" s="28"/>
      <c r="F10" s="432" t="s">
        <v>322</v>
      </c>
      <c r="G10" s="433"/>
      <c r="H10" s="434"/>
      <c r="I10" s="435"/>
      <c r="J10" s="571" t="s">
        <v>455</v>
      </c>
      <c r="K10" s="574"/>
      <c r="L10" s="587"/>
      <c r="M10" s="166"/>
      <c r="N10" s="166"/>
      <c r="O10" s="3"/>
      <c r="P10" s="3"/>
      <c r="Q10" s="3"/>
      <c r="R10" s="3"/>
      <c r="S10" s="3"/>
      <c r="T10" s="428"/>
      <c r="U10" s="428"/>
      <c r="V10" s="430"/>
      <c r="W10" s="430"/>
      <c r="X10" s="430"/>
      <c r="Y10" s="405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673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</row>
    <row r="11" spans="1:98" ht="13.9" x14ac:dyDescent="0.4">
      <c r="A11" s="414"/>
      <c r="B11" s="415"/>
      <c r="C11" s="208"/>
      <c r="D11" s="206" t="s">
        <v>24</v>
      </c>
      <c r="E11" s="427" t="s">
        <v>411</v>
      </c>
      <c r="F11" s="569"/>
      <c r="G11" s="179" t="s">
        <v>24</v>
      </c>
      <c r="H11" s="179" t="s">
        <v>411</v>
      </c>
      <c r="I11" s="184"/>
      <c r="J11" s="572" t="s">
        <v>254</v>
      </c>
      <c r="K11" s="573"/>
      <c r="L11" s="588"/>
      <c r="M11" s="166"/>
      <c r="N11" s="166"/>
      <c r="O11" s="484" t="s">
        <v>348</v>
      </c>
      <c r="P11" s="484"/>
      <c r="Q11" s="484"/>
      <c r="R11" s="484"/>
      <c r="S11" s="484"/>
      <c r="T11" s="484"/>
      <c r="U11" s="484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17"/>
      <c r="AW11" s="417"/>
      <c r="AX11" s="417"/>
      <c r="AY11" s="417"/>
      <c r="AZ11" s="417"/>
      <c r="BA11" s="417"/>
      <c r="BB11" s="417"/>
      <c r="BC11" s="417"/>
      <c r="BD11" s="674"/>
      <c r="BE11" s="417"/>
      <c r="BF11" s="484" t="s">
        <v>322</v>
      </c>
      <c r="BG11" s="484"/>
      <c r="BH11" s="484"/>
      <c r="BI11" s="484"/>
      <c r="BJ11" s="484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/>
      <c r="BU11" s="417"/>
      <c r="BV11" s="417"/>
      <c r="BW11" s="417"/>
      <c r="BX11" s="417"/>
      <c r="BY11" s="417"/>
      <c r="BZ11" s="417"/>
      <c r="CA11" s="417"/>
      <c r="CB11" s="417"/>
      <c r="CC11" s="417"/>
      <c r="CD11" s="417"/>
      <c r="CE11" s="417"/>
      <c r="CF11" s="417"/>
      <c r="CG11" s="417"/>
      <c r="CH11" s="417"/>
      <c r="CI11" s="417"/>
      <c r="CJ11" s="417"/>
      <c r="CK11" s="417"/>
      <c r="CL11" s="417"/>
      <c r="CM11" s="417"/>
      <c r="CN11" s="417"/>
      <c r="CO11" s="417"/>
      <c r="CP11" s="417"/>
      <c r="CQ11" s="417"/>
      <c r="CR11" s="417"/>
      <c r="CS11" s="417"/>
      <c r="CT11" s="417"/>
    </row>
    <row r="12" spans="1:98" ht="13.9" x14ac:dyDescent="0.4">
      <c r="A12" s="414" t="s">
        <v>75</v>
      </c>
      <c r="B12" s="30" t="s">
        <v>36</v>
      </c>
      <c r="C12" s="22" t="s">
        <v>45</v>
      </c>
      <c r="D12" s="179" t="s">
        <v>25</v>
      </c>
      <c r="E12" s="184" t="s">
        <v>27</v>
      </c>
      <c r="F12" s="30" t="s">
        <v>36</v>
      </c>
      <c r="G12" s="179" t="s">
        <v>25</v>
      </c>
      <c r="H12" s="179" t="s">
        <v>27</v>
      </c>
      <c r="I12" s="184"/>
      <c r="J12" s="37" t="s">
        <v>58</v>
      </c>
      <c r="K12" s="24" t="s">
        <v>58</v>
      </c>
      <c r="L12" s="589" t="s">
        <v>55</v>
      </c>
      <c r="M12" s="675"/>
      <c r="N12" s="422"/>
      <c r="O12" s="426"/>
      <c r="P12" s="423"/>
      <c r="Q12" s="423"/>
      <c r="R12" s="423"/>
      <c r="S12" s="423"/>
      <c r="T12" s="423" t="s">
        <v>313</v>
      </c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18" t="s">
        <v>533</v>
      </c>
      <c r="AK12" s="418"/>
      <c r="AL12" s="418"/>
      <c r="AM12" s="418"/>
      <c r="AN12" s="1101"/>
      <c r="AO12" s="418"/>
      <c r="AP12" s="418"/>
      <c r="AQ12" s="418"/>
      <c r="AR12" s="418"/>
      <c r="AS12" s="418"/>
      <c r="AT12" s="418"/>
      <c r="AU12" s="418"/>
      <c r="AV12" s="418"/>
      <c r="AW12" s="418"/>
      <c r="AX12" s="418"/>
      <c r="AY12" s="418"/>
      <c r="AZ12" s="418"/>
      <c r="BA12" s="418"/>
      <c r="BB12" s="418"/>
      <c r="BC12" s="418"/>
      <c r="BD12" s="679"/>
      <c r="BE12" s="422"/>
      <c r="BF12" s="426"/>
      <c r="BG12" s="423"/>
      <c r="BH12" s="423"/>
      <c r="BI12" s="423"/>
      <c r="BJ12" s="423"/>
      <c r="BK12" s="423" t="s">
        <v>313</v>
      </c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418" t="s">
        <v>533</v>
      </c>
      <c r="CB12" s="418"/>
      <c r="CC12" s="418"/>
      <c r="CD12" s="418"/>
      <c r="CE12" s="1101"/>
      <c r="CF12" s="418"/>
      <c r="CG12" s="418"/>
      <c r="CH12" s="418"/>
      <c r="CI12" s="418"/>
      <c r="CJ12" s="418"/>
      <c r="CK12" s="418"/>
      <c r="CL12" s="418"/>
      <c r="CM12" s="418"/>
      <c r="CN12" s="418"/>
      <c r="CO12" s="418"/>
      <c r="CP12" s="418"/>
      <c r="CQ12" s="418"/>
      <c r="CR12" s="418"/>
      <c r="CS12" s="418"/>
      <c r="CT12" s="418"/>
    </row>
    <row r="13" spans="1:98" ht="14.25" thickBot="1" x14ac:dyDescent="0.45">
      <c r="A13" s="219" t="s">
        <v>158</v>
      </c>
      <c r="B13" s="416" t="s">
        <v>37</v>
      </c>
      <c r="C13" s="220" t="s">
        <v>46</v>
      </c>
      <c r="D13" s="220" t="s">
        <v>26</v>
      </c>
      <c r="E13" s="221" t="s">
        <v>314</v>
      </c>
      <c r="F13" s="416" t="s">
        <v>37</v>
      </c>
      <c r="G13" s="220" t="s">
        <v>26</v>
      </c>
      <c r="H13" s="220" t="s">
        <v>314</v>
      </c>
      <c r="I13" s="221" t="s">
        <v>52</v>
      </c>
      <c r="J13" s="416" t="s">
        <v>76</v>
      </c>
      <c r="K13" s="221" t="s">
        <v>77</v>
      </c>
      <c r="L13" s="590" t="s">
        <v>31</v>
      </c>
      <c r="M13" s="676" t="s">
        <v>532</v>
      </c>
      <c r="N13" s="422" t="s">
        <v>312</v>
      </c>
      <c r="O13" s="426" t="s">
        <v>321</v>
      </c>
      <c r="P13" s="424">
        <v>1</v>
      </c>
      <c r="Q13" s="424">
        <v>2</v>
      </c>
      <c r="R13" s="424">
        <v>3</v>
      </c>
      <c r="S13" s="424">
        <v>4</v>
      </c>
      <c r="T13" s="424">
        <v>5</v>
      </c>
      <c r="U13" s="424">
        <v>6</v>
      </c>
      <c r="V13" s="424">
        <v>7</v>
      </c>
      <c r="W13" s="424">
        <v>8</v>
      </c>
      <c r="X13" s="424">
        <v>9</v>
      </c>
      <c r="Y13" s="424">
        <v>10</v>
      </c>
      <c r="Z13" s="424">
        <v>11</v>
      </c>
      <c r="AA13" s="424">
        <v>12</v>
      </c>
      <c r="AB13" s="424">
        <v>13</v>
      </c>
      <c r="AC13" s="424">
        <v>14</v>
      </c>
      <c r="AD13" s="424">
        <v>15</v>
      </c>
      <c r="AE13" s="424">
        <v>16</v>
      </c>
      <c r="AF13" s="424">
        <v>17</v>
      </c>
      <c r="AG13" s="424">
        <v>18</v>
      </c>
      <c r="AH13" s="424">
        <v>19</v>
      </c>
      <c r="AI13" s="424">
        <v>20</v>
      </c>
      <c r="AJ13" s="419">
        <v>1</v>
      </c>
      <c r="AK13" s="419">
        <v>2</v>
      </c>
      <c r="AL13" s="419">
        <v>3</v>
      </c>
      <c r="AM13" s="419">
        <v>4</v>
      </c>
      <c r="AN13" s="419">
        <v>5</v>
      </c>
      <c r="AO13" s="419">
        <v>6</v>
      </c>
      <c r="AP13" s="419">
        <v>7</v>
      </c>
      <c r="AQ13" s="419">
        <v>8</v>
      </c>
      <c r="AR13" s="419">
        <v>9</v>
      </c>
      <c r="AS13" s="419">
        <v>10</v>
      </c>
      <c r="AT13" s="419">
        <v>11</v>
      </c>
      <c r="AU13" s="419">
        <v>12</v>
      </c>
      <c r="AV13" s="429">
        <v>13</v>
      </c>
      <c r="AW13" s="429">
        <v>14</v>
      </c>
      <c r="AX13" s="429">
        <v>15</v>
      </c>
      <c r="AY13" s="429">
        <v>16</v>
      </c>
      <c r="AZ13" s="429">
        <v>17</v>
      </c>
      <c r="BA13" s="429">
        <v>18</v>
      </c>
      <c r="BB13" s="429">
        <v>19</v>
      </c>
      <c r="BC13" s="429">
        <v>20</v>
      </c>
      <c r="BD13" s="680" t="s">
        <v>532</v>
      </c>
      <c r="BE13" s="422" t="s">
        <v>312</v>
      </c>
      <c r="BF13" s="426" t="s">
        <v>321</v>
      </c>
      <c r="BG13" s="424">
        <v>1</v>
      </c>
      <c r="BH13" s="424">
        <v>2</v>
      </c>
      <c r="BI13" s="424">
        <v>3</v>
      </c>
      <c r="BJ13" s="424">
        <v>4</v>
      </c>
      <c r="BK13" s="424">
        <v>5</v>
      </c>
      <c r="BL13" s="424">
        <v>6</v>
      </c>
      <c r="BM13" s="424">
        <v>7</v>
      </c>
      <c r="BN13" s="424">
        <v>8</v>
      </c>
      <c r="BO13" s="424">
        <v>9</v>
      </c>
      <c r="BP13" s="424">
        <v>10</v>
      </c>
      <c r="BQ13" s="424">
        <v>11</v>
      </c>
      <c r="BR13" s="424">
        <v>12</v>
      </c>
      <c r="BS13" s="424">
        <v>13</v>
      </c>
      <c r="BT13" s="424">
        <v>14</v>
      </c>
      <c r="BU13" s="424">
        <v>15</v>
      </c>
      <c r="BV13" s="424">
        <v>16</v>
      </c>
      <c r="BW13" s="424">
        <v>17</v>
      </c>
      <c r="BX13" s="424">
        <v>18</v>
      </c>
      <c r="BY13" s="424">
        <v>19</v>
      </c>
      <c r="BZ13" s="424">
        <v>20</v>
      </c>
      <c r="CA13" s="419">
        <v>1</v>
      </c>
      <c r="CB13" s="419">
        <v>2</v>
      </c>
      <c r="CC13" s="419">
        <v>3</v>
      </c>
      <c r="CD13" s="419">
        <v>4</v>
      </c>
      <c r="CE13" s="419">
        <v>5</v>
      </c>
      <c r="CF13" s="419">
        <v>6</v>
      </c>
      <c r="CG13" s="419">
        <v>7</v>
      </c>
      <c r="CH13" s="419">
        <v>8</v>
      </c>
      <c r="CI13" s="419">
        <v>9</v>
      </c>
      <c r="CJ13" s="419">
        <v>10</v>
      </c>
      <c r="CK13" s="419">
        <v>11</v>
      </c>
      <c r="CL13" s="419">
        <v>12</v>
      </c>
      <c r="CM13" s="429">
        <v>13</v>
      </c>
      <c r="CN13" s="429">
        <v>14</v>
      </c>
      <c r="CO13" s="429">
        <v>15</v>
      </c>
      <c r="CP13" s="429">
        <v>16</v>
      </c>
      <c r="CQ13" s="429">
        <v>17</v>
      </c>
      <c r="CR13" s="429">
        <v>18</v>
      </c>
      <c r="CS13" s="429">
        <v>19</v>
      </c>
      <c r="CT13" s="429">
        <v>20</v>
      </c>
    </row>
    <row r="14" spans="1:98" ht="13.9" x14ac:dyDescent="0.4">
      <c r="A14" s="1121" t="str">
        <f>A6_Machine_Look_Up!A14</f>
        <v>Paratill</v>
      </c>
      <c r="B14" s="1301">
        <f>A6_Machine_Look_Up!H14</f>
        <v>160</v>
      </c>
      <c r="C14" s="485">
        <f>A6_Machine_Look_Up!I14</f>
        <v>0.85</v>
      </c>
      <c r="D14" s="486">
        <f>A6_Machine_Look_Up!J14</f>
        <v>8</v>
      </c>
      <c r="E14" s="440">
        <f>O14</f>
        <v>0.35</v>
      </c>
      <c r="F14" s="489">
        <f>A6_Machine_Look_Up!K14</f>
        <v>600</v>
      </c>
      <c r="G14" s="490">
        <f>A6_Machine_Look_Up!L14</f>
        <v>8</v>
      </c>
      <c r="H14" s="449">
        <f>BF14</f>
        <v>0.36</v>
      </c>
      <c r="I14" s="245">
        <f>A6_Machine_Look_Up!G14</f>
        <v>230</v>
      </c>
      <c r="J14" s="576">
        <f>A6_Machine_Look_Up!AG14</f>
        <v>0.28999999999999998</v>
      </c>
      <c r="K14" s="577">
        <f>A6_Machine_Look_Up!AH14</f>
        <v>1.8</v>
      </c>
      <c r="L14" s="591">
        <f>A6_Machine_Look_Up!AI14</f>
        <v>1.04</v>
      </c>
      <c r="M14" s="677">
        <f>IF(OR(D14&lt;1,D14&gt;20),1,0)</f>
        <v>0</v>
      </c>
      <c r="N14" s="447" t="str">
        <f>A6_Machine_Look_Up!AE14</f>
        <v>Plows</v>
      </c>
      <c r="O14" s="425">
        <f>SUM(P14:AI14)</f>
        <v>0.35</v>
      </c>
      <c r="P14" s="420">
        <f>IF($D14=1,AJ14,0)</f>
        <v>0</v>
      </c>
      <c r="Q14" s="420">
        <f>IF($D14=2,AK14,0)</f>
        <v>0</v>
      </c>
      <c r="R14" s="420">
        <f>IF($D14=3,AL14,0)</f>
        <v>0</v>
      </c>
      <c r="S14" s="420">
        <f>IF($D14=4,AM14,0)</f>
        <v>0</v>
      </c>
      <c r="T14" s="420">
        <f>IF($D14=5,AN14,0)</f>
        <v>0</v>
      </c>
      <c r="U14" s="420">
        <f>IF($D14=6,AO14,0)</f>
        <v>0</v>
      </c>
      <c r="V14" s="420">
        <f>IF($D14=7,AP14,0)</f>
        <v>0</v>
      </c>
      <c r="W14" s="420">
        <f>IF($D14=8,AQ14,0)</f>
        <v>0.35</v>
      </c>
      <c r="X14" s="420">
        <f>IF($D14=9,AR14,0)</f>
        <v>0</v>
      </c>
      <c r="Y14" s="420">
        <f>IF($D14=10,AS14,0)</f>
        <v>0</v>
      </c>
      <c r="Z14" s="420">
        <f>IF($D14=11,AT14,0)</f>
        <v>0</v>
      </c>
      <c r="AA14" s="420">
        <f>IF($D14=12,AU14,0)</f>
        <v>0</v>
      </c>
      <c r="AB14" s="420">
        <f>IF($D14=13,AV14,0)</f>
        <v>0</v>
      </c>
      <c r="AC14" s="420">
        <f>IF($D14=14,AW14,0)</f>
        <v>0</v>
      </c>
      <c r="AD14" s="420">
        <f>IF($D14=15,AX14,0)</f>
        <v>0</v>
      </c>
      <c r="AE14" s="420">
        <f>IF($D14=16,AY14,0)</f>
        <v>0</v>
      </c>
      <c r="AF14" s="420">
        <f>IF($D14=17,AZ14,0)</f>
        <v>0</v>
      </c>
      <c r="AG14" s="420">
        <f>IF($D14=18,BA14,0)</f>
        <v>0</v>
      </c>
      <c r="AH14" s="420">
        <f>IF($D14=19,BB14,0)</f>
        <v>0</v>
      </c>
      <c r="AI14" s="420">
        <f>IF($D14=20,BC14,0)</f>
        <v>0</v>
      </c>
      <c r="AJ14" s="421">
        <v>0.47</v>
      </c>
      <c r="AK14" s="421">
        <v>0.44</v>
      </c>
      <c r="AL14" s="421">
        <v>0.42</v>
      </c>
      <c r="AM14" s="421">
        <v>0.4</v>
      </c>
      <c r="AN14" s="421">
        <v>0.39</v>
      </c>
      <c r="AO14" s="421">
        <v>0.38</v>
      </c>
      <c r="AP14" s="421">
        <v>0.36</v>
      </c>
      <c r="AQ14" s="421">
        <v>0.35</v>
      </c>
      <c r="AR14" s="421">
        <v>0.34</v>
      </c>
      <c r="AS14" s="421">
        <v>0.33</v>
      </c>
      <c r="AT14" s="421">
        <v>0.32</v>
      </c>
      <c r="AU14" s="421">
        <v>0.32</v>
      </c>
      <c r="AV14" s="421">
        <v>0.31</v>
      </c>
      <c r="AW14" s="421">
        <v>0.3</v>
      </c>
      <c r="AX14" s="421">
        <v>0.28999999999999998</v>
      </c>
      <c r="AY14" s="421">
        <v>0.28999999999999998</v>
      </c>
      <c r="AZ14" s="421">
        <v>0.28000000000000003</v>
      </c>
      <c r="BA14" s="421">
        <v>0.27</v>
      </c>
      <c r="BB14" s="421">
        <v>0.27</v>
      </c>
      <c r="BC14" s="421">
        <v>0.26</v>
      </c>
      <c r="BD14" s="681">
        <f>IF(OR(G14&lt;1,G14&gt;20),1,0)</f>
        <v>0</v>
      </c>
      <c r="BE14" s="417" t="s">
        <v>331</v>
      </c>
      <c r="BF14" s="445">
        <f>SUM(BG14:BZ14)</f>
        <v>0.36</v>
      </c>
      <c r="BG14" s="446">
        <f>IF($G14=1,CA14,0)</f>
        <v>0</v>
      </c>
      <c r="BH14" s="446">
        <f>IF($G14=2,CB14,0)</f>
        <v>0</v>
      </c>
      <c r="BI14" s="446">
        <f>IF($G14=3,CC14,0)</f>
        <v>0</v>
      </c>
      <c r="BJ14" s="446">
        <f>IF($G14=4,CD14,0)</f>
        <v>0</v>
      </c>
      <c r="BK14" s="446">
        <f>IF($G14=5,CE14,0)</f>
        <v>0</v>
      </c>
      <c r="BL14" s="446">
        <f>IF($G14=6,CF14,0)</f>
        <v>0</v>
      </c>
      <c r="BM14" s="446">
        <f>IF($G14=7,CG14,0)</f>
        <v>0</v>
      </c>
      <c r="BN14" s="446">
        <f>IF($G14=8,CH14,0)</f>
        <v>0.36</v>
      </c>
      <c r="BO14" s="446">
        <f>IF($G14=9,CI14,0)</f>
        <v>0</v>
      </c>
      <c r="BP14" s="446">
        <f>IF($G14=10,CJ14,0)</f>
        <v>0</v>
      </c>
      <c r="BQ14" s="446">
        <f>IF($G14=11,CK14,0)</f>
        <v>0</v>
      </c>
      <c r="BR14" s="446">
        <f>IF($G14=12,CL14,0)</f>
        <v>0</v>
      </c>
      <c r="BS14" s="446">
        <f>IF($G14=13,CM14,0)</f>
        <v>0</v>
      </c>
      <c r="BT14" s="446">
        <f>IF($G14=14,CN14,0)</f>
        <v>0</v>
      </c>
      <c r="BU14" s="446">
        <f>IF($G14=15,CO14,0)</f>
        <v>0</v>
      </c>
      <c r="BV14" s="446">
        <f>IF($G14=16,CP14,0)</f>
        <v>0</v>
      </c>
      <c r="BW14" s="446">
        <f>IF($G14=17,CQ14,0)</f>
        <v>0</v>
      </c>
      <c r="BX14" s="446">
        <f>IF($G14=18,CR14,0)</f>
        <v>0</v>
      </c>
      <c r="BY14" s="446">
        <f>IF($G14=19,CS14,0)</f>
        <v>0</v>
      </c>
      <c r="BZ14" s="446">
        <f>IF($G14=20,CT14,0)</f>
        <v>0</v>
      </c>
      <c r="CA14" s="421">
        <v>0.67</v>
      </c>
      <c r="CB14" s="421">
        <v>0.59</v>
      </c>
      <c r="CC14" s="421">
        <v>0.54</v>
      </c>
      <c r="CD14" s="421">
        <v>0.49</v>
      </c>
      <c r="CE14" s="421">
        <v>0.45</v>
      </c>
      <c r="CF14" s="421">
        <v>0.42</v>
      </c>
      <c r="CG14" s="421">
        <v>0.39</v>
      </c>
      <c r="CH14" s="421">
        <v>0.36</v>
      </c>
      <c r="CI14" s="421">
        <v>0.34</v>
      </c>
      <c r="CJ14" s="421">
        <v>0.32</v>
      </c>
      <c r="CK14" s="421">
        <v>0.3</v>
      </c>
      <c r="CL14" s="421">
        <v>0.28000000000000003</v>
      </c>
      <c r="CM14" s="421">
        <v>0.26</v>
      </c>
      <c r="CN14" s="421">
        <v>0.24</v>
      </c>
      <c r="CO14" s="421">
        <v>0.23</v>
      </c>
      <c r="CP14" s="421">
        <v>0.21</v>
      </c>
      <c r="CQ14" s="421">
        <v>0.2</v>
      </c>
      <c r="CR14" s="421">
        <v>0.19</v>
      </c>
      <c r="CS14" s="421">
        <v>0.18</v>
      </c>
      <c r="CT14" s="421">
        <v>0.17</v>
      </c>
    </row>
    <row r="15" spans="1:98" ht="13.9" x14ac:dyDescent="0.4">
      <c r="A15" s="11" t="str">
        <f>A6_Machine_Look_Up!A15</f>
        <v>Subsoiler, 25 ft.</v>
      </c>
      <c r="B15" s="1302">
        <f>A6_Machine_Look_Up!H15</f>
        <v>160</v>
      </c>
      <c r="C15" s="405">
        <f>A6_Machine_Look_Up!I15</f>
        <v>0.85</v>
      </c>
      <c r="D15" s="468">
        <f>A6_Machine_Look_Up!J15</f>
        <v>8</v>
      </c>
      <c r="E15" s="441">
        <f t="shared" ref="E15:E51" si="0">O15</f>
        <v>0.35</v>
      </c>
      <c r="F15" s="491">
        <f>A6_Machine_Look_Up!K15</f>
        <v>600</v>
      </c>
      <c r="G15" s="492">
        <f>A6_Machine_Look_Up!L15</f>
        <v>8</v>
      </c>
      <c r="H15" s="450">
        <f t="shared" ref="H15:H42" si="1">BF15</f>
        <v>0.36</v>
      </c>
      <c r="I15" s="225">
        <f>A6_Machine_Look_Up!G15</f>
        <v>230</v>
      </c>
      <c r="J15" s="578">
        <f>A6_Machine_Look_Up!AG15</f>
        <v>0.28999999999999998</v>
      </c>
      <c r="K15" s="579">
        <f>A6_Machine_Look_Up!AH15</f>
        <v>1.8</v>
      </c>
      <c r="L15" s="592">
        <f>A6_Machine_Look_Up!AI15</f>
        <v>1.04</v>
      </c>
      <c r="M15" s="677">
        <f t="shared" ref="M15:M51" si="2">IF(OR(D15&lt;1,D15&gt;20),1,0)</f>
        <v>0</v>
      </c>
      <c r="N15" s="447" t="str">
        <f>A6_Machine_Look_Up!AE15</f>
        <v>Plows</v>
      </c>
      <c r="O15" s="425">
        <f t="shared" ref="O15:O51" si="3">SUM(P15:AI15)</f>
        <v>0.35</v>
      </c>
      <c r="P15" s="420">
        <f t="shared" ref="P15:P51" si="4">IF($D15=1,AJ15,0)</f>
        <v>0</v>
      </c>
      <c r="Q15" s="420">
        <f t="shared" ref="Q15:Q51" si="5">IF($D15=2,AK15,0)</f>
        <v>0</v>
      </c>
      <c r="R15" s="420">
        <f t="shared" ref="R15:R51" si="6">IF($D15=3,AL15,0)</f>
        <v>0</v>
      </c>
      <c r="S15" s="420">
        <f t="shared" ref="S15:S51" si="7">IF($D15=4,AM15,0)</f>
        <v>0</v>
      </c>
      <c r="T15" s="420">
        <f t="shared" ref="T15:T51" si="8">IF($D15=5,AN15,0)</f>
        <v>0</v>
      </c>
      <c r="U15" s="420">
        <f t="shared" ref="U15:U51" si="9">IF($D15=6,AO15,0)</f>
        <v>0</v>
      </c>
      <c r="V15" s="420">
        <f t="shared" ref="V15:V51" si="10">IF($D15=7,AP15,0)</f>
        <v>0</v>
      </c>
      <c r="W15" s="420">
        <f t="shared" ref="W15:W51" si="11">IF($D15=8,AQ15,0)</f>
        <v>0.35</v>
      </c>
      <c r="X15" s="420">
        <f t="shared" ref="X15:X51" si="12">IF($D15=9,AR15,0)</f>
        <v>0</v>
      </c>
      <c r="Y15" s="420">
        <f t="shared" ref="Y15:Y51" si="13">IF($D15=10,AS15,0)</f>
        <v>0</v>
      </c>
      <c r="Z15" s="420">
        <f t="shared" ref="Z15:Z51" si="14">IF($D15=11,AT15,0)</f>
        <v>0</v>
      </c>
      <c r="AA15" s="420">
        <f t="shared" ref="AA15:AA51" si="15">IF($D15=12,AU15,0)</f>
        <v>0</v>
      </c>
      <c r="AB15" s="420">
        <f t="shared" ref="AB15:AB51" si="16">IF($D15=13,AV15,0)</f>
        <v>0</v>
      </c>
      <c r="AC15" s="420">
        <f t="shared" ref="AC15:AC51" si="17">IF($D15=14,AW15,0)</f>
        <v>0</v>
      </c>
      <c r="AD15" s="420">
        <f t="shared" ref="AD15:AD51" si="18">IF($D15=15,AX15,0)</f>
        <v>0</v>
      </c>
      <c r="AE15" s="420">
        <f t="shared" ref="AE15:AE51" si="19">IF($D15=16,AY15,0)</f>
        <v>0</v>
      </c>
      <c r="AF15" s="420">
        <f t="shared" ref="AF15:AF51" si="20">IF($D15=17,AZ15,0)</f>
        <v>0</v>
      </c>
      <c r="AG15" s="420">
        <f t="shared" ref="AG15:AG51" si="21">IF($D15=18,BA15,0)</f>
        <v>0</v>
      </c>
      <c r="AH15" s="420">
        <f t="shared" ref="AH15:AH51" si="22">IF($D15=19,BB15,0)</f>
        <v>0</v>
      </c>
      <c r="AI15" s="420">
        <f t="shared" ref="AI15:AI51" si="23">IF($D15=20,BC15,0)</f>
        <v>0</v>
      </c>
      <c r="AJ15" s="421">
        <v>0.47</v>
      </c>
      <c r="AK15" s="421">
        <v>0.44</v>
      </c>
      <c r="AL15" s="421">
        <v>0.42</v>
      </c>
      <c r="AM15" s="421">
        <v>0.4</v>
      </c>
      <c r="AN15" s="421">
        <v>0.39</v>
      </c>
      <c r="AO15" s="421">
        <v>0.38</v>
      </c>
      <c r="AP15" s="421">
        <v>0.36</v>
      </c>
      <c r="AQ15" s="421">
        <v>0.35</v>
      </c>
      <c r="AR15" s="421">
        <v>0.34</v>
      </c>
      <c r="AS15" s="421">
        <v>0.33</v>
      </c>
      <c r="AT15" s="421">
        <v>0.32</v>
      </c>
      <c r="AU15" s="421">
        <v>0.32</v>
      </c>
      <c r="AV15" s="421">
        <v>0.31</v>
      </c>
      <c r="AW15" s="421">
        <v>0.3</v>
      </c>
      <c r="AX15" s="421">
        <v>0.28999999999999998</v>
      </c>
      <c r="AY15" s="421">
        <v>0.28999999999999998</v>
      </c>
      <c r="AZ15" s="421">
        <v>0.28000000000000003</v>
      </c>
      <c r="BA15" s="421">
        <v>0.27</v>
      </c>
      <c r="BB15" s="421">
        <v>0.27</v>
      </c>
      <c r="BC15" s="421">
        <v>0.26</v>
      </c>
      <c r="BD15" s="681">
        <f t="shared" ref="BD15:BD42" si="24">IF(OR(G15&lt;1,G15&gt;20),1,0)</f>
        <v>0</v>
      </c>
      <c r="BE15" s="417" t="s">
        <v>331</v>
      </c>
      <c r="BF15" s="425">
        <f t="shared" ref="BF15:BF42" si="25">SUM(BG15:BZ15)</f>
        <v>0.36</v>
      </c>
      <c r="BG15" s="420">
        <f t="shared" ref="BG15:BG42" si="26">IF($G15=1,CA15,0)</f>
        <v>0</v>
      </c>
      <c r="BH15" s="420">
        <f t="shared" ref="BH15:BH42" si="27">IF($G15=2,CB15,0)</f>
        <v>0</v>
      </c>
      <c r="BI15" s="420">
        <f t="shared" ref="BI15:BI42" si="28">IF($G15=3,CC15,0)</f>
        <v>0</v>
      </c>
      <c r="BJ15" s="420">
        <f t="shared" ref="BJ15:BJ42" si="29">IF($G15=4,CD15,0)</f>
        <v>0</v>
      </c>
      <c r="BK15" s="420">
        <f t="shared" ref="BK15:BK42" si="30">IF($G15=5,CE15,0)</f>
        <v>0</v>
      </c>
      <c r="BL15" s="420">
        <f t="shared" ref="BL15:BL42" si="31">IF($G15=6,CF15,0)</f>
        <v>0</v>
      </c>
      <c r="BM15" s="420">
        <f t="shared" ref="BM15:BM42" si="32">IF($G15=7,CG15,0)</f>
        <v>0</v>
      </c>
      <c r="BN15" s="420">
        <f t="shared" ref="BN15:BN42" si="33">IF($G15=8,CH15,0)</f>
        <v>0.36</v>
      </c>
      <c r="BO15" s="420">
        <f t="shared" ref="BO15:BO42" si="34">IF($G15=9,CI15,0)</f>
        <v>0</v>
      </c>
      <c r="BP15" s="420">
        <f t="shared" ref="BP15:BP42" si="35">IF($G15=10,CJ15,0)</f>
        <v>0</v>
      </c>
      <c r="BQ15" s="420">
        <f t="shared" ref="BQ15:BQ42" si="36">IF($G15=11,CK15,0)</f>
        <v>0</v>
      </c>
      <c r="BR15" s="420">
        <f t="shared" ref="BR15:BR42" si="37">IF($G15=12,CL15,0)</f>
        <v>0</v>
      </c>
      <c r="BS15" s="420">
        <f t="shared" ref="BS15:BS42" si="38">IF($G15=13,CM15,0)</f>
        <v>0</v>
      </c>
      <c r="BT15" s="420">
        <f t="shared" ref="BT15:BT42" si="39">IF($G15=14,CN15,0)</f>
        <v>0</v>
      </c>
      <c r="BU15" s="420">
        <f t="shared" ref="BU15:BU42" si="40">IF($G15=15,CO15,0)</f>
        <v>0</v>
      </c>
      <c r="BV15" s="420">
        <f t="shared" ref="BV15:BV42" si="41">IF($G15=16,CP15,0)</f>
        <v>0</v>
      </c>
      <c r="BW15" s="420">
        <f t="shared" ref="BW15:BW42" si="42">IF($G15=17,CQ15,0)</f>
        <v>0</v>
      </c>
      <c r="BX15" s="420">
        <f t="shared" ref="BX15:BX42" si="43">IF($G15=18,CR15,0)</f>
        <v>0</v>
      </c>
      <c r="BY15" s="420">
        <f t="shared" ref="BY15:BY42" si="44">IF($G15=19,CS15,0)</f>
        <v>0</v>
      </c>
      <c r="BZ15" s="420">
        <f t="shared" ref="BZ15:BZ42" si="45">IF($G15=20,CT15,0)</f>
        <v>0</v>
      </c>
      <c r="CA15" s="421">
        <v>0.67</v>
      </c>
      <c r="CB15" s="421">
        <v>0.59</v>
      </c>
      <c r="CC15" s="421">
        <v>0.54</v>
      </c>
      <c r="CD15" s="421">
        <v>0.49</v>
      </c>
      <c r="CE15" s="421">
        <v>0.45</v>
      </c>
      <c r="CF15" s="421">
        <v>0.42</v>
      </c>
      <c r="CG15" s="421">
        <v>0.39</v>
      </c>
      <c r="CH15" s="421">
        <v>0.36</v>
      </c>
      <c r="CI15" s="421">
        <v>0.34</v>
      </c>
      <c r="CJ15" s="421">
        <v>0.32</v>
      </c>
      <c r="CK15" s="421">
        <v>0.3</v>
      </c>
      <c r="CL15" s="421">
        <v>0.28000000000000003</v>
      </c>
      <c r="CM15" s="421">
        <v>0.26</v>
      </c>
      <c r="CN15" s="421">
        <v>0.24</v>
      </c>
      <c r="CO15" s="421">
        <v>0.23</v>
      </c>
      <c r="CP15" s="421">
        <v>0.21</v>
      </c>
      <c r="CQ15" s="421">
        <v>0.2</v>
      </c>
      <c r="CR15" s="421">
        <v>0.19</v>
      </c>
      <c r="CS15" s="421">
        <v>0.18</v>
      </c>
      <c r="CT15" s="421">
        <v>0.17</v>
      </c>
    </row>
    <row r="16" spans="1:98" ht="13.9" x14ac:dyDescent="0.4">
      <c r="A16" s="11" t="str">
        <f>A6_Machine_Look_Up!A16</f>
        <v>Subsoiler, 5 shank</v>
      </c>
      <c r="B16" s="1302">
        <f>A6_Machine_Look_Up!H16</f>
        <v>160</v>
      </c>
      <c r="C16" s="405">
        <f>A6_Machine_Look_Up!I16</f>
        <v>0.85</v>
      </c>
      <c r="D16" s="468">
        <f>A6_Machine_Look_Up!J16</f>
        <v>8</v>
      </c>
      <c r="E16" s="441">
        <f t="shared" si="0"/>
        <v>0.35</v>
      </c>
      <c r="F16" s="491">
        <f>A6_Machine_Look_Up!K16</f>
        <v>600</v>
      </c>
      <c r="G16" s="492">
        <f>A6_Machine_Look_Up!L16</f>
        <v>8</v>
      </c>
      <c r="H16" s="450">
        <f t="shared" si="1"/>
        <v>0.36</v>
      </c>
      <c r="I16" s="225">
        <f>A6_Machine_Look_Up!G16</f>
        <v>230</v>
      </c>
      <c r="J16" s="578">
        <f>A6_Machine_Look_Up!AG16</f>
        <v>0.28999999999999998</v>
      </c>
      <c r="K16" s="579">
        <f>A6_Machine_Look_Up!AH16</f>
        <v>1.8</v>
      </c>
      <c r="L16" s="592">
        <f>A6_Machine_Look_Up!AI16</f>
        <v>1.04</v>
      </c>
      <c r="M16" s="677">
        <f t="shared" si="2"/>
        <v>0</v>
      </c>
      <c r="N16" s="447" t="str">
        <f>A6_Machine_Look_Up!AE16</f>
        <v>Plows</v>
      </c>
      <c r="O16" s="425">
        <f t="shared" si="3"/>
        <v>0.35</v>
      </c>
      <c r="P16" s="420">
        <f t="shared" si="4"/>
        <v>0</v>
      </c>
      <c r="Q16" s="420">
        <f t="shared" si="5"/>
        <v>0</v>
      </c>
      <c r="R16" s="420">
        <f t="shared" si="6"/>
        <v>0</v>
      </c>
      <c r="S16" s="420">
        <f t="shared" si="7"/>
        <v>0</v>
      </c>
      <c r="T16" s="420">
        <f t="shared" si="8"/>
        <v>0</v>
      </c>
      <c r="U16" s="420">
        <f t="shared" si="9"/>
        <v>0</v>
      </c>
      <c r="V16" s="420">
        <f t="shared" si="10"/>
        <v>0</v>
      </c>
      <c r="W16" s="420">
        <f t="shared" si="11"/>
        <v>0.35</v>
      </c>
      <c r="X16" s="420">
        <f t="shared" si="12"/>
        <v>0</v>
      </c>
      <c r="Y16" s="420">
        <f t="shared" si="13"/>
        <v>0</v>
      </c>
      <c r="Z16" s="420">
        <f t="shared" si="14"/>
        <v>0</v>
      </c>
      <c r="AA16" s="420">
        <f t="shared" si="15"/>
        <v>0</v>
      </c>
      <c r="AB16" s="420">
        <f t="shared" si="16"/>
        <v>0</v>
      </c>
      <c r="AC16" s="420">
        <f t="shared" si="17"/>
        <v>0</v>
      </c>
      <c r="AD16" s="420">
        <f t="shared" si="18"/>
        <v>0</v>
      </c>
      <c r="AE16" s="420">
        <f t="shared" si="19"/>
        <v>0</v>
      </c>
      <c r="AF16" s="420">
        <f t="shared" si="20"/>
        <v>0</v>
      </c>
      <c r="AG16" s="420">
        <f t="shared" si="21"/>
        <v>0</v>
      </c>
      <c r="AH16" s="420">
        <f t="shared" si="22"/>
        <v>0</v>
      </c>
      <c r="AI16" s="420">
        <f t="shared" si="23"/>
        <v>0</v>
      </c>
      <c r="AJ16" s="421">
        <v>0.47</v>
      </c>
      <c r="AK16" s="421">
        <v>0.44</v>
      </c>
      <c r="AL16" s="421">
        <v>0.42</v>
      </c>
      <c r="AM16" s="421">
        <v>0.4</v>
      </c>
      <c r="AN16" s="421">
        <v>0.39</v>
      </c>
      <c r="AO16" s="421">
        <v>0.38</v>
      </c>
      <c r="AP16" s="421">
        <v>0.36</v>
      </c>
      <c r="AQ16" s="421">
        <v>0.35</v>
      </c>
      <c r="AR16" s="421">
        <v>0.34</v>
      </c>
      <c r="AS16" s="421">
        <v>0.33</v>
      </c>
      <c r="AT16" s="421">
        <v>0.32</v>
      </c>
      <c r="AU16" s="421">
        <v>0.32</v>
      </c>
      <c r="AV16" s="421">
        <v>0.31</v>
      </c>
      <c r="AW16" s="421">
        <v>0.3</v>
      </c>
      <c r="AX16" s="421">
        <v>0.28999999999999998</v>
      </c>
      <c r="AY16" s="421">
        <v>0.28999999999999998</v>
      </c>
      <c r="AZ16" s="421">
        <v>0.28000000000000003</v>
      </c>
      <c r="BA16" s="421">
        <v>0.27</v>
      </c>
      <c r="BB16" s="421">
        <v>0.27</v>
      </c>
      <c r="BC16" s="421">
        <v>0.26</v>
      </c>
      <c r="BD16" s="681">
        <f t="shared" si="24"/>
        <v>0</v>
      </c>
      <c r="BE16" s="417" t="s">
        <v>331</v>
      </c>
      <c r="BF16" s="425">
        <f t="shared" si="25"/>
        <v>0.36</v>
      </c>
      <c r="BG16" s="420">
        <f t="shared" si="26"/>
        <v>0</v>
      </c>
      <c r="BH16" s="420">
        <f t="shared" si="27"/>
        <v>0</v>
      </c>
      <c r="BI16" s="420">
        <f t="shared" si="28"/>
        <v>0</v>
      </c>
      <c r="BJ16" s="420">
        <f t="shared" si="29"/>
        <v>0</v>
      </c>
      <c r="BK16" s="420">
        <f t="shared" si="30"/>
        <v>0</v>
      </c>
      <c r="BL16" s="420">
        <f t="shared" si="31"/>
        <v>0</v>
      </c>
      <c r="BM16" s="420">
        <f t="shared" si="32"/>
        <v>0</v>
      </c>
      <c r="BN16" s="420">
        <f t="shared" si="33"/>
        <v>0.36</v>
      </c>
      <c r="BO16" s="420">
        <f t="shared" si="34"/>
        <v>0</v>
      </c>
      <c r="BP16" s="420">
        <f t="shared" si="35"/>
        <v>0</v>
      </c>
      <c r="BQ16" s="420">
        <f t="shared" si="36"/>
        <v>0</v>
      </c>
      <c r="BR16" s="420">
        <f t="shared" si="37"/>
        <v>0</v>
      </c>
      <c r="BS16" s="420">
        <f t="shared" si="38"/>
        <v>0</v>
      </c>
      <c r="BT16" s="420">
        <f t="shared" si="39"/>
        <v>0</v>
      </c>
      <c r="BU16" s="420">
        <f t="shared" si="40"/>
        <v>0</v>
      </c>
      <c r="BV16" s="420">
        <f t="shared" si="41"/>
        <v>0</v>
      </c>
      <c r="BW16" s="420">
        <f t="shared" si="42"/>
        <v>0</v>
      </c>
      <c r="BX16" s="420">
        <f t="shared" si="43"/>
        <v>0</v>
      </c>
      <c r="BY16" s="420">
        <f t="shared" si="44"/>
        <v>0</v>
      </c>
      <c r="BZ16" s="420">
        <f t="shared" si="45"/>
        <v>0</v>
      </c>
      <c r="CA16" s="421">
        <v>0.67</v>
      </c>
      <c r="CB16" s="421">
        <v>0.59</v>
      </c>
      <c r="CC16" s="421">
        <v>0.54</v>
      </c>
      <c r="CD16" s="421">
        <v>0.49</v>
      </c>
      <c r="CE16" s="421">
        <v>0.45</v>
      </c>
      <c r="CF16" s="421">
        <v>0.42</v>
      </c>
      <c r="CG16" s="421">
        <v>0.39</v>
      </c>
      <c r="CH16" s="421">
        <v>0.36</v>
      </c>
      <c r="CI16" s="421">
        <v>0.34</v>
      </c>
      <c r="CJ16" s="421">
        <v>0.32</v>
      </c>
      <c r="CK16" s="421">
        <v>0.3</v>
      </c>
      <c r="CL16" s="421">
        <v>0.28000000000000003</v>
      </c>
      <c r="CM16" s="421">
        <v>0.26</v>
      </c>
      <c r="CN16" s="421">
        <v>0.24</v>
      </c>
      <c r="CO16" s="421">
        <v>0.23</v>
      </c>
      <c r="CP16" s="421">
        <v>0.21</v>
      </c>
      <c r="CQ16" s="421">
        <v>0.2</v>
      </c>
      <c r="CR16" s="421">
        <v>0.19</v>
      </c>
      <c r="CS16" s="421">
        <v>0.18</v>
      </c>
      <c r="CT16" s="421">
        <v>0.17</v>
      </c>
    </row>
    <row r="17" spans="1:98" ht="13.9" x14ac:dyDescent="0.4">
      <c r="A17" s="11" t="str">
        <f>A6_Machine_Look_Up!A17</f>
        <v>Bedder, Rip/Disk</v>
      </c>
      <c r="B17" s="1302">
        <f>A6_Machine_Look_Up!H17</f>
        <v>160</v>
      </c>
      <c r="C17" s="405">
        <f>A6_Machine_Look_Up!I17</f>
        <v>0.85</v>
      </c>
      <c r="D17" s="468">
        <f>A6_Machine_Look_Up!J17</f>
        <v>8</v>
      </c>
      <c r="E17" s="441">
        <f t="shared" si="0"/>
        <v>0.35</v>
      </c>
      <c r="F17" s="491">
        <f>A6_Machine_Look_Up!K17</f>
        <v>600</v>
      </c>
      <c r="G17" s="492">
        <f>A6_Machine_Look_Up!L17</f>
        <v>8</v>
      </c>
      <c r="H17" s="450">
        <f t="shared" si="1"/>
        <v>0.36</v>
      </c>
      <c r="I17" s="225">
        <f>A6_Machine_Look_Up!G17</f>
        <v>230</v>
      </c>
      <c r="J17" s="578">
        <f>A6_Machine_Look_Up!AG17</f>
        <v>0.18</v>
      </c>
      <c r="K17" s="579">
        <f>A6_Machine_Look_Up!AH17</f>
        <v>1.7</v>
      </c>
      <c r="L17" s="592">
        <f>A6_Machine_Look_Up!AI17</f>
        <v>1.04</v>
      </c>
      <c r="M17" s="677">
        <f t="shared" si="2"/>
        <v>0</v>
      </c>
      <c r="N17" s="447" t="str">
        <f>A6_Machine_Look_Up!AE17</f>
        <v>Plows</v>
      </c>
      <c r="O17" s="425">
        <f t="shared" si="3"/>
        <v>0.35</v>
      </c>
      <c r="P17" s="420">
        <f t="shared" si="4"/>
        <v>0</v>
      </c>
      <c r="Q17" s="420">
        <f t="shared" si="5"/>
        <v>0</v>
      </c>
      <c r="R17" s="420">
        <f t="shared" si="6"/>
        <v>0</v>
      </c>
      <c r="S17" s="420">
        <f t="shared" si="7"/>
        <v>0</v>
      </c>
      <c r="T17" s="420">
        <f t="shared" si="8"/>
        <v>0</v>
      </c>
      <c r="U17" s="420">
        <f t="shared" si="9"/>
        <v>0</v>
      </c>
      <c r="V17" s="420">
        <f t="shared" si="10"/>
        <v>0</v>
      </c>
      <c r="W17" s="420">
        <f t="shared" si="11"/>
        <v>0.35</v>
      </c>
      <c r="X17" s="420">
        <f t="shared" si="12"/>
        <v>0</v>
      </c>
      <c r="Y17" s="420">
        <f t="shared" si="13"/>
        <v>0</v>
      </c>
      <c r="Z17" s="420">
        <f t="shared" si="14"/>
        <v>0</v>
      </c>
      <c r="AA17" s="420">
        <f t="shared" si="15"/>
        <v>0</v>
      </c>
      <c r="AB17" s="420">
        <f t="shared" si="16"/>
        <v>0</v>
      </c>
      <c r="AC17" s="420">
        <f t="shared" si="17"/>
        <v>0</v>
      </c>
      <c r="AD17" s="420">
        <f t="shared" si="18"/>
        <v>0</v>
      </c>
      <c r="AE17" s="420">
        <f t="shared" si="19"/>
        <v>0</v>
      </c>
      <c r="AF17" s="420">
        <f t="shared" si="20"/>
        <v>0</v>
      </c>
      <c r="AG17" s="420">
        <f t="shared" si="21"/>
        <v>0</v>
      </c>
      <c r="AH17" s="420">
        <f t="shared" si="22"/>
        <v>0</v>
      </c>
      <c r="AI17" s="420">
        <f t="shared" si="23"/>
        <v>0</v>
      </c>
      <c r="AJ17" s="421">
        <v>0.47</v>
      </c>
      <c r="AK17" s="421">
        <v>0.44</v>
      </c>
      <c r="AL17" s="421">
        <v>0.42</v>
      </c>
      <c r="AM17" s="421">
        <v>0.4</v>
      </c>
      <c r="AN17" s="421">
        <v>0.39</v>
      </c>
      <c r="AO17" s="421">
        <v>0.38</v>
      </c>
      <c r="AP17" s="421">
        <v>0.36</v>
      </c>
      <c r="AQ17" s="421">
        <v>0.35</v>
      </c>
      <c r="AR17" s="421">
        <v>0.34</v>
      </c>
      <c r="AS17" s="421">
        <v>0.33</v>
      </c>
      <c r="AT17" s="421">
        <v>0.32</v>
      </c>
      <c r="AU17" s="421">
        <v>0.32</v>
      </c>
      <c r="AV17" s="421">
        <v>0.31</v>
      </c>
      <c r="AW17" s="421">
        <v>0.3</v>
      </c>
      <c r="AX17" s="421">
        <v>0.28999999999999998</v>
      </c>
      <c r="AY17" s="421">
        <v>0.28999999999999998</v>
      </c>
      <c r="AZ17" s="421">
        <v>0.28000000000000003</v>
      </c>
      <c r="BA17" s="421">
        <v>0.27</v>
      </c>
      <c r="BB17" s="421">
        <v>0.27</v>
      </c>
      <c r="BC17" s="421">
        <v>0.26</v>
      </c>
      <c r="BD17" s="681">
        <f t="shared" si="24"/>
        <v>0</v>
      </c>
      <c r="BE17" s="417" t="s">
        <v>331</v>
      </c>
      <c r="BF17" s="425">
        <f t="shared" si="25"/>
        <v>0.36</v>
      </c>
      <c r="BG17" s="420">
        <f t="shared" si="26"/>
        <v>0</v>
      </c>
      <c r="BH17" s="420">
        <f t="shared" si="27"/>
        <v>0</v>
      </c>
      <c r="BI17" s="420">
        <f t="shared" si="28"/>
        <v>0</v>
      </c>
      <c r="BJ17" s="420">
        <f t="shared" si="29"/>
        <v>0</v>
      </c>
      <c r="BK17" s="420">
        <f t="shared" si="30"/>
        <v>0</v>
      </c>
      <c r="BL17" s="420">
        <f t="shared" si="31"/>
        <v>0</v>
      </c>
      <c r="BM17" s="420">
        <f t="shared" si="32"/>
        <v>0</v>
      </c>
      <c r="BN17" s="420">
        <f t="shared" si="33"/>
        <v>0.36</v>
      </c>
      <c r="BO17" s="420">
        <f t="shared" si="34"/>
        <v>0</v>
      </c>
      <c r="BP17" s="420">
        <f t="shared" si="35"/>
        <v>0</v>
      </c>
      <c r="BQ17" s="420">
        <f t="shared" si="36"/>
        <v>0</v>
      </c>
      <c r="BR17" s="420">
        <f t="shared" si="37"/>
        <v>0</v>
      </c>
      <c r="BS17" s="420">
        <f t="shared" si="38"/>
        <v>0</v>
      </c>
      <c r="BT17" s="420">
        <f t="shared" si="39"/>
        <v>0</v>
      </c>
      <c r="BU17" s="420">
        <f t="shared" si="40"/>
        <v>0</v>
      </c>
      <c r="BV17" s="420">
        <f t="shared" si="41"/>
        <v>0</v>
      </c>
      <c r="BW17" s="420">
        <f t="shared" si="42"/>
        <v>0</v>
      </c>
      <c r="BX17" s="420">
        <f t="shared" si="43"/>
        <v>0</v>
      </c>
      <c r="BY17" s="420">
        <f t="shared" si="44"/>
        <v>0</v>
      </c>
      <c r="BZ17" s="420">
        <f t="shared" si="45"/>
        <v>0</v>
      </c>
      <c r="CA17" s="421">
        <v>0.67</v>
      </c>
      <c r="CB17" s="421">
        <v>0.59</v>
      </c>
      <c r="CC17" s="421">
        <v>0.54</v>
      </c>
      <c r="CD17" s="421">
        <v>0.49</v>
      </c>
      <c r="CE17" s="421">
        <v>0.45</v>
      </c>
      <c r="CF17" s="421">
        <v>0.42</v>
      </c>
      <c r="CG17" s="421">
        <v>0.39</v>
      </c>
      <c r="CH17" s="421">
        <v>0.36</v>
      </c>
      <c r="CI17" s="421">
        <v>0.34</v>
      </c>
      <c r="CJ17" s="421">
        <v>0.32</v>
      </c>
      <c r="CK17" s="421">
        <v>0.3</v>
      </c>
      <c r="CL17" s="421">
        <v>0.28000000000000003</v>
      </c>
      <c r="CM17" s="421">
        <v>0.26</v>
      </c>
      <c r="CN17" s="421">
        <v>0.24</v>
      </c>
      <c r="CO17" s="421">
        <v>0.23</v>
      </c>
      <c r="CP17" s="421">
        <v>0.21</v>
      </c>
      <c r="CQ17" s="421">
        <v>0.2</v>
      </c>
      <c r="CR17" s="421">
        <v>0.19</v>
      </c>
      <c r="CS17" s="421">
        <v>0.18</v>
      </c>
      <c r="CT17" s="421">
        <v>0.17</v>
      </c>
    </row>
    <row r="18" spans="1:98" ht="13.9" x14ac:dyDescent="0.4">
      <c r="A18" s="11" t="str">
        <f>A6_Machine_Look_Up!A18</f>
        <v>Bedder, Lister</v>
      </c>
      <c r="B18" s="1302">
        <f>A6_Machine_Look_Up!H18</f>
        <v>160</v>
      </c>
      <c r="C18" s="405">
        <f>A6_Machine_Look_Up!I18</f>
        <v>0.85</v>
      </c>
      <c r="D18" s="468">
        <f>A6_Machine_Look_Up!J18</f>
        <v>8</v>
      </c>
      <c r="E18" s="441">
        <f t="shared" si="0"/>
        <v>0.35</v>
      </c>
      <c r="F18" s="491">
        <f>A6_Machine_Look_Up!K18</f>
        <v>600</v>
      </c>
      <c r="G18" s="492">
        <f>A6_Machine_Look_Up!L18</f>
        <v>8</v>
      </c>
      <c r="H18" s="450">
        <f t="shared" si="1"/>
        <v>0.36</v>
      </c>
      <c r="I18" s="225">
        <f>A6_Machine_Look_Up!G18</f>
        <v>230</v>
      </c>
      <c r="J18" s="578">
        <f>A6_Machine_Look_Up!AG18</f>
        <v>0.28999999999999998</v>
      </c>
      <c r="K18" s="579">
        <f>A6_Machine_Look_Up!AH18</f>
        <v>1.8</v>
      </c>
      <c r="L18" s="592">
        <f>A6_Machine_Look_Up!AI18</f>
        <v>1.04</v>
      </c>
      <c r="M18" s="677">
        <f t="shared" si="2"/>
        <v>0</v>
      </c>
      <c r="N18" s="447" t="str">
        <f>A6_Machine_Look_Up!AE18</f>
        <v>Plows</v>
      </c>
      <c r="O18" s="425">
        <f t="shared" si="3"/>
        <v>0.35</v>
      </c>
      <c r="P18" s="420">
        <f t="shared" si="4"/>
        <v>0</v>
      </c>
      <c r="Q18" s="420">
        <f t="shared" si="5"/>
        <v>0</v>
      </c>
      <c r="R18" s="420">
        <f t="shared" si="6"/>
        <v>0</v>
      </c>
      <c r="S18" s="420">
        <f t="shared" si="7"/>
        <v>0</v>
      </c>
      <c r="T18" s="420">
        <f t="shared" si="8"/>
        <v>0</v>
      </c>
      <c r="U18" s="420">
        <f t="shared" si="9"/>
        <v>0</v>
      </c>
      <c r="V18" s="420">
        <f t="shared" si="10"/>
        <v>0</v>
      </c>
      <c r="W18" s="420">
        <f t="shared" si="11"/>
        <v>0.35</v>
      </c>
      <c r="X18" s="420">
        <f t="shared" si="12"/>
        <v>0</v>
      </c>
      <c r="Y18" s="420">
        <f t="shared" si="13"/>
        <v>0</v>
      </c>
      <c r="Z18" s="420">
        <f t="shared" si="14"/>
        <v>0</v>
      </c>
      <c r="AA18" s="420">
        <f t="shared" si="15"/>
        <v>0</v>
      </c>
      <c r="AB18" s="420">
        <f t="shared" si="16"/>
        <v>0</v>
      </c>
      <c r="AC18" s="420">
        <f t="shared" si="17"/>
        <v>0</v>
      </c>
      <c r="AD18" s="420">
        <f t="shared" si="18"/>
        <v>0</v>
      </c>
      <c r="AE18" s="420">
        <f t="shared" si="19"/>
        <v>0</v>
      </c>
      <c r="AF18" s="420">
        <f t="shared" si="20"/>
        <v>0</v>
      </c>
      <c r="AG18" s="420">
        <f t="shared" si="21"/>
        <v>0</v>
      </c>
      <c r="AH18" s="420">
        <f t="shared" si="22"/>
        <v>0</v>
      </c>
      <c r="AI18" s="420">
        <f t="shared" si="23"/>
        <v>0</v>
      </c>
      <c r="AJ18" s="421">
        <v>0.47</v>
      </c>
      <c r="AK18" s="421">
        <v>0.44</v>
      </c>
      <c r="AL18" s="421">
        <v>0.42</v>
      </c>
      <c r="AM18" s="421">
        <v>0.4</v>
      </c>
      <c r="AN18" s="421">
        <v>0.39</v>
      </c>
      <c r="AO18" s="421">
        <v>0.38</v>
      </c>
      <c r="AP18" s="421">
        <v>0.36</v>
      </c>
      <c r="AQ18" s="421">
        <v>0.35</v>
      </c>
      <c r="AR18" s="421">
        <v>0.34</v>
      </c>
      <c r="AS18" s="421">
        <v>0.33</v>
      </c>
      <c r="AT18" s="421">
        <v>0.32</v>
      </c>
      <c r="AU18" s="421">
        <v>0.32</v>
      </c>
      <c r="AV18" s="421">
        <v>0.31</v>
      </c>
      <c r="AW18" s="421">
        <v>0.3</v>
      </c>
      <c r="AX18" s="421">
        <v>0.28999999999999998</v>
      </c>
      <c r="AY18" s="421">
        <v>0.28999999999999998</v>
      </c>
      <c r="AZ18" s="421">
        <v>0.28000000000000003</v>
      </c>
      <c r="BA18" s="421">
        <v>0.27</v>
      </c>
      <c r="BB18" s="421">
        <v>0.27</v>
      </c>
      <c r="BC18" s="421">
        <v>0.26</v>
      </c>
      <c r="BD18" s="681">
        <f t="shared" si="24"/>
        <v>0</v>
      </c>
      <c r="BE18" s="417" t="s">
        <v>331</v>
      </c>
      <c r="BF18" s="425">
        <f t="shared" si="25"/>
        <v>0.36</v>
      </c>
      <c r="BG18" s="420">
        <f t="shared" si="26"/>
        <v>0</v>
      </c>
      <c r="BH18" s="420">
        <f t="shared" si="27"/>
        <v>0</v>
      </c>
      <c r="BI18" s="420">
        <f t="shared" si="28"/>
        <v>0</v>
      </c>
      <c r="BJ18" s="420">
        <f t="shared" si="29"/>
        <v>0</v>
      </c>
      <c r="BK18" s="420">
        <f t="shared" si="30"/>
        <v>0</v>
      </c>
      <c r="BL18" s="420">
        <f t="shared" si="31"/>
        <v>0</v>
      </c>
      <c r="BM18" s="420">
        <f t="shared" si="32"/>
        <v>0</v>
      </c>
      <c r="BN18" s="420">
        <f t="shared" si="33"/>
        <v>0.36</v>
      </c>
      <c r="BO18" s="420">
        <f t="shared" si="34"/>
        <v>0</v>
      </c>
      <c r="BP18" s="420">
        <f t="shared" si="35"/>
        <v>0</v>
      </c>
      <c r="BQ18" s="420">
        <f t="shared" si="36"/>
        <v>0</v>
      </c>
      <c r="BR18" s="420">
        <f t="shared" si="37"/>
        <v>0</v>
      </c>
      <c r="BS18" s="420">
        <f t="shared" si="38"/>
        <v>0</v>
      </c>
      <c r="BT18" s="420">
        <f t="shared" si="39"/>
        <v>0</v>
      </c>
      <c r="BU18" s="420">
        <f t="shared" si="40"/>
        <v>0</v>
      </c>
      <c r="BV18" s="420">
        <f t="shared" si="41"/>
        <v>0</v>
      </c>
      <c r="BW18" s="420">
        <f t="shared" si="42"/>
        <v>0</v>
      </c>
      <c r="BX18" s="420">
        <f t="shared" si="43"/>
        <v>0</v>
      </c>
      <c r="BY18" s="420">
        <f t="shared" si="44"/>
        <v>0</v>
      </c>
      <c r="BZ18" s="420">
        <f t="shared" si="45"/>
        <v>0</v>
      </c>
      <c r="CA18" s="421">
        <v>0.67</v>
      </c>
      <c r="CB18" s="421">
        <v>0.59</v>
      </c>
      <c r="CC18" s="421">
        <v>0.54</v>
      </c>
      <c r="CD18" s="421">
        <v>0.49</v>
      </c>
      <c r="CE18" s="421">
        <v>0.45</v>
      </c>
      <c r="CF18" s="421">
        <v>0.42</v>
      </c>
      <c r="CG18" s="421">
        <v>0.39</v>
      </c>
      <c r="CH18" s="421">
        <v>0.36</v>
      </c>
      <c r="CI18" s="421">
        <v>0.34</v>
      </c>
      <c r="CJ18" s="421">
        <v>0.32</v>
      </c>
      <c r="CK18" s="421">
        <v>0.3</v>
      </c>
      <c r="CL18" s="421">
        <v>0.28000000000000003</v>
      </c>
      <c r="CM18" s="421">
        <v>0.26</v>
      </c>
      <c r="CN18" s="421">
        <v>0.24</v>
      </c>
      <c r="CO18" s="421">
        <v>0.23</v>
      </c>
      <c r="CP18" s="421">
        <v>0.21</v>
      </c>
      <c r="CQ18" s="421">
        <v>0.2</v>
      </c>
      <c r="CR18" s="421">
        <v>0.19</v>
      </c>
      <c r="CS18" s="421">
        <v>0.18</v>
      </c>
      <c r="CT18" s="421">
        <v>0.17</v>
      </c>
    </row>
    <row r="19" spans="1:98" ht="13.9" x14ac:dyDescent="0.4">
      <c r="A19" s="26" t="str">
        <f>A6_Machine_Look_Up!A19</f>
        <v>Disk</v>
      </c>
      <c r="B19" s="1302">
        <f>A6_Machine_Look_Up!H19</f>
        <v>160</v>
      </c>
      <c r="C19" s="405">
        <f>A6_Machine_Look_Up!I19</f>
        <v>0.85</v>
      </c>
      <c r="D19" s="468">
        <f>A6_Machine_Look_Up!J19</f>
        <v>8</v>
      </c>
      <c r="E19" s="441">
        <f t="shared" si="0"/>
        <v>0.35</v>
      </c>
      <c r="F19" s="491">
        <f>A6_Machine_Look_Up!K19</f>
        <v>600</v>
      </c>
      <c r="G19" s="492">
        <f>A6_Machine_Look_Up!L19</f>
        <v>8</v>
      </c>
      <c r="H19" s="450">
        <f t="shared" si="1"/>
        <v>0.36</v>
      </c>
      <c r="I19" s="225">
        <f>A6_Machine_Look_Up!G19</f>
        <v>230</v>
      </c>
      <c r="J19" s="578">
        <f>A6_Machine_Look_Up!AG19</f>
        <v>0.18</v>
      </c>
      <c r="K19" s="579">
        <f>A6_Machine_Look_Up!AH19</f>
        <v>1.7</v>
      </c>
      <c r="L19" s="592">
        <f>A6_Machine_Look_Up!AI19</f>
        <v>1.04</v>
      </c>
      <c r="M19" s="677">
        <f t="shared" si="2"/>
        <v>0</v>
      </c>
      <c r="N19" s="447" t="str">
        <f>A6_Machine_Look_Up!AE19</f>
        <v>Plows</v>
      </c>
      <c r="O19" s="425">
        <f t="shared" si="3"/>
        <v>0.35</v>
      </c>
      <c r="P19" s="420">
        <f t="shared" si="4"/>
        <v>0</v>
      </c>
      <c r="Q19" s="420">
        <f t="shared" si="5"/>
        <v>0</v>
      </c>
      <c r="R19" s="420">
        <f t="shared" si="6"/>
        <v>0</v>
      </c>
      <c r="S19" s="420">
        <f t="shared" si="7"/>
        <v>0</v>
      </c>
      <c r="T19" s="420">
        <f t="shared" si="8"/>
        <v>0</v>
      </c>
      <c r="U19" s="420">
        <f t="shared" si="9"/>
        <v>0</v>
      </c>
      <c r="V19" s="420">
        <f t="shared" si="10"/>
        <v>0</v>
      </c>
      <c r="W19" s="420">
        <f t="shared" si="11"/>
        <v>0.35</v>
      </c>
      <c r="X19" s="420">
        <f t="shared" si="12"/>
        <v>0</v>
      </c>
      <c r="Y19" s="420">
        <f t="shared" si="13"/>
        <v>0</v>
      </c>
      <c r="Z19" s="420">
        <f t="shared" si="14"/>
        <v>0</v>
      </c>
      <c r="AA19" s="420">
        <f t="shared" si="15"/>
        <v>0</v>
      </c>
      <c r="AB19" s="420">
        <f t="shared" si="16"/>
        <v>0</v>
      </c>
      <c r="AC19" s="420">
        <f t="shared" si="17"/>
        <v>0</v>
      </c>
      <c r="AD19" s="420">
        <f t="shared" si="18"/>
        <v>0</v>
      </c>
      <c r="AE19" s="420">
        <f t="shared" si="19"/>
        <v>0</v>
      </c>
      <c r="AF19" s="420">
        <f t="shared" si="20"/>
        <v>0</v>
      </c>
      <c r="AG19" s="420">
        <f t="shared" si="21"/>
        <v>0</v>
      </c>
      <c r="AH19" s="420">
        <f t="shared" si="22"/>
        <v>0</v>
      </c>
      <c r="AI19" s="420">
        <f t="shared" si="23"/>
        <v>0</v>
      </c>
      <c r="AJ19" s="421">
        <v>0.47</v>
      </c>
      <c r="AK19" s="421">
        <v>0.44</v>
      </c>
      <c r="AL19" s="421">
        <v>0.42</v>
      </c>
      <c r="AM19" s="421">
        <v>0.4</v>
      </c>
      <c r="AN19" s="421">
        <v>0.39</v>
      </c>
      <c r="AO19" s="421">
        <v>0.38</v>
      </c>
      <c r="AP19" s="421">
        <v>0.36</v>
      </c>
      <c r="AQ19" s="421">
        <v>0.35</v>
      </c>
      <c r="AR19" s="421">
        <v>0.34</v>
      </c>
      <c r="AS19" s="421">
        <v>0.33</v>
      </c>
      <c r="AT19" s="421">
        <v>0.32</v>
      </c>
      <c r="AU19" s="421">
        <v>0.32</v>
      </c>
      <c r="AV19" s="421">
        <v>0.31</v>
      </c>
      <c r="AW19" s="421">
        <v>0.3</v>
      </c>
      <c r="AX19" s="421">
        <v>0.28999999999999998</v>
      </c>
      <c r="AY19" s="421">
        <v>0.28999999999999998</v>
      </c>
      <c r="AZ19" s="421">
        <v>0.28000000000000003</v>
      </c>
      <c r="BA19" s="421">
        <v>0.27</v>
      </c>
      <c r="BB19" s="421">
        <v>0.27</v>
      </c>
      <c r="BC19" s="421">
        <v>0.26</v>
      </c>
      <c r="BD19" s="681">
        <f t="shared" si="24"/>
        <v>0</v>
      </c>
      <c r="BE19" s="417" t="s">
        <v>331</v>
      </c>
      <c r="BF19" s="425">
        <f t="shared" si="25"/>
        <v>0.36</v>
      </c>
      <c r="BG19" s="420">
        <f t="shared" si="26"/>
        <v>0</v>
      </c>
      <c r="BH19" s="420">
        <f t="shared" si="27"/>
        <v>0</v>
      </c>
      <c r="BI19" s="420">
        <f t="shared" si="28"/>
        <v>0</v>
      </c>
      <c r="BJ19" s="420">
        <f t="shared" si="29"/>
        <v>0</v>
      </c>
      <c r="BK19" s="420">
        <f t="shared" si="30"/>
        <v>0</v>
      </c>
      <c r="BL19" s="420">
        <f t="shared" si="31"/>
        <v>0</v>
      </c>
      <c r="BM19" s="420">
        <f t="shared" si="32"/>
        <v>0</v>
      </c>
      <c r="BN19" s="420">
        <f t="shared" si="33"/>
        <v>0.36</v>
      </c>
      <c r="BO19" s="420">
        <f t="shared" si="34"/>
        <v>0</v>
      </c>
      <c r="BP19" s="420">
        <f t="shared" si="35"/>
        <v>0</v>
      </c>
      <c r="BQ19" s="420">
        <f t="shared" si="36"/>
        <v>0</v>
      </c>
      <c r="BR19" s="420">
        <f t="shared" si="37"/>
        <v>0</v>
      </c>
      <c r="BS19" s="420">
        <f t="shared" si="38"/>
        <v>0</v>
      </c>
      <c r="BT19" s="420">
        <f t="shared" si="39"/>
        <v>0</v>
      </c>
      <c r="BU19" s="420">
        <f t="shared" si="40"/>
        <v>0</v>
      </c>
      <c r="BV19" s="420">
        <f t="shared" si="41"/>
        <v>0</v>
      </c>
      <c r="BW19" s="420">
        <f t="shared" si="42"/>
        <v>0</v>
      </c>
      <c r="BX19" s="420">
        <f t="shared" si="43"/>
        <v>0</v>
      </c>
      <c r="BY19" s="420">
        <f t="shared" si="44"/>
        <v>0</v>
      </c>
      <c r="BZ19" s="420">
        <f t="shared" si="45"/>
        <v>0</v>
      </c>
      <c r="CA19" s="421">
        <v>0.67</v>
      </c>
      <c r="CB19" s="421">
        <v>0.59</v>
      </c>
      <c r="CC19" s="421">
        <v>0.54</v>
      </c>
      <c r="CD19" s="421">
        <v>0.49</v>
      </c>
      <c r="CE19" s="421">
        <v>0.45</v>
      </c>
      <c r="CF19" s="421">
        <v>0.42</v>
      </c>
      <c r="CG19" s="421">
        <v>0.39</v>
      </c>
      <c r="CH19" s="421">
        <v>0.36</v>
      </c>
      <c r="CI19" s="421">
        <v>0.34</v>
      </c>
      <c r="CJ19" s="421">
        <v>0.32</v>
      </c>
      <c r="CK19" s="421">
        <v>0.3</v>
      </c>
      <c r="CL19" s="421">
        <v>0.28000000000000003</v>
      </c>
      <c r="CM19" s="421">
        <v>0.26</v>
      </c>
      <c r="CN19" s="421">
        <v>0.24</v>
      </c>
      <c r="CO19" s="421">
        <v>0.23</v>
      </c>
      <c r="CP19" s="421">
        <v>0.21</v>
      </c>
      <c r="CQ19" s="421">
        <v>0.2</v>
      </c>
      <c r="CR19" s="421">
        <v>0.19</v>
      </c>
      <c r="CS19" s="421">
        <v>0.18</v>
      </c>
      <c r="CT19" s="421">
        <v>0.17</v>
      </c>
    </row>
    <row r="20" spans="1:98" ht="13.9" x14ac:dyDescent="0.4">
      <c r="A20" s="26" t="str">
        <f>A6_Machine_Look_Up!A20</f>
        <v>Bedder, Hipper</v>
      </c>
      <c r="B20" s="1302">
        <f>A6_Machine_Look_Up!H20</f>
        <v>160</v>
      </c>
      <c r="C20" s="405">
        <f>A6_Machine_Look_Up!I20</f>
        <v>0.8</v>
      </c>
      <c r="D20" s="468">
        <f>A6_Machine_Look_Up!J20</f>
        <v>8</v>
      </c>
      <c r="E20" s="441">
        <f t="shared" si="0"/>
        <v>0.35</v>
      </c>
      <c r="F20" s="491">
        <f>A6_Machine_Look_Up!K20</f>
        <v>600</v>
      </c>
      <c r="G20" s="492">
        <f>A6_Machine_Look_Up!L20</f>
        <v>8</v>
      </c>
      <c r="H20" s="450">
        <f t="shared" si="1"/>
        <v>0.36</v>
      </c>
      <c r="I20" s="225">
        <f>A6_Machine_Look_Up!G20</f>
        <v>230</v>
      </c>
      <c r="J20" s="578">
        <f>A6_Machine_Look_Up!AG20</f>
        <v>0.18</v>
      </c>
      <c r="K20" s="579">
        <f>A6_Machine_Look_Up!AH20</f>
        <v>1.7</v>
      </c>
      <c r="L20" s="592">
        <f>A6_Machine_Look_Up!AI20</f>
        <v>1.04</v>
      </c>
      <c r="M20" s="677">
        <f t="shared" si="2"/>
        <v>0</v>
      </c>
      <c r="N20" s="447" t="str">
        <f>A6_Machine_Look_Up!AE20</f>
        <v>Plows</v>
      </c>
      <c r="O20" s="425">
        <f t="shared" si="3"/>
        <v>0.35</v>
      </c>
      <c r="P20" s="420">
        <f t="shared" si="4"/>
        <v>0</v>
      </c>
      <c r="Q20" s="420">
        <f t="shared" si="5"/>
        <v>0</v>
      </c>
      <c r="R20" s="420">
        <f t="shared" si="6"/>
        <v>0</v>
      </c>
      <c r="S20" s="420">
        <f t="shared" si="7"/>
        <v>0</v>
      </c>
      <c r="T20" s="420">
        <f t="shared" si="8"/>
        <v>0</v>
      </c>
      <c r="U20" s="420">
        <f t="shared" si="9"/>
        <v>0</v>
      </c>
      <c r="V20" s="420">
        <f t="shared" si="10"/>
        <v>0</v>
      </c>
      <c r="W20" s="420">
        <f t="shared" si="11"/>
        <v>0.35</v>
      </c>
      <c r="X20" s="420">
        <f t="shared" si="12"/>
        <v>0</v>
      </c>
      <c r="Y20" s="420">
        <f t="shared" si="13"/>
        <v>0</v>
      </c>
      <c r="Z20" s="420">
        <f t="shared" si="14"/>
        <v>0</v>
      </c>
      <c r="AA20" s="420">
        <f t="shared" si="15"/>
        <v>0</v>
      </c>
      <c r="AB20" s="420">
        <f t="shared" si="16"/>
        <v>0</v>
      </c>
      <c r="AC20" s="420">
        <f t="shared" si="17"/>
        <v>0</v>
      </c>
      <c r="AD20" s="420">
        <f t="shared" si="18"/>
        <v>0</v>
      </c>
      <c r="AE20" s="420">
        <f t="shared" si="19"/>
        <v>0</v>
      </c>
      <c r="AF20" s="420">
        <f t="shared" si="20"/>
        <v>0</v>
      </c>
      <c r="AG20" s="420">
        <f t="shared" si="21"/>
        <v>0</v>
      </c>
      <c r="AH20" s="420">
        <f t="shared" si="22"/>
        <v>0</v>
      </c>
      <c r="AI20" s="420">
        <f t="shared" si="23"/>
        <v>0</v>
      </c>
      <c r="AJ20" s="421">
        <v>0.47</v>
      </c>
      <c r="AK20" s="421">
        <v>0.44</v>
      </c>
      <c r="AL20" s="421">
        <v>0.42</v>
      </c>
      <c r="AM20" s="421">
        <v>0.4</v>
      </c>
      <c r="AN20" s="421">
        <v>0.39</v>
      </c>
      <c r="AO20" s="421">
        <v>0.38</v>
      </c>
      <c r="AP20" s="421">
        <v>0.36</v>
      </c>
      <c r="AQ20" s="421">
        <v>0.35</v>
      </c>
      <c r="AR20" s="421">
        <v>0.34</v>
      </c>
      <c r="AS20" s="421">
        <v>0.33</v>
      </c>
      <c r="AT20" s="421">
        <v>0.32</v>
      </c>
      <c r="AU20" s="421">
        <v>0.32</v>
      </c>
      <c r="AV20" s="421">
        <v>0.31</v>
      </c>
      <c r="AW20" s="421">
        <v>0.3</v>
      </c>
      <c r="AX20" s="421">
        <v>0.28999999999999998</v>
      </c>
      <c r="AY20" s="421">
        <v>0.28999999999999998</v>
      </c>
      <c r="AZ20" s="421">
        <v>0.28000000000000003</v>
      </c>
      <c r="BA20" s="421">
        <v>0.27</v>
      </c>
      <c r="BB20" s="421">
        <v>0.27</v>
      </c>
      <c r="BC20" s="421">
        <v>0.26</v>
      </c>
      <c r="BD20" s="681">
        <f t="shared" si="24"/>
        <v>0</v>
      </c>
      <c r="BE20" s="417" t="s">
        <v>331</v>
      </c>
      <c r="BF20" s="425">
        <f t="shared" si="25"/>
        <v>0.36</v>
      </c>
      <c r="BG20" s="420">
        <f t="shared" si="26"/>
        <v>0</v>
      </c>
      <c r="BH20" s="420">
        <f t="shared" si="27"/>
        <v>0</v>
      </c>
      <c r="BI20" s="420">
        <f t="shared" si="28"/>
        <v>0</v>
      </c>
      <c r="BJ20" s="420">
        <f t="shared" si="29"/>
        <v>0</v>
      </c>
      <c r="BK20" s="420">
        <f t="shared" si="30"/>
        <v>0</v>
      </c>
      <c r="BL20" s="420">
        <f t="shared" si="31"/>
        <v>0</v>
      </c>
      <c r="BM20" s="420">
        <f t="shared" si="32"/>
        <v>0</v>
      </c>
      <c r="BN20" s="420">
        <f t="shared" si="33"/>
        <v>0.36</v>
      </c>
      <c r="BO20" s="420">
        <f t="shared" si="34"/>
        <v>0</v>
      </c>
      <c r="BP20" s="420">
        <f t="shared" si="35"/>
        <v>0</v>
      </c>
      <c r="BQ20" s="420">
        <f t="shared" si="36"/>
        <v>0</v>
      </c>
      <c r="BR20" s="420">
        <f t="shared" si="37"/>
        <v>0</v>
      </c>
      <c r="BS20" s="420">
        <f t="shared" si="38"/>
        <v>0</v>
      </c>
      <c r="BT20" s="420">
        <f t="shared" si="39"/>
        <v>0</v>
      </c>
      <c r="BU20" s="420">
        <f t="shared" si="40"/>
        <v>0</v>
      </c>
      <c r="BV20" s="420">
        <f t="shared" si="41"/>
        <v>0</v>
      </c>
      <c r="BW20" s="420">
        <f t="shared" si="42"/>
        <v>0</v>
      </c>
      <c r="BX20" s="420">
        <f t="shared" si="43"/>
        <v>0</v>
      </c>
      <c r="BY20" s="420">
        <f t="shared" si="44"/>
        <v>0</v>
      </c>
      <c r="BZ20" s="420">
        <f t="shared" si="45"/>
        <v>0</v>
      </c>
      <c r="CA20" s="421">
        <v>0.67</v>
      </c>
      <c r="CB20" s="421">
        <v>0.59</v>
      </c>
      <c r="CC20" s="421">
        <v>0.54</v>
      </c>
      <c r="CD20" s="421">
        <v>0.49</v>
      </c>
      <c r="CE20" s="421">
        <v>0.45</v>
      </c>
      <c r="CF20" s="421">
        <v>0.42</v>
      </c>
      <c r="CG20" s="421">
        <v>0.39</v>
      </c>
      <c r="CH20" s="421">
        <v>0.36</v>
      </c>
      <c r="CI20" s="421">
        <v>0.34</v>
      </c>
      <c r="CJ20" s="421">
        <v>0.32</v>
      </c>
      <c r="CK20" s="421">
        <v>0.3</v>
      </c>
      <c r="CL20" s="421">
        <v>0.28000000000000003</v>
      </c>
      <c r="CM20" s="421">
        <v>0.26</v>
      </c>
      <c r="CN20" s="421">
        <v>0.24</v>
      </c>
      <c r="CO20" s="421">
        <v>0.23</v>
      </c>
      <c r="CP20" s="421">
        <v>0.21</v>
      </c>
      <c r="CQ20" s="421">
        <v>0.2</v>
      </c>
      <c r="CR20" s="421">
        <v>0.19</v>
      </c>
      <c r="CS20" s="421">
        <v>0.18</v>
      </c>
      <c r="CT20" s="421">
        <v>0.17</v>
      </c>
    </row>
    <row r="21" spans="1:98" ht="13.9" x14ac:dyDescent="0.4">
      <c r="A21" s="26" t="str">
        <f>A6_Machine_Look_Up!A21</f>
        <v>Chisel Plow</v>
      </c>
      <c r="B21" s="1302">
        <f>A6_Machine_Look_Up!H21</f>
        <v>160</v>
      </c>
      <c r="C21" s="405">
        <f>A6_Machine_Look_Up!I21</f>
        <v>0.85</v>
      </c>
      <c r="D21" s="468">
        <f>A6_Machine_Look_Up!J21</f>
        <v>8</v>
      </c>
      <c r="E21" s="441">
        <f t="shared" si="0"/>
        <v>0.35</v>
      </c>
      <c r="F21" s="491">
        <f>A6_Machine_Look_Up!K21</f>
        <v>600</v>
      </c>
      <c r="G21" s="492">
        <f>A6_Machine_Look_Up!L21</f>
        <v>8</v>
      </c>
      <c r="H21" s="450">
        <f t="shared" si="1"/>
        <v>0.36</v>
      </c>
      <c r="I21" s="225">
        <f>A6_Machine_Look_Up!G21</f>
        <v>230</v>
      </c>
      <c r="J21" s="578">
        <f>A6_Machine_Look_Up!AG21</f>
        <v>0.28000000000000003</v>
      </c>
      <c r="K21" s="579">
        <f>A6_Machine_Look_Up!AH21</f>
        <v>1.4</v>
      </c>
      <c r="L21" s="592">
        <f>A6_Machine_Look_Up!AI21</f>
        <v>1.04</v>
      </c>
      <c r="M21" s="677">
        <f t="shared" si="2"/>
        <v>0</v>
      </c>
      <c r="N21" s="447" t="str">
        <f>A6_Machine_Look_Up!AE21</f>
        <v>Plows</v>
      </c>
      <c r="O21" s="425">
        <f t="shared" si="3"/>
        <v>0.35</v>
      </c>
      <c r="P21" s="420">
        <f t="shared" si="4"/>
        <v>0</v>
      </c>
      <c r="Q21" s="420">
        <f t="shared" si="5"/>
        <v>0</v>
      </c>
      <c r="R21" s="420">
        <f t="shared" si="6"/>
        <v>0</v>
      </c>
      <c r="S21" s="420">
        <f t="shared" si="7"/>
        <v>0</v>
      </c>
      <c r="T21" s="420">
        <f t="shared" si="8"/>
        <v>0</v>
      </c>
      <c r="U21" s="420">
        <f t="shared" si="9"/>
        <v>0</v>
      </c>
      <c r="V21" s="420">
        <f t="shared" si="10"/>
        <v>0</v>
      </c>
      <c r="W21" s="420">
        <f t="shared" si="11"/>
        <v>0.35</v>
      </c>
      <c r="X21" s="420">
        <f t="shared" si="12"/>
        <v>0</v>
      </c>
      <c r="Y21" s="420">
        <f t="shared" si="13"/>
        <v>0</v>
      </c>
      <c r="Z21" s="420">
        <f t="shared" si="14"/>
        <v>0</v>
      </c>
      <c r="AA21" s="420">
        <f t="shared" si="15"/>
        <v>0</v>
      </c>
      <c r="AB21" s="420">
        <f t="shared" si="16"/>
        <v>0</v>
      </c>
      <c r="AC21" s="420">
        <f t="shared" si="17"/>
        <v>0</v>
      </c>
      <c r="AD21" s="420">
        <f t="shared" si="18"/>
        <v>0</v>
      </c>
      <c r="AE21" s="420">
        <f t="shared" si="19"/>
        <v>0</v>
      </c>
      <c r="AF21" s="420">
        <f t="shared" si="20"/>
        <v>0</v>
      </c>
      <c r="AG21" s="420">
        <f t="shared" si="21"/>
        <v>0</v>
      </c>
      <c r="AH21" s="420">
        <f t="shared" si="22"/>
        <v>0</v>
      </c>
      <c r="AI21" s="420">
        <f t="shared" si="23"/>
        <v>0</v>
      </c>
      <c r="AJ21" s="421">
        <v>0.47</v>
      </c>
      <c r="AK21" s="421">
        <v>0.44</v>
      </c>
      <c r="AL21" s="421">
        <v>0.42</v>
      </c>
      <c r="AM21" s="421">
        <v>0.4</v>
      </c>
      <c r="AN21" s="421">
        <v>0.39</v>
      </c>
      <c r="AO21" s="421">
        <v>0.38</v>
      </c>
      <c r="AP21" s="421">
        <v>0.36</v>
      </c>
      <c r="AQ21" s="421">
        <v>0.35</v>
      </c>
      <c r="AR21" s="421">
        <v>0.34</v>
      </c>
      <c r="AS21" s="421">
        <v>0.33</v>
      </c>
      <c r="AT21" s="421">
        <v>0.32</v>
      </c>
      <c r="AU21" s="421">
        <v>0.32</v>
      </c>
      <c r="AV21" s="421">
        <v>0.31</v>
      </c>
      <c r="AW21" s="421">
        <v>0.3</v>
      </c>
      <c r="AX21" s="421">
        <v>0.28999999999999998</v>
      </c>
      <c r="AY21" s="421">
        <v>0.28999999999999998</v>
      </c>
      <c r="AZ21" s="421">
        <v>0.28000000000000003</v>
      </c>
      <c r="BA21" s="421">
        <v>0.27</v>
      </c>
      <c r="BB21" s="421">
        <v>0.27</v>
      </c>
      <c r="BC21" s="421">
        <v>0.26</v>
      </c>
      <c r="BD21" s="681">
        <f t="shared" si="24"/>
        <v>0</v>
      </c>
      <c r="BE21" s="417" t="s">
        <v>331</v>
      </c>
      <c r="BF21" s="425">
        <f t="shared" si="25"/>
        <v>0.36</v>
      </c>
      <c r="BG21" s="420">
        <f t="shared" si="26"/>
        <v>0</v>
      </c>
      <c r="BH21" s="420">
        <f t="shared" si="27"/>
        <v>0</v>
      </c>
      <c r="BI21" s="420">
        <f t="shared" si="28"/>
        <v>0</v>
      </c>
      <c r="BJ21" s="420">
        <f t="shared" si="29"/>
        <v>0</v>
      </c>
      <c r="BK21" s="420">
        <f t="shared" si="30"/>
        <v>0</v>
      </c>
      <c r="BL21" s="420">
        <f t="shared" si="31"/>
        <v>0</v>
      </c>
      <c r="BM21" s="420">
        <f t="shared" si="32"/>
        <v>0</v>
      </c>
      <c r="BN21" s="420">
        <f t="shared" si="33"/>
        <v>0.36</v>
      </c>
      <c r="BO21" s="420">
        <f t="shared" si="34"/>
        <v>0</v>
      </c>
      <c r="BP21" s="420">
        <f t="shared" si="35"/>
        <v>0</v>
      </c>
      <c r="BQ21" s="420">
        <f t="shared" si="36"/>
        <v>0</v>
      </c>
      <c r="BR21" s="420">
        <f t="shared" si="37"/>
        <v>0</v>
      </c>
      <c r="BS21" s="420">
        <f t="shared" si="38"/>
        <v>0</v>
      </c>
      <c r="BT21" s="420">
        <f t="shared" si="39"/>
        <v>0</v>
      </c>
      <c r="BU21" s="420">
        <f t="shared" si="40"/>
        <v>0</v>
      </c>
      <c r="BV21" s="420">
        <f t="shared" si="41"/>
        <v>0</v>
      </c>
      <c r="BW21" s="420">
        <f t="shared" si="42"/>
        <v>0</v>
      </c>
      <c r="BX21" s="420">
        <f t="shared" si="43"/>
        <v>0</v>
      </c>
      <c r="BY21" s="420">
        <f t="shared" si="44"/>
        <v>0</v>
      </c>
      <c r="BZ21" s="420">
        <f t="shared" si="45"/>
        <v>0</v>
      </c>
      <c r="CA21" s="421">
        <v>0.67</v>
      </c>
      <c r="CB21" s="421">
        <v>0.59</v>
      </c>
      <c r="CC21" s="421">
        <v>0.54</v>
      </c>
      <c r="CD21" s="421">
        <v>0.49</v>
      </c>
      <c r="CE21" s="421">
        <v>0.45</v>
      </c>
      <c r="CF21" s="421">
        <v>0.42</v>
      </c>
      <c r="CG21" s="421">
        <v>0.39</v>
      </c>
      <c r="CH21" s="421">
        <v>0.36</v>
      </c>
      <c r="CI21" s="421">
        <v>0.34</v>
      </c>
      <c r="CJ21" s="421">
        <v>0.32</v>
      </c>
      <c r="CK21" s="421">
        <v>0.3</v>
      </c>
      <c r="CL21" s="421">
        <v>0.28000000000000003</v>
      </c>
      <c r="CM21" s="421">
        <v>0.26</v>
      </c>
      <c r="CN21" s="421">
        <v>0.24</v>
      </c>
      <c r="CO21" s="421">
        <v>0.23</v>
      </c>
      <c r="CP21" s="421">
        <v>0.21</v>
      </c>
      <c r="CQ21" s="421">
        <v>0.2</v>
      </c>
      <c r="CR21" s="421">
        <v>0.19</v>
      </c>
      <c r="CS21" s="421">
        <v>0.18</v>
      </c>
      <c r="CT21" s="421">
        <v>0.17</v>
      </c>
    </row>
    <row r="22" spans="1:98" ht="13.9" x14ac:dyDescent="0.4">
      <c r="A22" s="26" t="str">
        <f>A6_Machine_Look_Up!A22</f>
        <v>Harrow</v>
      </c>
      <c r="B22" s="1302">
        <f>A6_Machine_Look_Up!H22</f>
        <v>160</v>
      </c>
      <c r="C22" s="405">
        <f>A6_Machine_Look_Up!I22</f>
        <v>0.85</v>
      </c>
      <c r="D22" s="468">
        <f>A6_Machine_Look_Up!J22</f>
        <v>8</v>
      </c>
      <c r="E22" s="441">
        <f t="shared" si="0"/>
        <v>0.35</v>
      </c>
      <c r="F22" s="491">
        <f>A6_Machine_Look_Up!K22</f>
        <v>600</v>
      </c>
      <c r="G22" s="492">
        <f>A6_Machine_Look_Up!L22</f>
        <v>8</v>
      </c>
      <c r="H22" s="450">
        <f t="shared" si="1"/>
        <v>0.36</v>
      </c>
      <c r="I22" s="225">
        <f>A6_Machine_Look_Up!G22</f>
        <v>195</v>
      </c>
      <c r="J22" s="578">
        <f>A6_Machine_Look_Up!AG22</f>
        <v>0.27</v>
      </c>
      <c r="K22" s="579">
        <f>A6_Machine_Look_Up!AH22</f>
        <v>1.4</v>
      </c>
      <c r="L22" s="592">
        <f>A6_Machine_Look_Up!AI22</f>
        <v>1.04</v>
      </c>
      <c r="M22" s="677">
        <f t="shared" si="2"/>
        <v>0</v>
      </c>
      <c r="N22" s="447" t="str">
        <f>A6_Machine_Look_Up!AE22</f>
        <v>Plows</v>
      </c>
      <c r="O22" s="425">
        <f t="shared" si="3"/>
        <v>0.35</v>
      </c>
      <c r="P22" s="420">
        <f t="shared" si="4"/>
        <v>0</v>
      </c>
      <c r="Q22" s="420">
        <f t="shared" si="5"/>
        <v>0</v>
      </c>
      <c r="R22" s="420">
        <f t="shared" si="6"/>
        <v>0</v>
      </c>
      <c r="S22" s="420">
        <f t="shared" si="7"/>
        <v>0</v>
      </c>
      <c r="T22" s="420">
        <f t="shared" si="8"/>
        <v>0</v>
      </c>
      <c r="U22" s="420">
        <f t="shared" si="9"/>
        <v>0</v>
      </c>
      <c r="V22" s="420">
        <f t="shared" si="10"/>
        <v>0</v>
      </c>
      <c r="W22" s="420">
        <f t="shared" si="11"/>
        <v>0.35</v>
      </c>
      <c r="X22" s="420">
        <f t="shared" si="12"/>
        <v>0</v>
      </c>
      <c r="Y22" s="420">
        <f t="shared" si="13"/>
        <v>0</v>
      </c>
      <c r="Z22" s="420">
        <f t="shared" si="14"/>
        <v>0</v>
      </c>
      <c r="AA22" s="420">
        <f t="shared" si="15"/>
        <v>0</v>
      </c>
      <c r="AB22" s="420">
        <f t="shared" si="16"/>
        <v>0</v>
      </c>
      <c r="AC22" s="420">
        <f t="shared" si="17"/>
        <v>0</v>
      </c>
      <c r="AD22" s="420">
        <f t="shared" si="18"/>
        <v>0</v>
      </c>
      <c r="AE22" s="420">
        <f t="shared" si="19"/>
        <v>0</v>
      </c>
      <c r="AF22" s="420">
        <f t="shared" si="20"/>
        <v>0</v>
      </c>
      <c r="AG22" s="420">
        <f t="shared" si="21"/>
        <v>0</v>
      </c>
      <c r="AH22" s="420">
        <f t="shared" si="22"/>
        <v>0</v>
      </c>
      <c r="AI22" s="420">
        <f t="shared" si="23"/>
        <v>0</v>
      </c>
      <c r="AJ22" s="421">
        <v>0.47</v>
      </c>
      <c r="AK22" s="421">
        <v>0.44</v>
      </c>
      <c r="AL22" s="421">
        <v>0.42</v>
      </c>
      <c r="AM22" s="421">
        <v>0.4</v>
      </c>
      <c r="AN22" s="421">
        <v>0.39</v>
      </c>
      <c r="AO22" s="421">
        <v>0.38</v>
      </c>
      <c r="AP22" s="421">
        <v>0.36</v>
      </c>
      <c r="AQ22" s="421">
        <v>0.35</v>
      </c>
      <c r="AR22" s="421">
        <v>0.34</v>
      </c>
      <c r="AS22" s="421">
        <v>0.33</v>
      </c>
      <c r="AT22" s="421">
        <v>0.32</v>
      </c>
      <c r="AU22" s="421">
        <v>0.32</v>
      </c>
      <c r="AV22" s="421">
        <v>0.31</v>
      </c>
      <c r="AW22" s="421">
        <v>0.3</v>
      </c>
      <c r="AX22" s="421">
        <v>0.28999999999999998</v>
      </c>
      <c r="AY22" s="421">
        <v>0.28999999999999998</v>
      </c>
      <c r="AZ22" s="421">
        <v>0.28000000000000003</v>
      </c>
      <c r="BA22" s="421">
        <v>0.27</v>
      </c>
      <c r="BB22" s="421">
        <v>0.27</v>
      </c>
      <c r="BC22" s="421">
        <v>0.26</v>
      </c>
      <c r="BD22" s="681">
        <f t="shared" si="24"/>
        <v>0</v>
      </c>
      <c r="BE22" s="417" t="s">
        <v>331</v>
      </c>
      <c r="BF22" s="425">
        <f t="shared" si="25"/>
        <v>0.36</v>
      </c>
      <c r="BG22" s="420">
        <f t="shared" si="26"/>
        <v>0</v>
      </c>
      <c r="BH22" s="420">
        <f t="shared" si="27"/>
        <v>0</v>
      </c>
      <c r="BI22" s="420">
        <f t="shared" si="28"/>
        <v>0</v>
      </c>
      <c r="BJ22" s="420">
        <f t="shared" si="29"/>
        <v>0</v>
      </c>
      <c r="BK22" s="420">
        <f t="shared" si="30"/>
        <v>0</v>
      </c>
      <c r="BL22" s="420">
        <f t="shared" si="31"/>
        <v>0</v>
      </c>
      <c r="BM22" s="420">
        <f t="shared" si="32"/>
        <v>0</v>
      </c>
      <c r="BN22" s="420">
        <f t="shared" si="33"/>
        <v>0.36</v>
      </c>
      <c r="BO22" s="420">
        <f t="shared" si="34"/>
        <v>0</v>
      </c>
      <c r="BP22" s="420">
        <f t="shared" si="35"/>
        <v>0</v>
      </c>
      <c r="BQ22" s="420">
        <f t="shared" si="36"/>
        <v>0</v>
      </c>
      <c r="BR22" s="420">
        <f t="shared" si="37"/>
        <v>0</v>
      </c>
      <c r="BS22" s="420">
        <f t="shared" si="38"/>
        <v>0</v>
      </c>
      <c r="BT22" s="420">
        <f t="shared" si="39"/>
        <v>0</v>
      </c>
      <c r="BU22" s="420">
        <f t="shared" si="40"/>
        <v>0</v>
      </c>
      <c r="BV22" s="420">
        <f t="shared" si="41"/>
        <v>0</v>
      </c>
      <c r="BW22" s="420">
        <f t="shared" si="42"/>
        <v>0</v>
      </c>
      <c r="BX22" s="420">
        <f t="shared" si="43"/>
        <v>0</v>
      </c>
      <c r="BY22" s="420">
        <f t="shared" si="44"/>
        <v>0</v>
      </c>
      <c r="BZ22" s="420">
        <f t="shared" si="45"/>
        <v>0</v>
      </c>
      <c r="CA22" s="421">
        <v>0.67</v>
      </c>
      <c r="CB22" s="421">
        <v>0.59</v>
      </c>
      <c r="CC22" s="421">
        <v>0.54</v>
      </c>
      <c r="CD22" s="421">
        <v>0.49</v>
      </c>
      <c r="CE22" s="421">
        <v>0.45</v>
      </c>
      <c r="CF22" s="421">
        <v>0.42</v>
      </c>
      <c r="CG22" s="421">
        <v>0.39</v>
      </c>
      <c r="CH22" s="421">
        <v>0.36</v>
      </c>
      <c r="CI22" s="421">
        <v>0.34</v>
      </c>
      <c r="CJ22" s="421">
        <v>0.32</v>
      </c>
      <c r="CK22" s="421">
        <v>0.3</v>
      </c>
      <c r="CL22" s="421">
        <v>0.28000000000000003</v>
      </c>
      <c r="CM22" s="421">
        <v>0.26</v>
      </c>
      <c r="CN22" s="421">
        <v>0.24</v>
      </c>
      <c r="CO22" s="421">
        <v>0.23</v>
      </c>
      <c r="CP22" s="421">
        <v>0.21</v>
      </c>
      <c r="CQ22" s="421">
        <v>0.2</v>
      </c>
      <c r="CR22" s="421">
        <v>0.19</v>
      </c>
      <c r="CS22" s="421">
        <v>0.18</v>
      </c>
      <c r="CT22" s="421">
        <v>0.17</v>
      </c>
    </row>
    <row r="23" spans="1:98" ht="13.9" x14ac:dyDescent="0.4">
      <c r="A23" s="26" t="str">
        <f>A6_Machine_Look_Up!A23</f>
        <v>Roller</v>
      </c>
      <c r="B23" s="1302">
        <f>A6_Machine_Look_Up!H23</f>
        <v>120</v>
      </c>
      <c r="C23" s="405">
        <f>A6_Machine_Look_Up!I23</f>
        <v>0.85</v>
      </c>
      <c r="D23" s="468">
        <f>A6_Machine_Look_Up!J23</f>
        <v>8</v>
      </c>
      <c r="E23" s="441">
        <f t="shared" si="0"/>
        <v>0.34</v>
      </c>
      <c r="F23" s="491">
        <f>A6_Machine_Look_Up!K23</f>
        <v>600</v>
      </c>
      <c r="G23" s="492">
        <f>A6_Machine_Look_Up!L23</f>
        <v>8</v>
      </c>
      <c r="H23" s="450">
        <f t="shared" si="1"/>
        <v>0.36</v>
      </c>
      <c r="I23" s="225">
        <f>A6_Machine_Look_Up!G23</f>
        <v>230</v>
      </c>
      <c r="J23" s="578">
        <f>A6_Machine_Look_Up!AG23</f>
        <v>0.16</v>
      </c>
      <c r="K23" s="579">
        <f>A6_Machine_Look_Up!AH23</f>
        <v>1.3</v>
      </c>
      <c r="L23" s="592">
        <f>A6_Machine_Look_Up!AI23</f>
        <v>1.04</v>
      </c>
      <c r="M23" s="677">
        <f t="shared" si="2"/>
        <v>0</v>
      </c>
      <c r="N23" s="447" t="str">
        <f>A6_Machine_Look_Up!AE23</f>
        <v>Other Tillage</v>
      </c>
      <c r="O23" s="425">
        <f t="shared" si="3"/>
        <v>0.34</v>
      </c>
      <c r="P23" s="420">
        <f t="shared" si="4"/>
        <v>0</v>
      </c>
      <c r="Q23" s="420">
        <f t="shared" si="5"/>
        <v>0</v>
      </c>
      <c r="R23" s="420">
        <f t="shared" si="6"/>
        <v>0</v>
      </c>
      <c r="S23" s="420">
        <f t="shared" si="7"/>
        <v>0</v>
      </c>
      <c r="T23" s="420">
        <f t="shared" si="8"/>
        <v>0</v>
      </c>
      <c r="U23" s="420">
        <f t="shared" si="9"/>
        <v>0</v>
      </c>
      <c r="V23" s="420">
        <f t="shared" si="10"/>
        <v>0</v>
      </c>
      <c r="W23" s="420">
        <f t="shared" si="11"/>
        <v>0.34</v>
      </c>
      <c r="X23" s="420">
        <f t="shared" si="12"/>
        <v>0</v>
      </c>
      <c r="Y23" s="420">
        <f t="shared" si="13"/>
        <v>0</v>
      </c>
      <c r="Z23" s="420">
        <f t="shared" si="14"/>
        <v>0</v>
      </c>
      <c r="AA23" s="420">
        <f t="shared" si="15"/>
        <v>0</v>
      </c>
      <c r="AB23" s="420">
        <f t="shared" si="16"/>
        <v>0</v>
      </c>
      <c r="AC23" s="420">
        <f t="shared" si="17"/>
        <v>0</v>
      </c>
      <c r="AD23" s="420">
        <f t="shared" si="18"/>
        <v>0</v>
      </c>
      <c r="AE23" s="420">
        <f t="shared" si="19"/>
        <v>0</v>
      </c>
      <c r="AF23" s="420">
        <f t="shared" si="20"/>
        <v>0</v>
      </c>
      <c r="AG23" s="420">
        <f t="shared" si="21"/>
        <v>0</v>
      </c>
      <c r="AH23" s="420">
        <f t="shared" si="22"/>
        <v>0</v>
      </c>
      <c r="AI23" s="420">
        <f t="shared" si="23"/>
        <v>0</v>
      </c>
      <c r="AJ23" s="421">
        <v>0.61</v>
      </c>
      <c r="AK23" s="421">
        <v>0.54</v>
      </c>
      <c r="AL23" s="421">
        <v>0.49</v>
      </c>
      <c r="AM23" s="421">
        <v>0.45</v>
      </c>
      <c r="AN23" s="421">
        <v>0.42</v>
      </c>
      <c r="AO23" s="421">
        <v>0.39</v>
      </c>
      <c r="AP23" s="421">
        <v>0.36</v>
      </c>
      <c r="AQ23" s="421">
        <v>0.34</v>
      </c>
      <c r="AR23" s="421">
        <v>0.31</v>
      </c>
      <c r="AS23" s="421">
        <v>0.3</v>
      </c>
      <c r="AT23" s="421">
        <v>0.28000000000000003</v>
      </c>
      <c r="AU23" s="421">
        <v>0.26</v>
      </c>
      <c r="AV23" s="421">
        <v>0.24</v>
      </c>
      <c r="AW23" s="421">
        <v>0.23</v>
      </c>
      <c r="AX23" s="421">
        <v>0.22</v>
      </c>
      <c r="AY23" s="421">
        <v>0.2</v>
      </c>
      <c r="AZ23" s="421">
        <v>0.19</v>
      </c>
      <c r="BA23" s="421">
        <v>0.18</v>
      </c>
      <c r="BB23" s="421">
        <v>0.17</v>
      </c>
      <c r="BC23" s="421">
        <v>0.16</v>
      </c>
      <c r="BD23" s="681">
        <f t="shared" si="24"/>
        <v>0</v>
      </c>
      <c r="BE23" s="417" t="s">
        <v>331</v>
      </c>
      <c r="BF23" s="425">
        <f t="shared" si="25"/>
        <v>0.36</v>
      </c>
      <c r="BG23" s="420">
        <f t="shared" si="26"/>
        <v>0</v>
      </c>
      <c r="BH23" s="420">
        <f t="shared" si="27"/>
        <v>0</v>
      </c>
      <c r="BI23" s="420">
        <f t="shared" si="28"/>
        <v>0</v>
      </c>
      <c r="BJ23" s="420">
        <f t="shared" si="29"/>
        <v>0</v>
      </c>
      <c r="BK23" s="420">
        <f t="shared" si="30"/>
        <v>0</v>
      </c>
      <c r="BL23" s="420">
        <f t="shared" si="31"/>
        <v>0</v>
      </c>
      <c r="BM23" s="420">
        <f t="shared" si="32"/>
        <v>0</v>
      </c>
      <c r="BN23" s="420">
        <f t="shared" si="33"/>
        <v>0.36</v>
      </c>
      <c r="BO23" s="420">
        <f t="shared" si="34"/>
        <v>0</v>
      </c>
      <c r="BP23" s="420">
        <f t="shared" si="35"/>
        <v>0</v>
      </c>
      <c r="BQ23" s="420">
        <f t="shared" si="36"/>
        <v>0</v>
      </c>
      <c r="BR23" s="420">
        <f t="shared" si="37"/>
        <v>0</v>
      </c>
      <c r="BS23" s="420">
        <f t="shared" si="38"/>
        <v>0</v>
      </c>
      <c r="BT23" s="420">
        <f t="shared" si="39"/>
        <v>0</v>
      </c>
      <c r="BU23" s="420">
        <f t="shared" si="40"/>
        <v>0</v>
      </c>
      <c r="BV23" s="420">
        <f t="shared" si="41"/>
        <v>0</v>
      </c>
      <c r="BW23" s="420">
        <f t="shared" si="42"/>
        <v>0</v>
      </c>
      <c r="BX23" s="420">
        <f t="shared" si="43"/>
        <v>0</v>
      </c>
      <c r="BY23" s="420">
        <f t="shared" si="44"/>
        <v>0</v>
      </c>
      <c r="BZ23" s="420">
        <f t="shared" si="45"/>
        <v>0</v>
      </c>
      <c r="CA23" s="421">
        <v>0.67</v>
      </c>
      <c r="CB23" s="421">
        <v>0.59</v>
      </c>
      <c r="CC23" s="421">
        <v>0.54</v>
      </c>
      <c r="CD23" s="421">
        <v>0.49</v>
      </c>
      <c r="CE23" s="421">
        <v>0.45</v>
      </c>
      <c r="CF23" s="421">
        <v>0.42</v>
      </c>
      <c r="CG23" s="421">
        <v>0.39</v>
      </c>
      <c r="CH23" s="421">
        <v>0.36</v>
      </c>
      <c r="CI23" s="421">
        <v>0.34</v>
      </c>
      <c r="CJ23" s="421">
        <v>0.32</v>
      </c>
      <c r="CK23" s="421">
        <v>0.3</v>
      </c>
      <c r="CL23" s="421">
        <v>0.28000000000000003</v>
      </c>
      <c r="CM23" s="421">
        <v>0.26</v>
      </c>
      <c r="CN23" s="421">
        <v>0.24</v>
      </c>
      <c r="CO23" s="421">
        <v>0.23</v>
      </c>
      <c r="CP23" s="421">
        <v>0.21</v>
      </c>
      <c r="CQ23" s="421">
        <v>0.2</v>
      </c>
      <c r="CR23" s="421">
        <v>0.19</v>
      </c>
      <c r="CS23" s="421">
        <v>0.18</v>
      </c>
      <c r="CT23" s="421">
        <v>0.17</v>
      </c>
    </row>
    <row r="24" spans="1:98" ht="13.9" x14ac:dyDescent="0.4">
      <c r="A24" s="26" t="str">
        <f>A6_Machine_Look_Up!A24</f>
        <v>Bedder-Roller</v>
      </c>
      <c r="B24" s="1302">
        <f>A6_Machine_Look_Up!H24</f>
        <v>120</v>
      </c>
      <c r="C24" s="405">
        <f>A6_Machine_Look_Up!I24</f>
        <v>0.85</v>
      </c>
      <c r="D24" s="468">
        <f>A6_Machine_Look_Up!J24</f>
        <v>8</v>
      </c>
      <c r="E24" s="441">
        <f t="shared" si="0"/>
        <v>0.35</v>
      </c>
      <c r="F24" s="491">
        <f>A6_Machine_Look_Up!K24</f>
        <v>600</v>
      </c>
      <c r="G24" s="492">
        <f>A6_Machine_Look_Up!L24</f>
        <v>8</v>
      </c>
      <c r="H24" s="450">
        <f t="shared" si="1"/>
        <v>0.36</v>
      </c>
      <c r="I24" s="225">
        <f>A6_Machine_Look_Up!G24</f>
        <v>230</v>
      </c>
      <c r="J24" s="578">
        <f>A6_Machine_Look_Up!AG24</f>
        <v>0.16</v>
      </c>
      <c r="K24" s="579">
        <f>A6_Machine_Look_Up!AH24</f>
        <v>1.3</v>
      </c>
      <c r="L24" s="592">
        <f>A6_Machine_Look_Up!AI24</f>
        <v>1.04</v>
      </c>
      <c r="M24" s="677">
        <f t="shared" si="2"/>
        <v>0</v>
      </c>
      <c r="N24" s="447" t="str">
        <f>A6_Machine_Look_Up!AE24</f>
        <v>Plows</v>
      </c>
      <c r="O24" s="425">
        <f t="shared" si="3"/>
        <v>0.35</v>
      </c>
      <c r="P24" s="420">
        <f t="shared" si="4"/>
        <v>0</v>
      </c>
      <c r="Q24" s="420">
        <f t="shared" si="5"/>
        <v>0</v>
      </c>
      <c r="R24" s="420">
        <f t="shared" si="6"/>
        <v>0</v>
      </c>
      <c r="S24" s="420">
        <f t="shared" si="7"/>
        <v>0</v>
      </c>
      <c r="T24" s="420">
        <f t="shared" si="8"/>
        <v>0</v>
      </c>
      <c r="U24" s="420">
        <f t="shared" si="9"/>
        <v>0</v>
      </c>
      <c r="V24" s="420">
        <f t="shared" si="10"/>
        <v>0</v>
      </c>
      <c r="W24" s="420">
        <f t="shared" si="11"/>
        <v>0.35</v>
      </c>
      <c r="X24" s="420">
        <f t="shared" si="12"/>
        <v>0</v>
      </c>
      <c r="Y24" s="420">
        <f t="shared" si="13"/>
        <v>0</v>
      </c>
      <c r="Z24" s="420">
        <f t="shared" si="14"/>
        <v>0</v>
      </c>
      <c r="AA24" s="420">
        <f t="shared" si="15"/>
        <v>0</v>
      </c>
      <c r="AB24" s="420">
        <f t="shared" si="16"/>
        <v>0</v>
      </c>
      <c r="AC24" s="420">
        <f t="shared" si="17"/>
        <v>0</v>
      </c>
      <c r="AD24" s="420">
        <f t="shared" si="18"/>
        <v>0</v>
      </c>
      <c r="AE24" s="420">
        <f t="shared" si="19"/>
        <v>0</v>
      </c>
      <c r="AF24" s="420">
        <f t="shared" si="20"/>
        <v>0</v>
      </c>
      <c r="AG24" s="420">
        <f t="shared" si="21"/>
        <v>0</v>
      </c>
      <c r="AH24" s="420">
        <f t="shared" si="22"/>
        <v>0</v>
      </c>
      <c r="AI24" s="420">
        <f t="shared" si="23"/>
        <v>0</v>
      </c>
      <c r="AJ24" s="421">
        <v>0.47</v>
      </c>
      <c r="AK24" s="421">
        <v>0.44</v>
      </c>
      <c r="AL24" s="421">
        <v>0.42</v>
      </c>
      <c r="AM24" s="421">
        <v>0.4</v>
      </c>
      <c r="AN24" s="421">
        <v>0.39</v>
      </c>
      <c r="AO24" s="421">
        <v>0.38</v>
      </c>
      <c r="AP24" s="421">
        <v>0.36</v>
      </c>
      <c r="AQ24" s="421">
        <v>0.35</v>
      </c>
      <c r="AR24" s="421">
        <v>0.34</v>
      </c>
      <c r="AS24" s="421">
        <v>0.33</v>
      </c>
      <c r="AT24" s="421">
        <v>0.32</v>
      </c>
      <c r="AU24" s="421">
        <v>0.32</v>
      </c>
      <c r="AV24" s="421">
        <v>0.31</v>
      </c>
      <c r="AW24" s="421">
        <v>0.3</v>
      </c>
      <c r="AX24" s="421">
        <v>0.28999999999999998</v>
      </c>
      <c r="AY24" s="421">
        <v>0.28999999999999998</v>
      </c>
      <c r="AZ24" s="421">
        <v>0.28000000000000003</v>
      </c>
      <c r="BA24" s="421">
        <v>0.27</v>
      </c>
      <c r="BB24" s="421">
        <v>0.27</v>
      </c>
      <c r="BC24" s="421">
        <v>0.26</v>
      </c>
      <c r="BD24" s="681">
        <f t="shared" si="24"/>
        <v>0</v>
      </c>
      <c r="BE24" s="417" t="s">
        <v>331</v>
      </c>
      <c r="BF24" s="425">
        <f t="shared" si="25"/>
        <v>0.36</v>
      </c>
      <c r="BG24" s="420">
        <f t="shared" si="26"/>
        <v>0</v>
      </c>
      <c r="BH24" s="420">
        <f t="shared" si="27"/>
        <v>0</v>
      </c>
      <c r="BI24" s="420">
        <f t="shared" si="28"/>
        <v>0</v>
      </c>
      <c r="BJ24" s="420">
        <f t="shared" si="29"/>
        <v>0</v>
      </c>
      <c r="BK24" s="420">
        <f t="shared" si="30"/>
        <v>0</v>
      </c>
      <c r="BL24" s="420">
        <f t="shared" si="31"/>
        <v>0</v>
      </c>
      <c r="BM24" s="420">
        <f t="shared" si="32"/>
        <v>0</v>
      </c>
      <c r="BN24" s="420">
        <f t="shared" si="33"/>
        <v>0.36</v>
      </c>
      <c r="BO24" s="420">
        <f t="shared" si="34"/>
        <v>0</v>
      </c>
      <c r="BP24" s="420">
        <f t="shared" si="35"/>
        <v>0</v>
      </c>
      <c r="BQ24" s="420">
        <f t="shared" si="36"/>
        <v>0</v>
      </c>
      <c r="BR24" s="420">
        <f t="shared" si="37"/>
        <v>0</v>
      </c>
      <c r="BS24" s="420">
        <f t="shared" si="38"/>
        <v>0</v>
      </c>
      <c r="BT24" s="420">
        <f t="shared" si="39"/>
        <v>0</v>
      </c>
      <c r="BU24" s="420">
        <f t="shared" si="40"/>
        <v>0</v>
      </c>
      <c r="BV24" s="420">
        <f t="shared" si="41"/>
        <v>0</v>
      </c>
      <c r="BW24" s="420">
        <f t="shared" si="42"/>
        <v>0</v>
      </c>
      <c r="BX24" s="420">
        <f t="shared" si="43"/>
        <v>0</v>
      </c>
      <c r="BY24" s="420">
        <f t="shared" si="44"/>
        <v>0</v>
      </c>
      <c r="BZ24" s="420">
        <f t="shared" si="45"/>
        <v>0</v>
      </c>
      <c r="CA24" s="421">
        <v>0.67</v>
      </c>
      <c r="CB24" s="421">
        <v>0.59</v>
      </c>
      <c r="CC24" s="421">
        <v>0.54</v>
      </c>
      <c r="CD24" s="421">
        <v>0.49</v>
      </c>
      <c r="CE24" s="421">
        <v>0.45</v>
      </c>
      <c r="CF24" s="421">
        <v>0.42</v>
      </c>
      <c r="CG24" s="421">
        <v>0.39</v>
      </c>
      <c r="CH24" s="421">
        <v>0.36</v>
      </c>
      <c r="CI24" s="421">
        <v>0.34</v>
      </c>
      <c r="CJ24" s="421">
        <v>0.32</v>
      </c>
      <c r="CK24" s="421">
        <v>0.3</v>
      </c>
      <c r="CL24" s="421">
        <v>0.28000000000000003</v>
      </c>
      <c r="CM24" s="421">
        <v>0.26</v>
      </c>
      <c r="CN24" s="421">
        <v>0.24</v>
      </c>
      <c r="CO24" s="421">
        <v>0.23</v>
      </c>
      <c r="CP24" s="421">
        <v>0.21</v>
      </c>
      <c r="CQ24" s="421">
        <v>0.2</v>
      </c>
      <c r="CR24" s="421">
        <v>0.19</v>
      </c>
      <c r="CS24" s="421">
        <v>0.18</v>
      </c>
      <c r="CT24" s="421">
        <v>0.17</v>
      </c>
    </row>
    <row r="25" spans="1:98" ht="13.9" x14ac:dyDescent="0.4">
      <c r="A25" s="26" t="str">
        <f>A6_Machine_Look_Up!A25</f>
        <v>Ditcher</v>
      </c>
      <c r="B25" s="1302">
        <f>A6_Machine_Look_Up!H25</f>
        <v>50</v>
      </c>
      <c r="C25" s="405">
        <f>A6_Machine_Look_Up!I25</f>
        <v>0.95</v>
      </c>
      <c r="D25" s="468">
        <f>A6_Machine_Look_Up!J25</f>
        <v>8</v>
      </c>
      <c r="E25" s="441">
        <f t="shared" si="0"/>
        <v>0.35</v>
      </c>
      <c r="F25" s="491">
        <f>A6_Machine_Look_Up!K25</f>
        <v>600</v>
      </c>
      <c r="G25" s="492">
        <f>A6_Machine_Look_Up!L25</f>
        <v>8</v>
      </c>
      <c r="H25" s="450">
        <f t="shared" si="1"/>
        <v>0.36</v>
      </c>
      <c r="I25" s="225">
        <f>A6_Machine_Look_Up!G25</f>
        <v>175</v>
      </c>
      <c r="J25" s="578">
        <f>A6_Machine_Look_Up!AG25</f>
        <v>0.28000000000000003</v>
      </c>
      <c r="K25" s="579">
        <f>A6_Machine_Look_Up!AH25</f>
        <v>1.4</v>
      </c>
      <c r="L25" s="592">
        <f>A6_Machine_Look_Up!AI25</f>
        <v>1.04</v>
      </c>
      <c r="M25" s="677">
        <f t="shared" si="2"/>
        <v>0</v>
      </c>
      <c r="N25" s="447" t="str">
        <f>A6_Machine_Look_Up!AE25</f>
        <v>Plows</v>
      </c>
      <c r="O25" s="425">
        <f t="shared" si="3"/>
        <v>0.35</v>
      </c>
      <c r="P25" s="420">
        <f t="shared" si="4"/>
        <v>0</v>
      </c>
      <c r="Q25" s="420">
        <f t="shared" si="5"/>
        <v>0</v>
      </c>
      <c r="R25" s="420">
        <f t="shared" si="6"/>
        <v>0</v>
      </c>
      <c r="S25" s="420">
        <f t="shared" si="7"/>
        <v>0</v>
      </c>
      <c r="T25" s="420">
        <f t="shared" si="8"/>
        <v>0</v>
      </c>
      <c r="U25" s="420">
        <f t="shared" si="9"/>
        <v>0</v>
      </c>
      <c r="V25" s="420">
        <f t="shared" si="10"/>
        <v>0</v>
      </c>
      <c r="W25" s="420">
        <f t="shared" si="11"/>
        <v>0.35</v>
      </c>
      <c r="X25" s="420">
        <f t="shared" si="12"/>
        <v>0</v>
      </c>
      <c r="Y25" s="420">
        <f t="shared" si="13"/>
        <v>0</v>
      </c>
      <c r="Z25" s="420">
        <f t="shared" si="14"/>
        <v>0</v>
      </c>
      <c r="AA25" s="420">
        <f t="shared" si="15"/>
        <v>0</v>
      </c>
      <c r="AB25" s="420">
        <f t="shared" si="16"/>
        <v>0</v>
      </c>
      <c r="AC25" s="420">
        <f t="shared" si="17"/>
        <v>0</v>
      </c>
      <c r="AD25" s="420">
        <f t="shared" si="18"/>
        <v>0</v>
      </c>
      <c r="AE25" s="420">
        <f t="shared" si="19"/>
        <v>0</v>
      </c>
      <c r="AF25" s="420">
        <f t="shared" si="20"/>
        <v>0</v>
      </c>
      <c r="AG25" s="420">
        <f t="shared" si="21"/>
        <v>0</v>
      </c>
      <c r="AH25" s="420">
        <f t="shared" si="22"/>
        <v>0</v>
      </c>
      <c r="AI25" s="420">
        <f t="shared" si="23"/>
        <v>0</v>
      </c>
      <c r="AJ25" s="421">
        <v>0.47</v>
      </c>
      <c r="AK25" s="421">
        <v>0.44</v>
      </c>
      <c r="AL25" s="421">
        <v>0.42</v>
      </c>
      <c r="AM25" s="421">
        <v>0.4</v>
      </c>
      <c r="AN25" s="421">
        <v>0.39</v>
      </c>
      <c r="AO25" s="421">
        <v>0.38</v>
      </c>
      <c r="AP25" s="421">
        <v>0.36</v>
      </c>
      <c r="AQ25" s="421">
        <v>0.35</v>
      </c>
      <c r="AR25" s="421">
        <v>0.34</v>
      </c>
      <c r="AS25" s="421">
        <v>0.33</v>
      </c>
      <c r="AT25" s="421">
        <v>0.32</v>
      </c>
      <c r="AU25" s="421">
        <v>0.32</v>
      </c>
      <c r="AV25" s="421">
        <v>0.31</v>
      </c>
      <c r="AW25" s="421">
        <v>0.3</v>
      </c>
      <c r="AX25" s="421">
        <v>0.28999999999999998</v>
      </c>
      <c r="AY25" s="421">
        <v>0.28999999999999998</v>
      </c>
      <c r="AZ25" s="421">
        <v>0.28000000000000003</v>
      </c>
      <c r="BA25" s="421">
        <v>0.27</v>
      </c>
      <c r="BB25" s="421">
        <v>0.27</v>
      </c>
      <c r="BC25" s="421">
        <v>0.26</v>
      </c>
      <c r="BD25" s="681">
        <f t="shared" si="24"/>
        <v>0</v>
      </c>
      <c r="BE25" s="417" t="s">
        <v>331</v>
      </c>
      <c r="BF25" s="425">
        <f t="shared" si="25"/>
        <v>0.36</v>
      </c>
      <c r="BG25" s="420">
        <f t="shared" si="26"/>
        <v>0</v>
      </c>
      <c r="BH25" s="420">
        <f t="shared" si="27"/>
        <v>0</v>
      </c>
      <c r="BI25" s="420">
        <f t="shared" si="28"/>
        <v>0</v>
      </c>
      <c r="BJ25" s="420">
        <f t="shared" si="29"/>
        <v>0</v>
      </c>
      <c r="BK25" s="420">
        <f t="shared" si="30"/>
        <v>0</v>
      </c>
      <c r="BL25" s="420">
        <f t="shared" si="31"/>
        <v>0</v>
      </c>
      <c r="BM25" s="420">
        <f t="shared" si="32"/>
        <v>0</v>
      </c>
      <c r="BN25" s="420">
        <f t="shared" si="33"/>
        <v>0.36</v>
      </c>
      <c r="BO25" s="420">
        <f t="shared" si="34"/>
        <v>0</v>
      </c>
      <c r="BP25" s="420">
        <f t="shared" si="35"/>
        <v>0</v>
      </c>
      <c r="BQ25" s="420">
        <f t="shared" si="36"/>
        <v>0</v>
      </c>
      <c r="BR25" s="420">
        <f t="shared" si="37"/>
        <v>0</v>
      </c>
      <c r="BS25" s="420">
        <f t="shared" si="38"/>
        <v>0</v>
      </c>
      <c r="BT25" s="420">
        <f t="shared" si="39"/>
        <v>0</v>
      </c>
      <c r="BU25" s="420">
        <f t="shared" si="40"/>
        <v>0</v>
      </c>
      <c r="BV25" s="420">
        <f t="shared" si="41"/>
        <v>0</v>
      </c>
      <c r="BW25" s="420">
        <f t="shared" si="42"/>
        <v>0</v>
      </c>
      <c r="BX25" s="420">
        <f t="shared" si="43"/>
        <v>0</v>
      </c>
      <c r="BY25" s="420">
        <f t="shared" si="44"/>
        <v>0</v>
      </c>
      <c r="BZ25" s="420">
        <f t="shared" si="45"/>
        <v>0</v>
      </c>
      <c r="CA25" s="421">
        <v>0.67</v>
      </c>
      <c r="CB25" s="421">
        <v>0.59</v>
      </c>
      <c r="CC25" s="421">
        <v>0.54</v>
      </c>
      <c r="CD25" s="421">
        <v>0.49</v>
      </c>
      <c r="CE25" s="421">
        <v>0.45</v>
      </c>
      <c r="CF25" s="421">
        <v>0.42</v>
      </c>
      <c r="CG25" s="421">
        <v>0.39</v>
      </c>
      <c r="CH25" s="421">
        <v>0.36</v>
      </c>
      <c r="CI25" s="421">
        <v>0.34</v>
      </c>
      <c r="CJ25" s="421">
        <v>0.32</v>
      </c>
      <c r="CK25" s="421">
        <v>0.3</v>
      </c>
      <c r="CL25" s="421">
        <v>0.28000000000000003</v>
      </c>
      <c r="CM25" s="421">
        <v>0.26</v>
      </c>
      <c r="CN25" s="421">
        <v>0.24</v>
      </c>
      <c r="CO25" s="421">
        <v>0.23</v>
      </c>
      <c r="CP25" s="421">
        <v>0.21</v>
      </c>
      <c r="CQ25" s="421">
        <v>0.2</v>
      </c>
      <c r="CR25" s="421">
        <v>0.19</v>
      </c>
      <c r="CS25" s="421">
        <v>0.18</v>
      </c>
      <c r="CT25" s="421">
        <v>0.17</v>
      </c>
    </row>
    <row r="26" spans="1:98" ht="13.9" x14ac:dyDescent="0.4">
      <c r="A26" s="26" t="str">
        <f>A6_Machine_Look_Up!A26</f>
        <v>Turbo Tiller</v>
      </c>
      <c r="B26" s="1302">
        <f>A6_Machine_Look_Up!H26</f>
        <v>160</v>
      </c>
      <c r="C26" s="405">
        <f>A6_Machine_Look_Up!I26</f>
        <v>0.8</v>
      </c>
      <c r="D26" s="468">
        <f>A6_Machine_Look_Up!J26</f>
        <v>8</v>
      </c>
      <c r="E26" s="441">
        <f t="shared" si="0"/>
        <v>0.35</v>
      </c>
      <c r="F26" s="491">
        <f>A6_Machine_Look_Up!K26</f>
        <v>600</v>
      </c>
      <c r="G26" s="492">
        <f>A6_Machine_Look_Up!L26</f>
        <v>8</v>
      </c>
      <c r="H26" s="450">
        <f t="shared" si="1"/>
        <v>0.36</v>
      </c>
      <c r="I26" s="225">
        <f>A6_Machine_Look_Up!G26</f>
        <v>230</v>
      </c>
      <c r="J26" s="578">
        <f>A6_Machine_Look_Up!AG26</f>
        <v>0.23</v>
      </c>
      <c r="K26" s="579">
        <f>A6_Machine_Look_Up!AH26</f>
        <v>1.4</v>
      </c>
      <c r="L26" s="592">
        <f>A6_Machine_Look_Up!AI26</f>
        <v>1.04</v>
      </c>
      <c r="M26" s="677">
        <f t="shared" si="2"/>
        <v>0</v>
      </c>
      <c r="N26" s="447" t="str">
        <f>A6_Machine_Look_Up!AE26</f>
        <v>Plows</v>
      </c>
      <c r="O26" s="425">
        <f t="shared" si="3"/>
        <v>0.35</v>
      </c>
      <c r="P26" s="420">
        <f t="shared" si="4"/>
        <v>0</v>
      </c>
      <c r="Q26" s="420">
        <f t="shared" si="5"/>
        <v>0</v>
      </c>
      <c r="R26" s="420">
        <f t="shared" si="6"/>
        <v>0</v>
      </c>
      <c r="S26" s="420">
        <f t="shared" si="7"/>
        <v>0</v>
      </c>
      <c r="T26" s="420">
        <f t="shared" si="8"/>
        <v>0</v>
      </c>
      <c r="U26" s="420">
        <f t="shared" si="9"/>
        <v>0</v>
      </c>
      <c r="V26" s="420">
        <f t="shared" si="10"/>
        <v>0</v>
      </c>
      <c r="W26" s="420">
        <f t="shared" si="11"/>
        <v>0.35</v>
      </c>
      <c r="X26" s="420">
        <f t="shared" si="12"/>
        <v>0</v>
      </c>
      <c r="Y26" s="420">
        <f t="shared" si="13"/>
        <v>0</v>
      </c>
      <c r="Z26" s="420">
        <f t="shared" si="14"/>
        <v>0</v>
      </c>
      <c r="AA26" s="420">
        <f t="shared" si="15"/>
        <v>0</v>
      </c>
      <c r="AB26" s="420">
        <f t="shared" si="16"/>
        <v>0</v>
      </c>
      <c r="AC26" s="420">
        <f t="shared" si="17"/>
        <v>0</v>
      </c>
      <c r="AD26" s="420">
        <f t="shared" si="18"/>
        <v>0</v>
      </c>
      <c r="AE26" s="420">
        <f t="shared" si="19"/>
        <v>0</v>
      </c>
      <c r="AF26" s="420">
        <f t="shared" si="20"/>
        <v>0</v>
      </c>
      <c r="AG26" s="420">
        <f t="shared" si="21"/>
        <v>0</v>
      </c>
      <c r="AH26" s="420">
        <f t="shared" si="22"/>
        <v>0</v>
      </c>
      <c r="AI26" s="420">
        <f t="shared" si="23"/>
        <v>0</v>
      </c>
      <c r="AJ26" s="421">
        <v>0.47</v>
      </c>
      <c r="AK26" s="421">
        <v>0.44</v>
      </c>
      <c r="AL26" s="421">
        <v>0.42</v>
      </c>
      <c r="AM26" s="421">
        <v>0.4</v>
      </c>
      <c r="AN26" s="421">
        <v>0.39</v>
      </c>
      <c r="AO26" s="421">
        <v>0.38</v>
      </c>
      <c r="AP26" s="421">
        <v>0.36</v>
      </c>
      <c r="AQ26" s="421">
        <v>0.35</v>
      </c>
      <c r="AR26" s="421">
        <v>0.34</v>
      </c>
      <c r="AS26" s="421">
        <v>0.33</v>
      </c>
      <c r="AT26" s="421">
        <v>0.32</v>
      </c>
      <c r="AU26" s="421">
        <v>0.32</v>
      </c>
      <c r="AV26" s="421">
        <v>0.31</v>
      </c>
      <c r="AW26" s="421">
        <v>0.3</v>
      </c>
      <c r="AX26" s="421">
        <v>0.28999999999999998</v>
      </c>
      <c r="AY26" s="421">
        <v>0.28999999999999998</v>
      </c>
      <c r="AZ26" s="421">
        <v>0.28000000000000003</v>
      </c>
      <c r="BA26" s="421">
        <v>0.27</v>
      </c>
      <c r="BB26" s="421">
        <v>0.27</v>
      </c>
      <c r="BC26" s="421">
        <v>0.26</v>
      </c>
      <c r="BD26" s="681">
        <f t="shared" si="24"/>
        <v>0</v>
      </c>
      <c r="BE26" s="417" t="s">
        <v>331</v>
      </c>
      <c r="BF26" s="425">
        <f t="shared" si="25"/>
        <v>0.36</v>
      </c>
      <c r="BG26" s="420">
        <f t="shared" si="26"/>
        <v>0</v>
      </c>
      <c r="BH26" s="420">
        <f t="shared" si="27"/>
        <v>0</v>
      </c>
      <c r="BI26" s="420">
        <f t="shared" si="28"/>
        <v>0</v>
      </c>
      <c r="BJ26" s="420">
        <f t="shared" si="29"/>
        <v>0</v>
      </c>
      <c r="BK26" s="420">
        <f t="shared" si="30"/>
        <v>0</v>
      </c>
      <c r="BL26" s="420">
        <f t="shared" si="31"/>
        <v>0</v>
      </c>
      <c r="BM26" s="420">
        <f t="shared" si="32"/>
        <v>0</v>
      </c>
      <c r="BN26" s="420">
        <f t="shared" si="33"/>
        <v>0.36</v>
      </c>
      <c r="BO26" s="420">
        <f t="shared" si="34"/>
        <v>0</v>
      </c>
      <c r="BP26" s="420">
        <f t="shared" si="35"/>
        <v>0</v>
      </c>
      <c r="BQ26" s="420">
        <f t="shared" si="36"/>
        <v>0</v>
      </c>
      <c r="BR26" s="420">
        <f t="shared" si="37"/>
        <v>0</v>
      </c>
      <c r="BS26" s="420">
        <f t="shared" si="38"/>
        <v>0</v>
      </c>
      <c r="BT26" s="420">
        <f t="shared" si="39"/>
        <v>0</v>
      </c>
      <c r="BU26" s="420">
        <f t="shared" si="40"/>
        <v>0</v>
      </c>
      <c r="BV26" s="420">
        <f t="shared" si="41"/>
        <v>0</v>
      </c>
      <c r="BW26" s="420">
        <f t="shared" si="42"/>
        <v>0</v>
      </c>
      <c r="BX26" s="420">
        <f t="shared" si="43"/>
        <v>0</v>
      </c>
      <c r="BY26" s="420">
        <f t="shared" si="44"/>
        <v>0</v>
      </c>
      <c r="BZ26" s="420">
        <f t="shared" si="45"/>
        <v>0</v>
      </c>
      <c r="CA26" s="421">
        <v>0.67</v>
      </c>
      <c r="CB26" s="421">
        <v>0.59</v>
      </c>
      <c r="CC26" s="421">
        <v>0.54</v>
      </c>
      <c r="CD26" s="421">
        <v>0.49</v>
      </c>
      <c r="CE26" s="421">
        <v>0.45</v>
      </c>
      <c r="CF26" s="421">
        <v>0.42</v>
      </c>
      <c r="CG26" s="421">
        <v>0.39</v>
      </c>
      <c r="CH26" s="421">
        <v>0.36</v>
      </c>
      <c r="CI26" s="421">
        <v>0.34</v>
      </c>
      <c r="CJ26" s="421">
        <v>0.32</v>
      </c>
      <c r="CK26" s="421">
        <v>0.3</v>
      </c>
      <c r="CL26" s="421">
        <v>0.28000000000000003</v>
      </c>
      <c r="CM26" s="421">
        <v>0.26</v>
      </c>
      <c r="CN26" s="421">
        <v>0.24</v>
      </c>
      <c r="CO26" s="421">
        <v>0.23</v>
      </c>
      <c r="CP26" s="421">
        <v>0.21</v>
      </c>
      <c r="CQ26" s="421">
        <v>0.2</v>
      </c>
      <c r="CR26" s="421">
        <v>0.19</v>
      </c>
      <c r="CS26" s="421">
        <v>0.18</v>
      </c>
      <c r="CT26" s="421">
        <v>0.17</v>
      </c>
    </row>
    <row r="27" spans="1:98" ht="13.9" x14ac:dyDescent="0.4">
      <c r="A27" s="26" t="str">
        <f>A6_Machine_Look_Up!A27</f>
        <v>Rotary Harrow (ex. Phillips)</v>
      </c>
      <c r="B27" s="1302">
        <f>A6_Machine_Look_Up!H27</f>
        <v>120</v>
      </c>
      <c r="C27" s="405">
        <f>A6_Machine_Look_Up!I27</f>
        <v>0.8</v>
      </c>
      <c r="D27" s="468">
        <f>A6_Machine_Look_Up!J27</f>
        <v>8</v>
      </c>
      <c r="E27" s="441">
        <f t="shared" si="0"/>
        <v>0.35</v>
      </c>
      <c r="F27" s="491">
        <f>A6_Machine_Look_Up!K27</f>
        <v>600</v>
      </c>
      <c r="G27" s="492">
        <f>A6_Machine_Look_Up!L27</f>
        <v>8</v>
      </c>
      <c r="H27" s="450">
        <f t="shared" si="1"/>
        <v>0.36</v>
      </c>
      <c r="I27" s="225">
        <f>A6_Machine_Look_Up!G27</f>
        <v>230</v>
      </c>
      <c r="J27" s="578">
        <f>A6_Machine_Look_Up!AG27</f>
        <v>0.23</v>
      </c>
      <c r="K27" s="579">
        <f>A6_Machine_Look_Up!AH27</f>
        <v>1.4</v>
      </c>
      <c r="L27" s="592">
        <f>A6_Machine_Look_Up!AI27</f>
        <v>1.04</v>
      </c>
      <c r="M27" s="677">
        <f t="shared" si="2"/>
        <v>0</v>
      </c>
      <c r="N27" s="447" t="str">
        <f>A6_Machine_Look_Up!AE27</f>
        <v>Plows</v>
      </c>
      <c r="O27" s="425">
        <f t="shared" si="3"/>
        <v>0.35</v>
      </c>
      <c r="P27" s="420">
        <f t="shared" si="4"/>
        <v>0</v>
      </c>
      <c r="Q27" s="420">
        <f t="shared" si="5"/>
        <v>0</v>
      </c>
      <c r="R27" s="420">
        <f t="shared" si="6"/>
        <v>0</v>
      </c>
      <c r="S27" s="420">
        <f t="shared" si="7"/>
        <v>0</v>
      </c>
      <c r="T27" s="420">
        <f t="shared" si="8"/>
        <v>0</v>
      </c>
      <c r="U27" s="420">
        <f t="shared" si="9"/>
        <v>0</v>
      </c>
      <c r="V27" s="420">
        <f t="shared" si="10"/>
        <v>0</v>
      </c>
      <c r="W27" s="420">
        <f t="shared" si="11"/>
        <v>0.35</v>
      </c>
      <c r="X27" s="420">
        <f t="shared" si="12"/>
        <v>0</v>
      </c>
      <c r="Y27" s="420">
        <f t="shared" si="13"/>
        <v>0</v>
      </c>
      <c r="Z27" s="420">
        <f t="shared" si="14"/>
        <v>0</v>
      </c>
      <c r="AA27" s="420">
        <f t="shared" si="15"/>
        <v>0</v>
      </c>
      <c r="AB27" s="420">
        <f t="shared" si="16"/>
        <v>0</v>
      </c>
      <c r="AC27" s="420">
        <f t="shared" si="17"/>
        <v>0</v>
      </c>
      <c r="AD27" s="420">
        <f t="shared" si="18"/>
        <v>0</v>
      </c>
      <c r="AE27" s="420">
        <f t="shared" si="19"/>
        <v>0</v>
      </c>
      <c r="AF27" s="420">
        <f t="shared" si="20"/>
        <v>0</v>
      </c>
      <c r="AG27" s="420">
        <f t="shared" si="21"/>
        <v>0</v>
      </c>
      <c r="AH27" s="420">
        <f t="shared" si="22"/>
        <v>0</v>
      </c>
      <c r="AI27" s="420">
        <f t="shared" si="23"/>
        <v>0</v>
      </c>
      <c r="AJ27" s="421">
        <v>0.47</v>
      </c>
      <c r="AK27" s="421">
        <v>0.44</v>
      </c>
      <c r="AL27" s="421">
        <v>0.42</v>
      </c>
      <c r="AM27" s="421">
        <v>0.4</v>
      </c>
      <c r="AN27" s="421">
        <v>0.39</v>
      </c>
      <c r="AO27" s="421">
        <v>0.38</v>
      </c>
      <c r="AP27" s="421">
        <v>0.36</v>
      </c>
      <c r="AQ27" s="421">
        <v>0.35</v>
      </c>
      <c r="AR27" s="421">
        <v>0.34</v>
      </c>
      <c r="AS27" s="421">
        <v>0.33</v>
      </c>
      <c r="AT27" s="421">
        <v>0.32</v>
      </c>
      <c r="AU27" s="421">
        <v>0.32</v>
      </c>
      <c r="AV27" s="421">
        <v>0.31</v>
      </c>
      <c r="AW27" s="421">
        <v>0.3</v>
      </c>
      <c r="AX27" s="421">
        <v>0.28999999999999998</v>
      </c>
      <c r="AY27" s="421">
        <v>0.28999999999999998</v>
      </c>
      <c r="AZ27" s="421">
        <v>0.28000000000000003</v>
      </c>
      <c r="BA27" s="421">
        <v>0.27</v>
      </c>
      <c r="BB27" s="421">
        <v>0.27</v>
      </c>
      <c r="BC27" s="421">
        <v>0.26</v>
      </c>
      <c r="BD27" s="681">
        <f t="shared" si="24"/>
        <v>0</v>
      </c>
      <c r="BE27" s="417" t="s">
        <v>331</v>
      </c>
      <c r="BF27" s="425">
        <f t="shared" si="25"/>
        <v>0.36</v>
      </c>
      <c r="BG27" s="420">
        <f t="shared" si="26"/>
        <v>0</v>
      </c>
      <c r="BH27" s="420">
        <f t="shared" si="27"/>
        <v>0</v>
      </c>
      <c r="BI27" s="420">
        <f t="shared" si="28"/>
        <v>0</v>
      </c>
      <c r="BJ27" s="420">
        <f t="shared" si="29"/>
        <v>0</v>
      </c>
      <c r="BK27" s="420">
        <f t="shared" si="30"/>
        <v>0</v>
      </c>
      <c r="BL27" s="420">
        <f t="shared" si="31"/>
        <v>0</v>
      </c>
      <c r="BM27" s="420">
        <f t="shared" si="32"/>
        <v>0</v>
      </c>
      <c r="BN27" s="420">
        <f t="shared" si="33"/>
        <v>0.36</v>
      </c>
      <c r="BO27" s="420">
        <f t="shared" si="34"/>
        <v>0</v>
      </c>
      <c r="BP27" s="420">
        <f t="shared" si="35"/>
        <v>0</v>
      </c>
      <c r="BQ27" s="420">
        <f t="shared" si="36"/>
        <v>0</v>
      </c>
      <c r="BR27" s="420">
        <f t="shared" si="37"/>
        <v>0</v>
      </c>
      <c r="BS27" s="420">
        <f t="shared" si="38"/>
        <v>0</v>
      </c>
      <c r="BT27" s="420">
        <f t="shared" si="39"/>
        <v>0</v>
      </c>
      <c r="BU27" s="420">
        <f t="shared" si="40"/>
        <v>0</v>
      </c>
      <c r="BV27" s="420">
        <f t="shared" si="41"/>
        <v>0</v>
      </c>
      <c r="BW27" s="420">
        <f t="shared" si="42"/>
        <v>0</v>
      </c>
      <c r="BX27" s="420">
        <f t="shared" si="43"/>
        <v>0</v>
      </c>
      <c r="BY27" s="420">
        <f t="shared" si="44"/>
        <v>0</v>
      </c>
      <c r="BZ27" s="420">
        <f t="shared" si="45"/>
        <v>0</v>
      </c>
      <c r="CA27" s="421">
        <v>0.67</v>
      </c>
      <c r="CB27" s="421">
        <v>0.59</v>
      </c>
      <c r="CC27" s="421">
        <v>0.54</v>
      </c>
      <c r="CD27" s="421">
        <v>0.49</v>
      </c>
      <c r="CE27" s="421">
        <v>0.45</v>
      </c>
      <c r="CF27" s="421">
        <v>0.42</v>
      </c>
      <c r="CG27" s="421">
        <v>0.39</v>
      </c>
      <c r="CH27" s="421">
        <v>0.36</v>
      </c>
      <c r="CI27" s="421">
        <v>0.34</v>
      </c>
      <c r="CJ27" s="421">
        <v>0.32</v>
      </c>
      <c r="CK27" s="421">
        <v>0.3</v>
      </c>
      <c r="CL27" s="421">
        <v>0.28000000000000003</v>
      </c>
      <c r="CM27" s="421">
        <v>0.26</v>
      </c>
      <c r="CN27" s="421">
        <v>0.24</v>
      </c>
      <c r="CO27" s="421">
        <v>0.23</v>
      </c>
      <c r="CP27" s="421">
        <v>0.21</v>
      </c>
      <c r="CQ27" s="421">
        <v>0.2</v>
      </c>
      <c r="CR27" s="421">
        <v>0.19</v>
      </c>
      <c r="CS27" s="421">
        <v>0.18</v>
      </c>
      <c r="CT27" s="421">
        <v>0.17</v>
      </c>
    </row>
    <row r="28" spans="1:98" ht="13.9" x14ac:dyDescent="0.4">
      <c r="A28" s="26" t="str">
        <f>A6_Machine_Look_Up!A28</f>
        <v>Field Cultivator</v>
      </c>
      <c r="B28" s="1302">
        <f>A6_Machine_Look_Up!H28</f>
        <v>160</v>
      </c>
      <c r="C28" s="405">
        <f>A6_Machine_Look_Up!I28</f>
        <v>0.85</v>
      </c>
      <c r="D28" s="468">
        <f>A6_Machine_Look_Up!J28</f>
        <v>8</v>
      </c>
      <c r="E28" s="441">
        <f t="shared" si="0"/>
        <v>0.35</v>
      </c>
      <c r="F28" s="491">
        <f>A6_Machine_Look_Up!K28</f>
        <v>600</v>
      </c>
      <c r="G28" s="492">
        <f>A6_Machine_Look_Up!L28</f>
        <v>8</v>
      </c>
      <c r="H28" s="450">
        <f t="shared" si="1"/>
        <v>0.36</v>
      </c>
      <c r="I28" s="225">
        <f>A6_Machine_Look_Up!G28</f>
        <v>230</v>
      </c>
      <c r="J28" s="578">
        <f>A6_Machine_Look_Up!AG28</f>
        <v>0.27</v>
      </c>
      <c r="K28" s="579">
        <f>A6_Machine_Look_Up!AH28</f>
        <v>1.4</v>
      </c>
      <c r="L28" s="592">
        <f>A6_Machine_Look_Up!AI28</f>
        <v>1.04</v>
      </c>
      <c r="M28" s="677">
        <f t="shared" si="2"/>
        <v>0</v>
      </c>
      <c r="N28" s="447" t="str">
        <f>A6_Machine_Look_Up!AE28</f>
        <v>Plows</v>
      </c>
      <c r="O28" s="425">
        <f t="shared" si="3"/>
        <v>0.35</v>
      </c>
      <c r="P28" s="420">
        <f t="shared" si="4"/>
        <v>0</v>
      </c>
      <c r="Q28" s="420">
        <f t="shared" si="5"/>
        <v>0</v>
      </c>
      <c r="R28" s="420">
        <f t="shared" si="6"/>
        <v>0</v>
      </c>
      <c r="S28" s="420">
        <f t="shared" si="7"/>
        <v>0</v>
      </c>
      <c r="T28" s="420">
        <f t="shared" si="8"/>
        <v>0</v>
      </c>
      <c r="U28" s="420">
        <f t="shared" si="9"/>
        <v>0</v>
      </c>
      <c r="V28" s="420">
        <f t="shared" si="10"/>
        <v>0</v>
      </c>
      <c r="W28" s="420">
        <f t="shared" si="11"/>
        <v>0.35</v>
      </c>
      <c r="X28" s="420">
        <f t="shared" si="12"/>
        <v>0</v>
      </c>
      <c r="Y28" s="420">
        <f t="shared" si="13"/>
        <v>0</v>
      </c>
      <c r="Z28" s="420">
        <f t="shared" si="14"/>
        <v>0</v>
      </c>
      <c r="AA28" s="420">
        <f t="shared" si="15"/>
        <v>0</v>
      </c>
      <c r="AB28" s="420">
        <f t="shared" si="16"/>
        <v>0</v>
      </c>
      <c r="AC28" s="420">
        <f t="shared" si="17"/>
        <v>0</v>
      </c>
      <c r="AD28" s="420">
        <f t="shared" si="18"/>
        <v>0</v>
      </c>
      <c r="AE28" s="420">
        <f t="shared" si="19"/>
        <v>0</v>
      </c>
      <c r="AF28" s="420">
        <f t="shared" si="20"/>
        <v>0</v>
      </c>
      <c r="AG28" s="420">
        <f t="shared" si="21"/>
        <v>0</v>
      </c>
      <c r="AH28" s="420">
        <f t="shared" si="22"/>
        <v>0</v>
      </c>
      <c r="AI28" s="420">
        <f t="shared" si="23"/>
        <v>0</v>
      </c>
      <c r="AJ28" s="421">
        <v>0.47</v>
      </c>
      <c r="AK28" s="421">
        <v>0.44</v>
      </c>
      <c r="AL28" s="421">
        <v>0.42</v>
      </c>
      <c r="AM28" s="421">
        <v>0.4</v>
      </c>
      <c r="AN28" s="421">
        <v>0.39</v>
      </c>
      <c r="AO28" s="421">
        <v>0.38</v>
      </c>
      <c r="AP28" s="421">
        <v>0.36</v>
      </c>
      <c r="AQ28" s="421">
        <v>0.35</v>
      </c>
      <c r="AR28" s="421">
        <v>0.34</v>
      </c>
      <c r="AS28" s="421">
        <v>0.33</v>
      </c>
      <c r="AT28" s="421">
        <v>0.32</v>
      </c>
      <c r="AU28" s="421">
        <v>0.32</v>
      </c>
      <c r="AV28" s="421">
        <v>0.31</v>
      </c>
      <c r="AW28" s="421">
        <v>0.3</v>
      </c>
      <c r="AX28" s="421">
        <v>0.28999999999999998</v>
      </c>
      <c r="AY28" s="421">
        <v>0.28999999999999998</v>
      </c>
      <c r="AZ28" s="421">
        <v>0.28000000000000003</v>
      </c>
      <c r="BA28" s="421">
        <v>0.27</v>
      </c>
      <c r="BB28" s="421">
        <v>0.27</v>
      </c>
      <c r="BC28" s="421">
        <v>0.26</v>
      </c>
      <c r="BD28" s="681">
        <f t="shared" si="24"/>
        <v>0</v>
      </c>
      <c r="BE28" s="417" t="s">
        <v>331</v>
      </c>
      <c r="BF28" s="425">
        <f t="shared" si="25"/>
        <v>0.36</v>
      </c>
      <c r="BG28" s="420">
        <f t="shared" si="26"/>
        <v>0</v>
      </c>
      <c r="BH28" s="420">
        <f t="shared" si="27"/>
        <v>0</v>
      </c>
      <c r="BI28" s="420">
        <f t="shared" si="28"/>
        <v>0</v>
      </c>
      <c r="BJ28" s="420">
        <f t="shared" si="29"/>
        <v>0</v>
      </c>
      <c r="BK28" s="420">
        <f t="shared" si="30"/>
        <v>0</v>
      </c>
      <c r="BL28" s="420">
        <f t="shared" si="31"/>
        <v>0</v>
      </c>
      <c r="BM28" s="420">
        <f t="shared" si="32"/>
        <v>0</v>
      </c>
      <c r="BN28" s="420">
        <f t="shared" si="33"/>
        <v>0.36</v>
      </c>
      <c r="BO28" s="420">
        <f t="shared" si="34"/>
        <v>0</v>
      </c>
      <c r="BP28" s="420">
        <f t="shared" si="35"/>
        <v>0</v>
      </c>
      <c r="BQ28" s="420">
        <f t="shared" si="36"/>
        <v>0</v>
      </c>
      <c r="BR28" s="420">
        <f t="shared" si="37"/>
        <v>0</v>
      </c>
      <c r="BS28" s="420">
        <f t="shared" si="38"/>
        <v>0</v>
      </c>
      <c r="BT28" s="420">
        <f t="shared" si="39"/>
        <v>0</v>
      </c>
      <c r="BU28" s="420">
        <f t="shared" si="40"/>
        <v>0</v>
      </c>
      <c r="BV28" s="420">
        <f t="shared" si="41"/>
        <v>0</v>
      </c>
      <c r="BW28" s="420">
        <f t="shared" si="42"/>
        <v>0</v>
      </c>
      <c r="BX28" s="420">
        <f t="shared" si="43"/>
        <v>0</v>
      </c>
      <c r="BY28" s="420">
        <f t="shared" si="44"/>
        <v>0</v>
      </c>
      <c r="BZ28" s="420">
        <f t="shared" si="45"/>
        <v>0</v>
      </c>
      <c r="CA28" s="421">
        <v>0.67</v>
      </c>
      <c r="CB28" s="421">
        <v>0.59</v>
      </c>
      <c r="CC28" s="421">
        <v>0.54</v>
      </c>
      <c r="CD28" s="421">
        <v>0.49</v>
      </c>
      <c r="CE28" s="421">
        <v>0.45</v>
      </c>
      <c r="CF28" s="421">
        <v>0.42</v>
      </c>
      <c r="CG28" s="421">
        <v>0.39</v>
      </c>
      <c r="CH28" s="421">
        <v>0.36</v>
      </c>
      <c r="CI28" s="421">
        <v>0.34</v>
      </c>
      <c r="CJ28" s="421">
        <v>0.32</v>
      </c>
      <c r="CK28" s="421">
        <v>0.3</v>
      </c>
      <c r="CL28" s="421">
        <v>0.28000000000000003</v>
      </c>
      <c r="CM28" s="421">
        <v>0.26</v>
      </c>
      <c r="CN28" s="421">
        <v>0.24</v>
      </c>
      <c r="CO28" s="421">
        <v>0.23</v>
      </c>
      <c r="CP28" s="421">
        <v>0.21</v>
      </c>
      <c r="CQ28" s="421">
        <v>0.2</v>
      </c>
      <c r="CR28" s="421">
        <v>0.19</v>
      </c>
      <c r="CS28" s="421">
        <v>0.18</v>
      </c>
      <c r="CT28" s="421">
        <v>0.17</v>
      </c>
    </row>
    <row r="29" spans="1:98" ht="13.9" x14ac:dyDescent="0.4">
      <c r="A29" s="26" t="str">
        <f>A6_Machine_Look_Up!A29</f>
        <v>Row Crop Cultivator, Row Middles</v>
      </c>
      <c r="B29" s="1302">
        <f>A6_Machine_Look_Up!H29</f>
        <v>120</v>
      </c>
      <c r="C29" s="405">
        <f>A6_Machine_Look_Up!I29</f>
        <v>0.8</v>
      </c>
      <c r="D29" s="468">
        <f>A6_Machine_Look_Up!J29</f>
        <v>8</v>
      </c>
      <c r="E29" s="441">
        <f t="shared" si="0"/>
        <v>0.35</v>
      </c>
      <c r="F29" s="491">
        <f>A6_Machine_Look_Up!K29</f>
        <v>600</v>
      </c>
      <c r="G29" s="492">
        <f>A6_Machine_Look_Up!L29</f>
        <v>8</v>
      </c>
      <c r="H29" s="450">
        <f t="shared" si="1"/>
        <v>0.36</v>
      </c>
      <c r="I29" s="225">
        <f>A6_Machine_Look_Up!G29</f>
        <v>230</v>
      </c>
      <c r="J29" s="578">
        <f>A6_Machine_Look_Up!AG29</f>
        <v>0.17</v>
      </c>
      <c r="K29" s="579">
        <f>A6_Machine_Look_Up!AH29</f>
        <v>2.2000000000000002</v>
      </c>
      <c r="L29" s="592">
        <f>A6_Machine_Look_Up!AI29</f>
        <v>1.04</v>
      </c>
      <c r="M29" s="677">
        <f t="shared" si="2"/>
        <v>0</v>
      </c>
      <c r="N29" s="447" t="str">
        <f>A6_Machine_Look_Up!AE29</f>
        <v>Plows</v>
      </c>
      <c r="O29" s="425">
        <f t="shared" si="3"/>
        <v>0.35</v>
      </c>
      <c r="P29" s="420">
        <f t="shared" si="4"/>
        <v>0</v>
      </c>
      <c r="Q29" s="420">
        <f t="shared" si="5"/>
        <v>0</v>
      </c>
      <c r="R29" s="420">
        <f t="shared" si="6"/>
        <v>0</v>
      </c>
      <c r="S29" s="420">
        <f t="shared" si="7"/>
        <v>0</v>
      </c>
      <c r="T29" s="420">
        <f t="shared" si="8"/>
        <v>0</v>
      </c>
      <c r="U29" s="420">
        <f t="shared" si="9"/>
        <v>0</v>
      </c>
      <c r="V29" s="420">
        <f t="shared" si="10"/>
        <v>0</v>
      </c>
      <c r="W29" s="420">
        <f t="shared" si="11"/>
        <v>0.35</v>
      </c>
      <c r="X29" s="420">
        <f t="shared" si="12"/>
        <v>0</v>
      </c>
      <c r="Y29" s="420">
        <f t="shared" si="13"/>
        <v>0</v>
      </c>
      <c r="Z29" s="420">
        <f t="shared" si="14"/>
        <v>0</v>
      </c>
      <c r="AA29" s="420">
        <f t="shared" si="15"/>
        <v>0</v>
      </c>
      <c r="AB29" s="420">
        <f t="shared" si="16"/>
        <v>0</v>
      </c>
      <c r="AC29" s="420">
        <f t="shared" si="17"/>
        <v>0</v>
      </c>
      <c r="AD29" s="420">
        <f t="shared" si="18"/>
        <v>0</v>
      </c>
      <c r="AE29" s="420">
        <f t="shared" si="19"/>
        <v>0</v>
      </c>
      <c r="AF29" s="420">
        <f t="shared" si="20"/>
        <v>0</v>
      </c>
      <c r="AG29" s="420">
        <f t="shared" si="21"/>
        <v>0</v>
      </c>
      <c r="AH29" s="420">
        <f t="shared" si="22"/>
        <v>0</v>
      </c>
      <c r="AI29" s="420">
        <f t="shared" si="23"/>
        <v>0</v>
      </c>
      <c r="AJ29" s="421">
        <v>0.47</v>
      </c>
      <c r="AK29" s="421">
        <v>0.44</v>
      </c>
      <c r="AL29" s="421">
        <v>0.42</v>
      </c>
      <c r="AM29" s="421">
        <v>0.4</v>
      </c>
      <c r="AN29" s="421">
        <v>0.39</v>
      </c>
      <c r="AO29" s="421">
        <v>0.38</v>
      </c>
      <c r="AP29" s="421">
        <v>0.36</v>
      </c>
      <c r="AQ29" s="421">
        <v>0.35</v>
      </c>
      <c r="AR29" s="421">
        <v>0.34</v>
      </c>
      <c r="AS29" s="421">
        <v>0.33</v>
      </c>
      <c r="AT29" s="421">
        <v>0.32</v>
      </c>
      <c r="AU29" s="421">
        <v>0.32</v>
      </c>
      <c r="AV29" s="421">
        <v>0.31</v>
      </c>
      <c r="AW29" s="421">
        <v>0.3</v>
      </c>
      <c r="AX29" s="421">
        <v>0.28999999999999998</v>
      </c>
      <c r="AY29" s="421">
        <v>0.28999999999999998</v>
      </c>
      <c r="AZ29" s="421">
        <v>0.28000000000000003</v>
      </c>
      <c r="BA29" s="421">
        <v>0.27</v>
      </c>
      <c r="BB29" s="421">
        <v>0.27</v>
      </c>
      <c r="BC29" s="421">
        <v>0.26</v>
      </c>
      <c r="BD29" s="681">
        <f t="shared" si="24"/>
        <v>0</v>
      </c>
      <c r="BE29" s="417" t="s">
        <v>331</v>
      </c>
      <c r="BF29" s="425">
        <f t="shared" si="25"/>
        <v>0.36</v>
      </c>
      <c r="BG29" s="420">
        <f t="shared" si="26"/>
        <v>0</v>
      </c>
      <c r="BH29" s="420">
        <f t="shared" si="27"/>
        <v>0</v>
      </c>
      <c r="BI29" s="420">
        <f t="shared" si="28"/>
        <v>0</v>
      </c>
      <c r="BJ29" s="420">
        <f t="shared" si="29"/>
        <v>0</v>
      </c>
      <c r="BK29" s="420">
        <f t="shared" si="30"/>
        <v>0</v>
      </c>
      <c r="BL29" s="420">
        <f t="shared" si="31"/>
        <v>0</v>
      </c>
      <c r="BM29" s="420">
        <f t="shared" si="32"/>
        <v>0</v>
      </c>
      <c r="BN29" s="420">
        <f t="shared" si="33"/>
        <v>0.36</v>
      </c>
      <c r="BO29" s="420">
        <f t="shared" si="34"/>
        <v>0</v>
      </c>
      <c r="BP29" s="420">
        <f t="shared" si="35"/>
        <v>0</v>
      </c>
      <c r="BQ29" s="420">
        <f t="shared" si="36"/>
        <v>0</v>
      </c>
      <c r="BR29" s="420">
        <f t="shared" si="37"/>
        <v>0</v>
      </c>
      <c r="BS29" s="420">
        <f t="shared" si="38"/>
        <v>0</v>
      </c>
      <c r="BT29" s="420">
        <f t="shared" si="39"/>
        <v>0</v>
      </c>
      <c r="BU29" s="420">
        <f t="shared" si="40"/>
        <v>0</v>
      </c>
      <c r="BV29" s="420">
        <f t="shared" si="41"/>
        <v>0</v>
      </c>
      <c r="BW29" s="420">
        <f t="shared" si="42"/>
        <v>0</v>
      </c>
      <c r="BX29" s="420">
        <f t="shared" si="43"/>
        <v>0</v>
      </c>
      <c r="BY29" s="420">
        <f t="shared" si="44"/>
        <v>0</v>
      </c>
      <c r="BZ29" s="420">
        <f t="shared" si="45"/>
        <v>0</v>
      </c>
      <c r="CA29" s="421">
        <v>0.67</v>
      </c>
      <c r="CB29" s="421">
        <v>0.59</v>
      </c>
      <c r="CC29" s="421">
        <v>0.54</v>
      </c>
      <c r="CD29" s="421">
        <v>0.49</v>
      </c>
      <c r="CE29" s="421">
        <v>0.45</v>
      </c>
      <c r="CF29" s="421">
        <v>0.42</v>
      </c>
      <c r="CG29" s="421">
        <v>0.39</v>
      </c>
      <c r="CH29" s="421">
        <v>0.36</v>
      </c>
      <c r="CI29" s="421">
        <v>0.34</v>
      </c>
      <c r="CJ29" s="421">
        <v>0.32</v>
      </c>
      <c r="CK29" s="421">
        <v>0.3</v>
      </c>
      <c r="CL29" s="421">
        <v>0.28000000000000003</v>
      </c>
      <c r="CM29" s="421">
        <v>0.26</v>
      </c>
      <c r="CN29" s="421">
        <v>0.24</v>
      </c>
      <c r="CO29" s="421">
        <v>0.23</v>
      </c>
      <c r="CP29" s="421">
        <v>0.21</v>
      </c>
      <c r="CQ29" s="421">
        <v>0.2</v>
      </c>
      <c r="CR29" s="421">
        <v>0.19</v>
      </c>
      <c r="CS29" s="421">
        <v>0.18</v>
      </c>
      <c r="CT29" s="421">
        <v>0.17</v>
      </c>
    </row>
    <row r="30" spans="1:98" ht="13.9" x14ac:dyDescent="0.4">
      <c r="A30" s="26" t="str">
        <f>A6_Machine_Look_Up!A30</f>
        <v>Sprayer, Tractor Mounted (ft)</v>
      </c>
      <c r="B30" s="1302">
        <f>A6_Machine_Look_Up!H30</f>
        <v>120</v>
      </c>
      <c r="C30" s="405">
        <f>A6_Machine_Look_Up!I30</f>
        <v>0.65</v>
      </c>
      <c r="D30" s="468">
        <f>A6_Machine_Look_Up!J30</f>
        <v>8</v>
      </c>
      <c r="E30" s="441">
        <f t="shared" si="0"/>
        <v>0.44</v>
      </c>
      <c r="F30" s="491">
        <f>A6_Machine_Look_Up!K30</f>
        <v>600</v>
      </c>
      <c r="G30" s="492">
        <f>A6_Machine_Look_Up!L30</f>
        <v>8</v>
      </c>
      <c r="H30" s="450">
        <f t="shared" si="1"/>
        <v>0.36</v>
      </c>
      <c r="I30" s="225">
        <f>A6_Machine_Look_Up!G30</f>
        <v>175</v>
      </c>
      <c r="J30" s="578">
        <f>A6_Machine_Look_Up!AG30</f>
        <v>0.41</v>
      </c>
      <c r="K30" s="579">
        <f>A6_Machine_Look_Up!AH30</f>
        <v>1.3</v>
      </c>
      <c r="L30" s="592">
        <f>A6_Machine_Look_Up!AI30</f>
        <v>1.04</v>
      </c>
      <c r="M30" s="677">
        <f t="shared" si="2"/>
        <v>0</v>
      </c>
      <c r="N30" s="447" t="str">
        <f>A6_Machine_Look_Up!AE30</f>
        <v>Sprayer</v>
      </c>
      <c r="O30" s="425">
        <f t="shared" si="3"/>
        <v>0.44</v>
      </c>
      <c r="P30" s="420">
        <f t="shared" si="4"/>
        <v>0</v>
      </c>
      <c r="Q30" s="420">
        <f t="shared" si="5"/>
        <v>0</v>
      </c>
      <c r="R30" s="420">
        <f t="shared" si="6"/>
        <v>0</v>
      </c>
      <c r="S30" s="420">
        <f t="shared" si="7"/>
        <v>0</v>
      </c>
      <c r="T30" s="420">
        <f t="shared" si="8"/>
        <v>0</v>
      </c>
      <c r="U30" s="420">
        <f t="shared" si="9"/>
        <v>0</v>
      </c>
      <c r="V30" s="420">
        <f t="shared" si="10"/>
        <v>0</v>
      </c>
      <c r="W30" s="420">
        <f t="shared" si="11"/>
        <v>0.44</v>
      </c>
      <c r="X30" s="420">
        <f t="shared" si="12"/>
        <v>0</v>
      </c>
      <c r="Y30" s="420">
        <f t="shared" si="13"/>
        <v>0</v>
      </c>
      <c r="Z30" s="420">
        <f t="shared" si="14"/>
        <v>0</v>
      </c>
      <c r="AA30" s="420">
        <f t="shared" si="15"/>
        <v>0</v>
      </c>
      <c r="AB30" s="420">
        <f t="shared" si="16"/>
        <v>0</v>
      </c>
      <c r="AC30" s="420">
        <f t="shared" si="17"/>
        <v>0</v>
      </c>
      <c r="AD30" s="420">
        <f t="shared" si="18"/>
        <v>0</v>
      </c>
      <c r="AE30" s="420">
        <f t="shared" si="19"/>
        <v>0</v>
      </c>
      <c r="AF30" s="420">
        <f t="shared" si="20"/>
        <v>0</v>
      </c>
      <c r="AG30" s="420">
        <f t="shared" si="21"/>
        <v>0</v>
      </c>
      <c r="AH30" s="420">
        <f t="shared" si="22"/>
        <v>0</v>
      </c>
      <c r="AI30" s="420">
        <f t="shared" si="23"/>
        <v>0</v>
      </c>
      <c r="AJ30" s="421">
        <v>0.65</v>
      </c>
      <c r="AK30" s="421">
        <v>0.6</v>
      </c>
      <c r="AL30" s="421">
        <v>0.56000000000000005</v>
      </c>
      <c r="AM30" s="421">
        <v>0.53</v>
      </c>
      <c r="AN30" s="421">
        <v>0.5</v>
      </c>
      <c r="AO30" s="421">
        <v>0.48</v>
      </c>
      <c r="AP30" s="421">
        <v>0.46</v>
      </c>
      <c r="AQ30" s="421">
        <v>0.44</v>
      </c>
      <c r="AR30" s="421">
        <v>0.42</v>
      </c>
      <c r="AS30" s="421">
        <v>0.4</v>
      </c>
      <c r="AT30" s="421">
        <v>0.39</v>
      </c>
      <c r="AU30" s="421">
        <v>0.38</v>
      </c>
      <c r="AV30" s="421">
        <v>0.36</v>
      </c>
      <c r="AW30" s="421">
        <v>0.35</v>
      </c>
      <c r="AX30" s="421">
        <v>0.34</v>
      </c>
      <c r="AY30" s="421">
        <v>0.33</v>
      </c>
      <c r="AZ30" s="421">
        <v>0.32</v>
      </c>
      <c r="BA30" s="421">
        <v>0.3</v>
      </c>
      <c r="BB30" s="421">
        <v>0.28999999999999998</v>
      </c>
      <c r="BC30" s="421">
        <v>0.28999999999999998</v>
      </c>
      <c r="BD30" s="681">
        <f t="shared" si="24"/>
        <v>0</v>
      </c>
      <c r="BE30" s="417" t="s">
        <v>331</v>
      </c>
      <c r="BF30" s="425">
        <f t="shared" si="25"/>
        <v>0.36</v>
      </c>
      <c r="BG30" s="420">
        <f t="shared" si="26"/>
        <v>0</v>
      </c>
      <c r="BH30" s="420">
        <f t="shared" si="27"/>
        <v>0</v>
      </c>
      <c r="BI30" s="420">
        <f t="shared" si="28"/>
        <v>0</v>
      </c>
      <c r="BJ30" s="420">
        <f t="shared" si="29"/>
        <v>0</v>
      </c>
      <c r="BK30" s="420">
        <f t="shared" si="30"/>
        <v>0</v>
      </c>
      <c r="BL30" s="420">
        <f t="shared" si="31"/>
        <v>0</v>
      </c>
      <c r="BM30" s="420">
        <f t="shared" si="32"/>
        <v>0</v>
      </c>
      <c r="BN30" s="420">
        <f t="shared" si="33"/>
        <v>0.36</v>
      </c>
      <c r="BO30" s="420">
        <f t="shared" si="34"/>
        <v>0</v>
      </c>
      <c r="BP30" s="420">
        <f t="shared" si="35"/>
        <v>0</v>
      </c>
      <c r="BQ30" s="420">
        <f t="shared" si="36"/>
        <v>0</v>
      </c>
      <c r="BR30" s="420">
        <f t="shared" si="37"/>
        <v>0</v>
      </c>
      <c r="BS30" s="420">
        <f t="shared" si="38"/>
        <v>0</v>
      </c>
      <c r="BT30" s="420">
        <f t="shared" si="39"/>
        <v>0</v>
      </c>
      <c r="BU30" s="420">
        <f t="shared" si="40"/>
        <v>0</v>
      </c>
      <c r="BV30" s="420">
        <f t="shared" si="41"/>
        <v>0</v>
      </c>
      <c r="BW30" s="420">
        <f t="shared" si="42"/>
        <v>0</v>
      </c>
      <c r="BX30" s="420">
        <f t="shared" si="43"/>
        <v>0</v>
      </c>
      <c r="BY30" s="420">
        <f t="shared" si="44"/>
        <v>0</v>
      </c>
      <c r="BZ30" s="420">
        <f t="shared" si="45"/>
        <v>0</v>
      </c>
      <c r="CA30" s="421">
        <v>0.67</v>
      </c>
      <c r="CB30" s="421">
        <v>0.59</v>
      </c>
      <c r="CC30" s="421">
        <v>0.54</v>
      </c>
      <c r="CD30" s="421">
        <v>0.49</v>
      </c>
      <c r="CE30" s="421">
        <v>0.45</v>
      </c>
      <c r="CF30" s="421">
        <v>0.42</v>
      </c>
      <c r="CG30" s="421">
        <v>0.39</v>
      </c>
      <c r="CH30" s="421">
        <v>0.36</v>
      </c>
      <c r="CI30" s="421">
        <v>0.34</v>
      </c>
      <c r="CJ30" s="421">
        <v>0.32</v>
      </c>
      <c r="CK30" s="421">
        <v>0.3</v>
      </c>
      <c r="CL30" s="421">
        <v>0.28000000000000003</v>
      </c>
      <c r="CM30" s="421">
        <v>0.26</v>
      </c>
      <c r="CN30" s="421">
        <v>0.24</v>
      </c>
      <c r="CO30" s="421">
        <v>0.23</v>
      </c>
      <c r="CP30" s="421">
        <v>0.21</v>
      </c>
      <c r="CQ30" s="421">
        <v>0.2</v>
      </c>
      <c r="CR30" s="421">
        <v>0.19</v>
      </c>
      <c r="CS30" s="421">
        <v>0.18</v>
      </c>
      <c r="CT30" s="421">
        <v>0.17</v>
      </c>
    </row>
    <row r="31" spans="1:98" ht="13.9" x14ac:dyDescent="0.4">
      <c r="A31" s="26" t="str">
        <f>A6_Machine_Look_Up!A31</f>
        <v>Sprayer, Tractor Mounted (row)</v>
      </c>
      <c r="B31" s="1302">
        <f>A6_Machine_Look_Up!H31</f>
        <v>120</v>
      </c>
      <c r="C31" s="405">
        <f>A6_Machine_Look_Up!I31</f>
        <v>0.65</v>
      </c>
      <c r="D31" s="468">
        <f>A6_Machine_Look_Up!J31</f>
        <v>8</v>
      </c>
      <c r="E31" s="441">
        <f>O31</f>
        <v>0.44</v>
      </c>
      <c r="F31" s="491">
        <f>A6_Machine_Look_Up!K31</f>
        <v>600</v>
      </c>
      <c r="G31" s="492">
        <f>A6_Machine_Look_Up!L31</f>
        <v>8</v>
      </c>
      <c r="H31" s="450">
        <f>BF31</f>
        <v>0.36</v>
      </c>
      <c r="I31" s="225">
        <f>A6_Machine_Look_Up!G31</f>
        <v>175</v>
      </c>
      <c r="J31" s="578">
        <f>A6_Machine_Look_Up!AG31</f>
        <v>0.41</v>
      </c>
      <c r="K31" s="579">
        <f>A6_Machine_Look_Up!AH31</f>
        <v>1.3</v>
      </c>
      <c r="L31" s="592">
        <f>A6_Machine_Look_Up!AI31</f>
        <v>1.04</v>
      </c>
      <c r="M31" s="677">
        <f t="shared" si="2"/>
        <v>0</v>
      </c>
      <c r="N31" s="447" t="str">
        <f>A6_Machine_Look_Up!AE31</f>
        <v>Sprayer</v>
      </c>
      <c r="O31" s="425">
        <f t="shared" si="3"/>
        <v>0.44</v>
      </c>
      <c r="P31" s="420">
        <f t="shared" si="4"/>
        <v>0</v>
      </c>
      <c r="Q31" s="420">
        <f t="shared" si="5"/>
        <v>0</v>
      </c>
      <c r="R31" s="420">
        <f t="shared" si="6"/>
        <v>0</v>
      </c>
      <c r="S31" s="420">
        <f t="shared" si="7"/>
        <v>0</v>
      </c>
      <c r="T31" s="420">
        <f>IF($D31=5,AN31,0)</f>
        <v>0</v>
      </c>
      <c r="U31" s="420">
        <f>IF($D31=6,AO31,0)</f>
        <v>0</v>
      </c>
      <c r="V31" s="420">
        <f>IF($D31=7,AP31,0)</f>
        <v>0</v>
      </c>
      <c r="W31" s="420">
        <f>IF($D31=8,AQ31,0)</f>
        <v>0.44</v>
      </c>
      <c r="X31" s="420">
        <f>IF($D31=9,AR31,0)</f>
        <v>0</v>
      </c>
      <c r="Y31" s="420">
        <f>IF($D31=10,AS31,0)</f>
        <v>0</v>
      </c>
      <c r="Z31" s="420">
        <f>IF($D31=11,AT31,0)</f>
        <v>0</v>
      </c>
      <c r="AA31" s="420">
        <f>IF($D31=12,AU31,0)</f>
        <v>0</v>
      </c>
      <c r="AB31" s="420">
        <f>IF($D31=13,AV31,0)</f>
        <v>0</v>
      </c>
      <c r="AC31" s="420">
        <f>IF($D31=14,AW31,0)</f>
        <v>0</v>
      </c>
      <c r="AD31" s="420">
        <f>IF($D31=15,AX31,0)</f>
        <v>0</v>
      </c>
      <c r="AE31" s="420">
        <f>IF($D31=16,AY31,0)</f>
        <v>0</v>
      </c>
      <c r="AF31" s="420">
        <f>IF($D31=17,AZ31,0)</f>
        <v>0</v>
      </c>
      <c r="AG31" s="420">
        <f>IF($D31=18,BA31,0)</f>
        <v>0</v>
      </c>
      <c r="AH31" s="420">
        <f>IF($D31=19,BB31,0)</f>
        <v>0</v>
      </c>
      <c r="AI31" s="420">
        <f>IF($D31=20,BC31,0)</f>
        <v>0</v>
      </c>
      <c r="AJ31" s="421">
        <v>0.65</v>
      </c>
      <c r="AK31" s="421">
        <v>0.6</v>
      </c>
      <c r="AL31" s="421">
        <v>0.56000000000000005</v>
      </c>
      <c r="AM31" s="421">
        <v>0.53</v>
      </c>
      <c r="AN31" s="421">
        <v>0.5</v>
      </c>
      <c r="AO31" s="421">
        <v>0.48</v>
      </c>
      <c r="AP31" s="421">
        <v>0.46</v>
      </c>
      <c r="AQ31" s="421">
        <v>0.44</v>
      </c>
      <c r="AR31" s="421">
        <v>0.42</v>
      </c>
      <c r="AS31" s="421">
        <v>0.4</v>
      </c>
      <c r="AT31" s="421">
        <v>0.39</v>
      </c>
      <c r="AU31" s="421">
        <v>0.38</v>
      </c>
      <c r="AV31" s="421">
        <v>0.36</v>
      </c>
      <c r="AW31" s="421">
        <v>0.35</v>
      </c>
      <c r="AX31" s="421">
        <v>0.34</v>
      </c>
      <c r="AY31" s="421">
        <v>0.33</v>
      </c>
      <c r="AZ31" s="421">
        <v>0.32</v>
      </c>
      <c r="BA31" s="421">
        <v>0.3</v>
      </c>
      <c r="BB31" s="421">
        <v>0.28999999999999998</v>
      </c>
      <c r="BC31" s="421">
        <v>0.28999999999999998</v>
      </c>
      <c r="BD31" s="681">
        <f t="shared" si="24"/>
        <v>0</v>
      </c>
      <c r="BE31" s="417" t="s">
        <v>331</v>
      </c>
      <c r="BF31" s="425">
        <f t="shared" si="25"/>
        <v>0.36</v>
      </c>
      <c r="BG31" s="420">
        <f t="shared" si="26"/>
        <v>0</v>
      </c>
      <c r="BH31" s="420">
        <f t="shared" si="27"/>
        <v>0</v>
      </c>
      <c r="BI31" s="420">
        <f t="shared" si="28"/>
        <v>0</v>
      </c>
      <c r="BJ31" s="420">
        <f t="shared" si="29"/>
        <v>0</v>
      </c>
      <c r="BK31" s="420">
        <f>IF($G31=5,CE31,0)</f>
        <v>0</v>
      </c>
      <c r="BL31" s="420">
        <f>IF($G31=6,CF31,0)</f>
        <v>0</v>
      </c>
      <c r="BM31" s="420">
        <f>IF($G31=7,CG31,0)</f>
        <v>0</v>
      </c>
      <c r="BN31" s="420">
        <f>IF($G31=8,CH31,0)</f>
        <v>0.36</v>
      </c>
      <c r="BO31" s="420">
        <f>IF($G31=9,CI31,0)</f>
        <v>0</v>
      </c>
      <c r="BP31" s="420">
        <f>IF($G31=10,CJ31,0)</f>
        <v>0</v>
      </c>
      <c r="BQ31" s="420">
        <f>IF($G31=11,CK31,0)</f>
        <v>0</v>
      </c>
      <c r="BR31" s="420">
        <f>IF($G31=12,CL31,0)</f>
        <v>0</v>
      </c>
      <c r="BS31" s="420">
        <f>IF($G31=13,CM31,0)</f>
        <v>0</v>
      </c>
      <c r="BT31" s="420">
        <f>IF($G31=14,CN31,0)</f>
        <v>0</v>
      </c>
      <c r="BU31" s="420">
        <f>IF($G31=15,CO31,0)</f>
        <v>0</v>
      </c>
      <c r="BV31" s="420">
        <f>IF($G31=16,CP31,0)</f>
        <v>0</v>
      </c>
      <c r="BW31" s="420">
        <f>IF($G31=17,CQ31,0)</f>
        <v>0</v>
      </c>
      <c r="BX31" s="420">
        <f>IF($G31=18,CR31,0)</f>
        <v>0</v>
      </c>
      <c r="BY31" s="420">
        <f>IF($G31=19,CS31,0)</f>
        <v>0</v>
      </c>
      <c r="BZ31" s="420">
        <f>IF($G31=20,CT31,0)</f>
        <v>0</v>
      </c>
      <c r="CA31" s="421">
        <v>0.67</v>
      </c>
      <c r="CB31" s="421">
        <v>0.59</v>
      </c>
      <c r="CC31" s="421">
        <v>0.54</v>
      </c>
      <c r="CD31" s="421">
        <v>0.49</v>
      </c>
      <c r="CE31" s="421">
        <v>0.45</v>
      </c>
      <c r="CF31" s="421">
        <v>0.42</v>
      </c>
      <c r="CG31" s="421">
        <v>0.39</v>
      </c>
      <c r="CH31" s="421">
        <v>0.36</v>
      </c>
      <c r="CI31" s="421">
        <v>0.34</v>
      </c>
      <c r="CJ31" s="421">
        <v>0.32</v>
      </c>
      <c r="CK31" s="421">
        <v>0.3</v>
      </c>
      <c r="CL31" s="421">
        <v>0.28000000000000003</v>
      </c>
      <c r="CM31" s="421">
        <v>0.26</v>
      </c>
      <c r="CN31" s="421">
        <v>0.24</v>
      </c>
      <c r="CO31" s="421">
        <v>0.23</v>
      </c>
      <c r="CP31" s="421">
        <v>0.21</v>
      </c>
      <c r="CQ31" s="421">
        <v>0.2</v>
      </c>
      <c r="CR31" s="421">
        <v>0.19</v>
      </c>
      <c r="CS31" s="421">
        <v>0.18</v>
      </c>
      <c r="CT31" s="421">
        <v>0.17</v>
      </c>
    </row>
    <row r="32" spans="1:98" ht="13.9" x14ac:dyDescent="0.4">
      <c r="A32" s="26" t="str">
        <f>A6_Machine_Look_Up!A32</f>
        <v>Land Plane</v>
      </c>
      <c r="B32" s="1302">
        <f>A6_Machine_Look_Up!H32</f>
        <v>160</v>
      </c>
      <c r="C32" s="405">
        <f>A6_Machine_Look_Up!I32</f>
        <v>0.85</v>
      </c>
      <c r="D32" s="468">
        <f>A6_Machine_Look_Up!J32</f>
        <v>8</v>
      </c>
      <c r="E32" s="441">
        <f t="shared" si="0"/>
        <v>0.34</v>
      </c>
      <c r="F32" s="491">
        <f>A6_Machine_Look_Up!K32</f>
        <v>600</v>
      </c>
      <c r="G32" s="492">
        <f>A6_Machine_Look_Up!L32</f>
        <v>8</v>
      </c>
      <c r="H32" s="450">
        <f t="shared" si="1"/>
        <v>0.36</v>
      </c>
      <c r="I32" s="225">
        <f>A6_Machine_Look_Up!G32</f>
        <v>195</v>
      </c>
      <c r="J32" s="578">
        <f>A6_Machine_Look_Up!AG32</f>
        <v>0.16</v>
      </c>
      <c r="K32" s="579">
        <f>A6_Machine_Look_Up!AH32</f>
        <v>1.3</v>
      </c>
      <c r="L32" s="592">
        <f>A6_Machine_Look_Up!AI32</f>
        <v>1.04</v>
      </c>
      <c r="M32" s="677">
        <f t="shared" si="2"/>
        <v>0</v>
      </c>
      <c r="N32" s="447" t="str">
        <f>A6_Machine_Look_Up!AE32</f>
        <v>Other Tillage</v>
      </c>
      <c r="O32" s="425">
        <f t="shared" si="3"/>
        <v>0.34</v>
      </c>
      <c r="P32" s="420">
        <f t="shared" si="4"/>
        <v>0</v>
      </c>
      <c r="Q32" s="420">
        <f t="shared" si="5"/>
        <v>0</v>
      </c>
      <c r="R32" s="420">
        <f t="shared" si="6"/>
        <v>0</v>
      </c>
      <c r="S32" s="420">
        <f t="shared" si="7"/>
        <v>0</v>
      </c>
      <c r="T32" s="420">
        <f t="shared" si="8"/>
        <v>0</v>
      </c>
      <c r="U32" s="420">
        <f t="shared" si="9"/>
        <v>0</v>
      </c>
      <c r="V32" s="420">
        <f t="shared" si="10"/>
        <v>0</v>
      </c>
      <c r="W32" s="420">
        <f t="shared" si="11"/>
        <v>0.34</v>
      </c>
      <c r="X32" s="420">
        <f t="shared" si="12"/>
        <v>0</v>
      </c>
      <c r="Y32" s="420">
        <f t="shared" si="13"/>
        <v>0</v>
      </c>
      <c r="Z32" s="420">
        <f t="shared" si="14"/>
        <v>0</v>
      </c>
      <c r="AA32" s="420">
        <f t="shared" si="15"/>
        <v>0</v>
      </c>
      <c r="AB32" s="420">
        <f t="shared" si="16"/>
        <v>0</v>
      </c>
      <c r="AC32" s="420">
        <f t="shared" si="17"/>
        <v>0</v>
      </c>
      <c r="AD32" s="420">
        <f t="shared" si="18"/>
        <v>0</v>
      </c>
      <c r="AE32" s="420">
        <f t="shared" si="19"/>
        <v>0</v>
      </c>
      <c r="AF32" s="420">
        <f t="shared" si="20"/>
        <v>0</v>
      </c>
      <c r="AG32" s="420">
        <f t="shared" si="21"/>
        <v>0</v>
      </c>
      <c r="AH32" s="420">
        <f t="shared" si="22"/>
        <v>0</v>
      </c>
      <c r="AI32" s="420">
        <f t="shared" si="23"/>
        <v>0</v>
      </c>
      <c r="AJ32" s="421">
        <v>0.61</v>
      </c>
      <c r="AK32" s="421">
        <v>0.54</v>
      </c>
      <c r="AL32" s="421">
        <v>0.49</v>
      </c>
      <c r="AM32" s="421">
        <v>0.45</v>
      </c>
      <c r="AN32" s="421">
        <v>0.42</v>
      </c>
      <c r="AO32" s="421">
        <v>0.39</v>
      </c>
      <c r="AP32" s="421">
        <v>0.36</v>
      </c>
      <c r="AQ32" s="421">
        <v>0.34</v>
      </c>
      <c r="AR32" s="421">
        <v>0.31</v>
      </c>
      <c r="AS32" s="421">
        <v>0.3</v>
      </c>
      <c r="AT32" s="421">
        <v>0.28000000000000003</v>
      </c>
      <c r="AU32" s="421">
        <v>0.26</v>
      </c>
      <c r="AV32" s="421">
        <v>0.24</v>
      </c>
      <c r="AW32" s="421">
        <v>0.23</v>
      </c>
      <c r="AX32" s="421">
        <v>0.22</v>
      </c>
      <c r="AY32" s="421">
        <v>0.2</v>
      </c>
      <c r="AZ32" s="421">
        <v>0.19</v>
      </c>
      <c r="BA32" s="421">
        <v>0.18</v>
      </c>
      <c r="BB32" s="421">
        <v>0.17</v>
      </c>
      <c r="BC32" s="421">
        <v>0.16</v>
      </c>
      <c r="BD32" s="681">
        <f t="shared" si="24"/>
        <v>0</v>
      </c>
      <c r="BE32" s="417" t="s">
        <v>331</v>
      </c>
      <c r="BF32" s="425">
        <f t="shared" si="25"/>
        <v>0.36</v>
      </c>
      <c r="BG32" s="420">
        <f t="shared" si="26"/>
        <v>0</v>
      </c>
      <c r="BH32" s="420">
        <f t="shared" si="27"/>
        <v>0</v>
      </c>
      <c r="BI32" s="420">
        <f t="shared" si="28"/>
        <v>0</v>
      </c>
      <c r="BJ32" s="420">
        <f t="shared" si="29"/>
        <v>0</v>
      </c>
      <c r="BK32" s="420">
        <f t="shared" si="30"/>
        <v>0</v>
      </c>
      <c r="BL32" s="420">
        <f t="shared" si="31"/>
        <v>0</v>
      </c>
      <c r="BM32" s="420">
        <f t="shared" si="32"/>
        <v>0</v>
      </c>
      <c r="BN32" s="420">
        <f t="shared" si="33"/>
        <v>0.36</v>
      </c>
      <c r="BO32" s="420">
        <f t="shared" si="34"/>
        <v>0</v>
      </c>
      <c r="BP32" s="420">
        <f t="shared" si="35"/>
        <v>0</v>
      </c>
      <c r="BQ32" s="420">
        <f t="shared" si="36"/>
        <v>0</v>
      </c>
      <c r="BR32" s="420">
        <f t="shared" si="37"/>
        <v>0</v>
      </c>
      <c r="BS32" s="420">
        <f t="shared" si="38"/>
        <v>0</v>
      </c>
      <c r="BT32" s="420">
        <f t="shared" si="39"/>
        <v>0</v>
      </c>
      <c r="BU32" s="420">
        <f t="shared" si="40"/>
        <v>0</v>
      </c>
      <c r="BV32" s="420">
        <f t="shared" si="41"/>
        <v>0</v>
      </c>
      <c r="BW32" s="420">
        <f t="shared" si="42"/>
        <v>0</v>
      </c>
      <c r="BX32" s="420">
        <f t="shared" si="43"/>
        <v>0</v>
      </c>
      <c r="BY32" s="420">
        <f t="shared" si="44"/>
        <v>0</v>
      </c>
      <c r="BZ32" s="420">
        <f t="shared" si="45"/>
        <v>0</v>
      </c>
      <c r="CA32" s="421">
        <v>0.67</v>
      </c>
      <c r="CB32" s="421">
        <v>0.59</v>
      </c>
      <c r="CC32" s="421">
        <v>0.54</v>
      </c>
      <c r="CD32" s="421">
        <v>0.49</v>
      </c>
      <c r="CE32" s="421">
        <v>0.45</v>
      </c>
      <c r="CF32" s="421">
        <v>0.42</v>
      </c>
      <c r="CG32" s="421">
        <v>0.39</v>
      </c>
      <c r="CH32" s="421">
        <v>0.36</v>
      </c>
      <c r="CI32" s="421">
        <v>0.34</v>
      </c>
      <c r="CJ32" s="421">
        <v>0.32</v>
      </c>
      <c r="CK32" s="421">
        <v>0.3</v>
      </c>
      <c r="CL32" s="421">
        <v>0.28000000000000003</v>
      </c>
      <c r="CM32" s="421">
        <v>0.26</v>
      </c>
      <c r="CN32" s="421">
        <v>0.24</v>
      </c>
      <c r="CO32" s="421">
        <v>0.23</v>
      </c>
      <c r="CP32" s="421">
        <v>0.21</v>
      </c>
      <c r="CQ32" s="421">
        <v>0.2</v>
      </c>
      <c r="CR32" s="421">
        <v>0.19</v>
      </c>
      <c r="CS32" s="421">
        <v>0.18</v>
      </c>
      <c r="CT32" s="421">
        <v>0.17</v>
      </c>
    </row>
    <row r="33" spans="1:98" ht="13.9" x14ac:dyDescent="0.4">
      <c r="A33" s="26" t="str">
        <f>A6_Machine_Look_Up!A33</f>
        <v>Fertilizer, Broadcast Spreader</v>
      </c>
      <c r="B33" s="1302">
        <f>A6_Machine_Look_Up!H33</f>
        <v>100</v>
      </c>
      <c r="C33" s="405">
        <f>A6_Machine_Look_Up!I33</f>
        <v>0.7</v>
      </c>
      <c r="D33" s="468">
        <f>A6_Machine_Look_Up!J33</f>
        <v>8</v>
      </c>
      <c r="E33" s="441">
        <f t="shared" si="0"/>
        <v>0.4</v>
      </c>
      <c r="F33" s="491">
        <f>A6_Machine_Look_Up!K33</f>
        <v>600</v>
      </c>
      <c r="G33" s="492">
        <f>A6_Machine_Look_Up!L33</f>
        <v>8</v>
      </c>
      <c r="H33" s="450">
        <f t="shared" si="1"/>
        <v>0.36</v>
      </c>
      <c r="I33" s="225">
        <f>A6_Machine_Look_Up!G33</f>
        <v>195</v>
      </c>
      <c r="J33" s="578">
        <f>A6_Machine_Look_Up!AG33</f>
        <v>0.63</v>
      </c>
      <c r="K33" s="579">
        <f>A6_Machine_Look_Up!AH33</f>
        <v>1.3</v>
      </c>
      <c r="L33" s="592">
        <f>A6_Machine_Look_Up!AI33</f>
        <v>1.33</v>
      </c>
      <c r="M33" s="677">
        <f t="shared" si="2"/>
        <v>0</v>
      </c>
      <c r="N33" s="447" t="str">
        <f>A6_Machine_Look_Up!AE33</f>
        <v>Others</v>
      </c>
      <c r="O33" s="425">
        <f t="shared" si="3"/>
        <v>0.4</v>
      </c>
      <c r="P33" s="420">
        <f t="shared" si="4"/>
        <v>0</v>
      </c>
      <c r="Q33" s="420">
        <f t="shared" si="5"/>
        <v>0</v>
      </c>
      <c r="R33" s="420">
        <f t="shared" si="6"/>
        <v>0</v>
      </c>
      <c r="S33" s="420">
        <f t="shared" si="7"/>
        <v>0</v>
      </c>
      <c r="T33" s="420">
        <f t="shared" si="8"/>
        <v>0</v>
      </c>
      <c r="U33" s="420">
        <f t="shared" si="9"/>
        <v>0</v>
      </c>
      <c r="V33" s="420">
        <f t="shared" si="10"/>
        <v>0</v>
      </c>
      <c r="W33" s="420">
        <f t="shared" si="11"/>
        <v>0.4</v>
      </c>
      <c r="X33" s="420">
        <f t="shared" si="12"/>
        <v>0</v>
      </c>
      <c r="Y33" s="420">
        <f t="shared" si="13"/>
        <v>0</v>
      </c>
      <c r="Z33" s="420">
        <f t="shared" si="14"/>
        <v>0</v>
      </c>
      <c r="AA33" s="420">
        <f t="shared" si="15"/>
        <v>0</v>
      </c>
      <c r="AB33" s="420">
        <f t="shared" si="16"/>
        <v>0</v>
      </c>
      <c r="AC33" s="420">
        <f t="shared" si="17"/>
        <v>0</v>
      </c>
      <c r="AD33" s="420">
        <f t="shared" si="18"/>
        <v>0</v>
      </c>
      <c r="AE33" s="420">
        <f t="shared" si="19"/>
        <v>0</v>
      </c>
      <c r="AF33" s="420">
        <f t="shared" si="20"/>
        <v>0</v>
      </c>
      <c r="AG33" s="420">
        <f t="shared" si="21"/>
        <v>0</v>
      </c>
      <c r="AH33" s="420">
        <f t="shared" si="22"/>
        <v>0</v>
      </c>
      <c r="AI33" s="420">
        <f t="shared" si="23"/>
        <v>0</v>
      </c>
      <c r="AJ33" s="421">
        <v>0.69</v>
      </c>
      <c r="AK33" s="421">
        <v>0.62</v>
      </c>
      <c r="AL33" s="421">
        <v>0.56000000000000005</v>
      </c>
      <c r="AM33" s="421">
        <v>0.52</v>
      </c>
      <c r="AN33" s="421">
        <v>0.48</v>
      </c>
      <c r="AO33" s="421">
        <v>0.45</v>
      </c>
      <c r="AP33" s="421">
        <v>0.42</v>
      </c>
      <c r="AQ33" s="421">
        <v>0.4</v>
      </c>
      <c r="AR33" s="421">
        <v>0.37</v>
      </c>
      <c r="AS33" s="421">
        <v>0.35</v>
      </c>
      <c r="AT33" s="421">
        <v>0.33</v>
      </c>
      <c r="AU33" s="421">
        <v>0.31</v>
      </c>
      <c r="AV33" s="421">
        <v>0.28999999999999998</v>
      </c>
      <c r="AW33" s="421">
        <v>0.28000000000000003</v>
      </c>
      <c r="AX33" s="421">
        <v>0.26</v>
      </c>
      <c r="AY33" s="421">
        <v>0.25</v>
      </c>
      <c r="AZ33" s="421">
        <v>0.24</v>
      </c>
      <c r="BA33" s="421">
        <v>0.22</v>
      </c>
      <c r="BB33" s="421">
        <v>0.21</v>
      </c>
      <c r="BC33" s="421">
        <v>0.2</v>
      </c>
      <c r="BD33" s="681">
        <f t="shared" si="24"/>
        <v>0</v>
      </c>
      <c r="BE33" s="417" t="s">
        <v>331</v>
      </c>
      <c r="BF33" s="425">
        <f t="shared" si="25"/>
        <v>0.36</v>
      </c>
      <c r="BG33" s="420">
        <f t="shared" si="26"/>
        <v>0</v>
      </c>
      <c r="BH33" s="420">
        <f t="shared" si="27"/>
        <v>0</v>
      </c>
      <c r="BI33" s="420">
        <f t="shared" si="28"/>
        <v>0</v>
      </c>
      <c r="BJ33" s="420">
        <f t="shared" si="29"/>
        <v>0</v>
      </c>
      <c r="BK33" s="420">
        <f t="shared" si="30"/>
        <v>0</v>
      </c>
      <c r="BL33" s="420">
        <f t="shared" si="31"/>
        <v>0</v>
      </c>
      <c r="BM33" s="420">
        <f t="shared" si="32"/>
        <v>0</v>
      </c>
      <c r="BN33" s="420">
        <f t="shared" si="33"/>
        <v>0.36</v>
      </c>
      <c r="BO33" s="420">
        <f t="shared" si="34"/>
        <v>0</v>
      </c>
      <c r="BP33" s="420">
        <f t="shared" si="35"/>
        <v>0</v>
      </c>
      <c r="BQ33" s="420">
        <f t="shared" si="36"/>
        <v>0</v>
      </c>
      <c r="BR33" s="420">
        <f t="shared" si="37"/>
        <v>0</v>
      </c>
      <c r="BS33" s="420">
        <f t="shared" si="38"/>
        <v>0</v>
      </c>
      <c r="BT33" s="420">
        <f t="shared" si="39"/>
        <v>0</v>
      </c>
      <c r="BU33" s="420">
        <f t="shared" si="40"/>
        <v>0</v>
      </c>
      <c r="BV33" s="420">
        <f t="shared" si="41"/>
        <v>0</v>
      </c>
      <c r="BW33" s="420">
        <f t="shared" si="42"/>
        <v>0</v>
      </c>
      <c r="BX33" s="420">
        <f t="shared" si="43"/>
        <v>0</v>
      </c>
      <c r="BY33" s="420">
        <f t="shared" si="44"/>
        <v>0</v>
      </c>
      <c r="BZ33" s="420">
        <f t="shared" si="45"/>
        <v>0</v>
      </c>
      <c r="CA33" s="421">
        <v>0.67</v>
      </c>
      <c r="CB33" s="421">
        <v>0.59</v>
      </c>
      <c r="CC33" s="421">
        <v>0.54</v>
      </c>
      <c r="CD33" s="421">
        <v>0.49</v>
      </c>
      <c r="CE33" s="421">
        <v>0.45</v>
      </c>
      <c r="CF33" s="421">
        <v>0.42</v>
      </c>
      <c r="CG33" s="421">
        <v>0.39</v>
      </c>
      <c r="CH33" s="421">
        <v>0.36</v>
      </c>
      <c r="CI33" s="421">
        <v>0.34</v>
      </c>
      <c r="CJ33" s="421">
        <v>0.32</v>
      </c>
      <c r="CK33" s="421">
        <v>0.3</v>
      </c>
      <c r="CL33" s="421">
        <v>0.28000000000000003</v>
      </c>
      <c r="CM33" s="421">
        <v>0.26</v>
      </c>
      <c r="CN33" s="421">
        <v>0.24</v>
      </c>
      <c r="CO33" s="421">
        <v>0.23</v>
      </c>
      <c r="CP33" s="421">
        <v>0.21</v>
      </c>
      <c r="CQ33" s="421">
        <v>0.2</v>
      </c>
      <c r="CR33" s="421">
        <v>0.19</v>
      </c>
      <c r="CS33" s="421">
        <v>0.18</v>
      </c>
      <c r="CT33" s="421">
        <v>0.17</v>
      </c>
    </row>
    <row r="34" spans="1:98" ht="13.9" x14ac:dyDescent="0.4">
      <c r="A34" s="26" t="str">
        <f>A6_Machine_Look_Up!A34</f>
        <v>Do All, Seedbed Finisher</v>
      </c>
      <c r="B34" s="1302">
        <f>A6_Machine_Look_Up!H34</f>
        <v>160</v>
      </c>
      <c r="C34" s="405">
        <f>A6_Machine_Look_Up!I34</f>
        <v>0.85</v>
      </c>
      <c r="D34" s="468">
        <f>A6_Machine_Look_Up!J34</f>
        <v>8</v>
      </c>
      <c r="E34" s="441">
        <f t="shared" si="0"/>
        <v>0.34</v>
      </c>
      <c r="F34" s="491">
        <f>A6_Machine_Look_Up!K34</f>
        <v>600</v>
      </c>
      <c r="G34" s="492">
        <f>A6_Machine_Look_Up!L34</f>
        <v>8</v>
      </c>
      <c r="H34" s="450">
        <f t="shared" si="1"/>
        <v>0.36</v>
      </c>
      <c r="I34" s="225">
        <f>A6_Machine_Look_Up!G34</f>
        <v>230</v>
      </c>
      <c r="J34" s="578">
        <f>A6_Machine_Look_Up!AG34</f>
        <v>0.27</v>
      </c>
      <c r="K34" s="579">
        <f>A6_Machine_Look_Up!AH34</f>
        <v>1.4</v>
      </c>
      <c r="L34" s="592">
        <f>A6_Machine_Look_Up!AI34</f>
        <v>1.04</v>
      </c>
      <c r="M34" s="677">
        <f t="shared" si="2"/>
        <v>0</v>
      </c>
      <c r="N34" s="447" t="str">
        <f>A6_Machine_Look_Up!AE34</f>
        <v>Other Tillage</v>
      </c>
      <c r="O34" s="425">
        <f t="shared" si="3"/>
        <v>0.34</v>
      </c>
      <c r="P34" s="420">
        <f t="shared" si="4"/>
        <v>0</v>
      </c>
      <c r="Q34" s="420">
        <f t="shared" si="5"/>
        <v>0</v>
      </c>
      <c r="R34" s="420">
        <f t="shared" si="6"/>
        <v>0</v>
      </c>
      <c r="S34" s="420">
        <f t="shared" si="7"/>
        <v>0</v>
      </c>
      <c r="T34" s="420">
        <f t="shared" si="8"/>
        <v>0</v>
      </c>
      <c r="U34" s="420">
        <f t="shared" si="9"/>
        <v>0</v>
      </c>
      <c r="V34" s="420">
        <f t="shared" si="10"/>
        <v>0</v>
      </c>
      <c r="W34" s="420">
        <f t="shared" si="11"/>
        <v>0.34</v>
      </c>
      <c r="X34" s="420">
        <f t="shared" si="12"/>
        <v>0</v>
      </c>
      <c r="Y34" s="420">
        <f t="shared" si="13"/>
        <v>0</v>
      </c>
      <c r="Z34" s="420">
        <f t="shared" si="14"/>
        <v>0</v>
      </c>
      <c r="AA34" s="420">
        <f t="shared" si="15"/>
        <v>0</v>
      </c>
      <c r="AB34" s="420">
        <f t="shared" si="16"/>
        <v>0</v>
      </c>
      <c r="AC34" s="420">
        <f t="shared" si="17"/>
        <v>0</v>
      </c>
      <c r="AD34" s="420">
        <f t="shared" si="18"/>
        <v>0</v>
      </c>
      <c r="AE34" s="420">
        <f t="shared" si="19"/>
        <v>0</v>
      </c>
      <c r="AF34" s="420">
        <f t="shared" si="20"/>
        <v>0</v>
      </c>
      <c r="AG34" s="420">
        <f t="shared" si="21"/>
        <v>0</v>
      </c>
      <c r="AH34" s="420">
        <f t="shared" si="22"/>
        <v>0</v>
      </c>
      <c r="AI34" s="420">
        <f t="shared" si="23"/>
        <v>0</v>
      </c>
      <c r="AJ34" s="421">
        <v>0.61</v>
      </c>
      <c r="AK34" s="421">
        <v>0.54</v>
      </c>
      <c r="AL34" s="421">
        <v>0.49</v>
      </c>
      <c r="AM34" s="421">
        <v>0.45</v>
      </c>
      <c r="AN34" s="421">
        <v>0.42</v>
      </c>
      <c r="AO34" s="421">
        <v>0.39</v>
      </c>
      <c r="AP34" s="421">
        <v>0.36</v>
      </c>
      <c r="AQ34" s="421">
        <v>0.34</v>
      </c>
      <c r="AR34" s="421">
        <v>0.31</v>
      </c>
      <c r="AS34" s="421">
        <v>0.3</v>
      </c>
      <c r="AT34" s="421">
        <v>0.28000000000000003</v>
      </c>
      <c r="AU34" s="421">
        <v>0.26</v>
      </c>
      <c r="AV34" s="421">
        <v>0.24</v>
      </c>
      <c r="AW34" s="421">
        <v>0.23</v>
      </c>
      <c r="AX34" s="421">
        <v>0.22</v>
      </c>
      <c r="AY34" s="421">
        <v>0.2</v>
      </c>
      <c r="AZ34" s="421">
        <v>0.19</v>
      </c>
      <c r="BA34" s="421">
        <v>0.18</v>
      </c>
      <c r="BB34" s="421">
        <v>0.17</v>
      </c>
      <c r="BC34" s="421">
        <v>0.16</v>
      </c>
      <c r="BD34" s="681">
        <f t="shared" si="24"/>
        <v>0</v>
      </c>
      <c r="BE34" s="417" t="s">
        <v>331</v>
      </c>
      <c r="BF34" s="425">
        <f t="shared" si="25"/>
        <v>0.36</v>
      </c>
      <c r="BG34" s="420">
        <f t="shared" si="26"/>
        <v>0</v>
      </c>
      <c r="BH34" s="420">
        <f t="shared" si="27"/>
        <v>0</v>
      </c>
      <c r="BI34" s="420">
        <f t="shared" si="28"/>
        <v>0</v>
      </c>
      <c r="BJ34" s="420">
        <f t="shared" si="29"/>
        <v>0</v>
      </c>
      <c r="BK34" s="420">
        <f t="shared" si="30"/>
        <v>0</v>
      </c>
      <c r="BL34" s="420">
        <f t="shared" si="31"/>
        <v>0</v>
      </c>
      <c r="BM34" s="420">
        <f t="shared" si="32"/>
        <v>0</v>
      </c>
      <c r="BN34" s="420">
        <f t="shared" si="33"/>
        <v>0.36</v>
      </c>
      <c r="BO34" s="420">
        <f t="shared" si="34"/>
        <v>0</v>
      </c>
      <c r="BP34" s="420">
        <f t="shared" si="35"/>
        <v>0</v>
      </c>
      <c r="BQ34" s="420">
        <f t="shared" si="36"/>
        <v>0</v>
      </c>
      <c r="BR34" s="420">
        <f t="shared" si="37"/>
        <v>0</v>
      </c>
      <c r="BS34" s="420">
        <f t="shared" si="38"/>
        <v>0</v>
      </c>
      <c r="BT34" s="420">
        <f t="shared" si="39"/>
        <v>0</v>
      </c>
      <c r="BU34" s="420">
        <f t="shared" si="40"/>
        <v>0</v>
      </c>
      <c r="BV34" s="420">
        <f t="shared" si="41"/>
        <v>0</v>
      </c>
      <c r="BW34" s="420">
        <f t="shared" si="42"/>
        <v>0</v>
      </c>
      <c r="BX34" s="420">
        <f t="shared" si="43"/>
        <v>0</v>
      </c>
      <c r="BY34" s="420">
        <f t="shared" si="44"/>
        <v>0</v>
      </c>
      <c r="BZ34" s="420">
        <f t="shared" si="45"/>
        <v>0</v>
      </c>
      <c r="CA34" s="421">
        <v>0.67</v>
      </c>
      <c r="CB34" s="421">
        <v>0.59</v>
      </c>
      <c r="CC34" s="421">
        <v>0.54</v>
      </c>
      <c r="CD34" s="421">
        <v>0.49</v>
      </c>
      <c r="CE34" s="421">
        <v>0.45</v>
      </c>
      <c r="CF34" s="421">
        <v>0.42</v>
      </c>
      <c r="CG34" s="421">
        <v>0.39</v>
      </c>
      <c r="CH34" s="421">
        <v>0.36</v>
      </c>
      <c r="CI34" s="421">
        <v>0.34</v>
      </c>
      <c r="CJ34" s="421">
        <v>0.32</v>
      </c>
      <c r="CK34" s="421">
        <v>0.3</v>
      </c>
      <c r="CL34" s="421">
        <v>0.28000000000000003</v>
      </c>
      <c r="CM34" s="421">
        <v>0.26</v>
      </c>
      <c r="CN34" s="421">
        <v>0.24</v>
      </c>
      <c r="CO34" s="421">
        <v>0.23</v>
      </c>
      <c r="CP34" s="421">
        <v>0.21</v>
      </c>
      <c r="CQ34" s="421">
        <v>0.2</v>
      </c>
      <c r="CR34" s="421">
        <v>0.19</v>
      </c>
      <c r="CS34" s="421">
        <v>0.18</v>
      </c>
      <c r="CT34" s="421">
        <v>0.17</v>
      </c>
    </row>
    <row r="35" spans="1:98" ht="13.9" x14ac:dyDescent="0.4">
      <c r="A35" s="26" t="str">
        <f>A6_Machine_Look_Up!A35</f>
        <v>Planter</v>
      </c>
      <c r="B35" s="1302">
        <f>A6_Machine_Look_Up!H35</f>
        <v>160</v>
      </c>
      <c r="C35" s="405">
        <f>A6_Machine_Look_Up!I35</f>
        <v>0.65</v>
      </c>
      <c r="D35" s="468">
        <f>A6_Machine_Look_Up!J35</f>
        <v>8</v>
      </c>
      <c r="E35" s="441">
        <f t="shared" si="0"/>
        <v>0.44</v>
      </c>
      <c r="F35" s="491">
        <f>A6_Machine_Look_Up!K35</f>
        <v>600</v>
      </c>
      <c r="G35" s="492">
        <f>A6_Machine_Look_Up!L35</f>
        <v>8</v>
      </c>
      <c r="H35" s="450">
        <f t="shared" si="1"/>
        <v>0.36</v>
      </c>
      <c r="I35" s="225">
        <f>A6_Machine_Look_Up!G35</f>
        <v>195</v>
      </c>
      <c r="J35" s="578">
        <f>A6_Machine_Look_Up!AG35</f>
        <v>0.32</v>
      </c>
      <c r="K35" s="579">
        <f>A6_Machine_Look_Up!AH35</f>
        <v>2.1</v>
      </c>
      <c r="L35" s="592">
        <f>A6_Machine_Look_Up!AI35</f>
        <v>1.1599999999999999</v>
      </c>
      <c r="M35" s="677">
        <f t="shared" si="2"/>
        <v>0</v>
      </c>
      <c r="N35" s="447" t="str">
        <f>A6_Machine_Look_Up!AE35</f>
        <v>Planter, Drill</v>
      </c>
      <c r="O35" s="425">
        <f t="shared" si="3"/>
        <v>0.44</v>
      </c>
      <c r="P35" s="420">
        <f t="shared" si="4"/>
        <v>0</v>
      </c>
      <c r="Q35" s="420">
        <f t="shared" si="5"/>
        <v>0</v>
      </c>
      <c r="R35" s="420">
        <f t="shared" si="6"/>
        <v>0</v>
      </c>
      <c r="S35" s="420">
        <f t="shared" si="7"/>
        <v>0</v>
      </c>
      <c r="T35" s="420">
        <f t="shared" si="8"/>
        <v>0</v>
      </c>
      <c r="U35" s="420">
        <f t="shared" si="9"/>
        <v>0</v>
      </c>
      <c r="V35" s="420">
        <f t="shared" si="10"/>
        <v>0</v>
      </c>
      <c r="W35" s="420">
        <f t="shared" si="11"/>
        <v>0.44</v>
      </c>
      <c r="X35" s="420">
        <f t="shared" si="12"/>
        <v>0</v>
      </c>
      <c r="Y35" s="420">
        <f t="shared" si="13"/>
        <v>0</v>
      </c>
      <c r="Z35" s="420">
        <f t="shared" si="14"/>
        <v>0</v>
      </c>
      <c r="AA35" s="420">
        <f t="shared" si="15"/>
        <v>0</v>
      </c>
      <c r="AB35" s="420">
        <f t="shared" si="16"/>
        <v>0</v>
      </c>
      <c r="AC35" s="420">
        <f t="shared" si="17"/>
        <v>0</v>
      </c>
      <c r="AD35" s="420">
        <f t="shared" si="18"/>
        <v>0</v>
      </c>
      <c r="AE35" s="420">
        <f t="shared" si="19"/>
        <v>0</v>
      </c>
      <c r="AF35" s="420">
        <f t="shared" si="20"/>
        <v>0</v>
      </c>
      <c r="AG35" s="420">
        <f t="shared" si="21"/>
        <v>0</v>
      </c>
      <c r="AH35" s="420">
        <f t="shared" si="22"/>
        <v>0</v>
      </c>
      <c r="AI35" s="420">
        <f t="shared" si="23"/>
        <v>0</v>
      </c>
      <c r="AJ35" s="421">
        <v>0.65</v>
      </c>
      <c r="AK35" s="421">
        <v>0.6</v>
      </c>
      <c r="AL35" s="421">
        <v>0.56000000000000005</v>
      </c>
      <c r="AM35" s="421">
        <v>0.53</v>
      </c>
      <c r="AN35" s="421">
        <v>0.5</v>
      </c>
      <c r="AO35" s="421">
        <v>0.48</v>
      </c>
      <c r="AP35" s="421">
        <v>0.46</v>
      </c>
      <c r="AQ35" s="421">
        <v>0.44</v>
      </c>
      <c r="AR35" s="421">
        <v>0.42</v>
      </c>
      <c r="AS35" s="421">
        <v>0.4</v>
      </c>
      <c r="AT35" s="421">
        <v>0.39</v>
      </c>
      <c r="AU35" s="421">
        <v>0.38</v>
      </c>
      <c r="AV35" s="421">
        <v>0.36</v>
      </c>
      <c r="AW35" s="421">
        <v>0.35</v>
      </c>
      <c r="AX35" s="421">
        <v>0.34</v>
      </c>
      <c r="AY35" s="421">
        <v>0.33</v>
      </c>
      <c r="AZ35" s="421">
        <v>0.32</v>
      </c>
      <c r="BA35" s="421">
        <v>0.3</v>
      </c>
      <c r="BB35" s="421">
        <v>0.28999999999999998</v>
      </c>
      <c r="BC35" s="421">
        <v>0.28999999999999998</v>
      </c>
      <c r="BD35" s="681">
        <f t="shared" si="24"/>
        <v>0</v>
      </c>
      <c r="BE35" s="417" t="s">
        <v>331</v>
      </c>
      <c r="BF35" s="425">
        <f t="shared" si="25"/>
        <v>0.36</v>
      </c>
      <c r="BG35" s="420">
        <f t="shared" si="26"/>
        <v>0</v>
      </c>
      <c r="BH35" s="420">
        <f t="shared" si="27"/>
        <v>0</v>
      </c>
      <c r="BI35" s="420">
        <f t="shared" si="28"/>
        <v>0</v>
      </c>
      <c r="BJ35" s="420">
        <f t="shared" si="29"/>
        <v>0</v>
      </c>
      <c r="BK35" s="420">
        <f t="shared" si="30"/>
        <v>0</v>
      </c>
      <c r="BL35" s="420">
        <f t="shared" si="31"/>
        <v>0</v>
      </c>
      <c r="BM35" s="420">
        <f t="shared" si="32"/>
        <v>0</v>
      </c>
      <c r="BN35" s="420">
        <f t="shared" si="33"/>
        <v>0.36</v>
      </c>
      <c r="BO35" s="420">
        <f t="shared" si="34"/>
        <v>0</v>
      </c>
      <c r="BP35" s="420">
        <f t="shared" si="35"/>
        <v>0</v>
      </c>
      <c r="BQ35" s="420">
        <f t="shared" si="36"/>
        <v>0</v>
      </c>
      <c r="BR35" s="420">
        <f t="shared" si="37"/>
        <v>0</v>
      </c>
      <c r="BS35" s="420">
        <f t="shared" si="38"/>
        <v>0</v>
      </c>
      <c r="BT35" s="420">
        <f t="shared" si="39"/>
        <v>0</v>
      </c>
      <c r="BU35" s="420">
        <f t="shared" si="40"/>
        <v>0</v>
      </c>
      <c r="BV35" s="420">
        <f t="shared" si="41"/>
        <v>0</v>
      </c>
      <c r="BW35" s="420">
        <f t="shared" si="42"/>
        <v>0</v>
      </c>
      <c r="BX35" s="420">
        <f t="shared" si="43"/>
        <v>0</v>
      </c>
      <c r="BY35" s="420">
        <f t="shared" si="44"/>
        <v>0</v>
      </c>
      <c r="BZ35" s="420">
        <f t="shared" si="45"/>
        <v>0</v>
      </c>
      <c r="CA35" s="421">
        <v>0.67</v>
      </c>
      <c r="CB35" s="421">
        <v>0.59</v>
      </c>
      <c r="CC35" s="421">
        <v>0.54</v>
      </c>
      <c r="CD35" s="421">
        <v>0.49</v>
      </c>
      <c r="CE35" s="421">
        <v>0.45</v>
      </c>
      <c r="CF35" s="421">
        <v>0.42</v>
      </c>
      <c r="CG35" s="421">
        <v>0.39</v>
      </c>
      <c r="CH35" s="421">
        <v>0.36</v>
      </c>
      <c r="CI35" s="421">
        <v>0.34</v>
      </c>
      <c r="CJ35" s="421">
        <v>0.32</v>
      </c>
      <c r="CK35" s="421">
        <v>0.3</v>
      </c>
      <c r="CL35" s="421">
        <v>0.28000000000000003</v>
      </c>
      <c r="CM35" s="421">
        <v>0.26</v>
      </c>
      <c r="CN35" s="421">
        <v>0.24</v>
      </c>
      <c r="CO35" s="421">
        <v>0.23</v>
      </c>
      <c r="CP35" s="421">
        <v>0.21</v>
      </c>
      <c r="CQ35" s="421">
        <v>0.2</v>
      </c>
      <c r="CR35" s="421">
        <v>0.19</v>
      </c>
      <c r="CS35" s="421">
        <v>0.18</v>
      </c>
      <c r="CT35" s="421">
        <v>0.17</v>
      </c>
    </row>
    <row r="36" spans="1:98" ht="13.9" x14ac:dyDescent="0.4">
      <c r="A36" s="26" t="str">
        <f>A6_Machine_Look_Up!A36</f>
        <v>Planter Twin Row</v>
      </c>
      <c r="B36" s="1302">
        <f>A6_Machine_Look_Up!H36</f>
        <v>160</v>
      </c>
      <c r="C36" s="405">
        <f>A6_Machine_Look_Up!I36</f>
        <v>0.65</v>
      </c>
      <c r="D36" s="468">
        <f>A6_Machine_Look_Up!J36</f>
        <v>8</v>
      </c>
      <c r="E36" s="441">
        <f t="shared" si="0"/>
        <v>0.44</v>
      </c>
      <c r="F36" s="491">
        <f>A6_Machine_Look_Up!K36</f>
        <v>600</v>
      </c>
      <c r="G36" s="492">
        <f>A6_Machine_Look_Up!L36</f>
        <v>8</v>
      </c>
      <c r="H36" s="450">
        <f t="shared" si="1"/>
        <v>0.36</v>
      </c>
      <c r="I36" s="225">
        <f>A6_Machine_Look_Up!G36</f>
        <v>230</v>
      </c>
      <c r="J36" s="578">
        <f>A6_Machine_Look_Up!AG36</f>
        <v>0.32</v>
      </c>
      <c r="K36" s="579">
        <f>A6_Machine_Look_Up!AH36</f>
        <v>2.1</v>
      </c>
      <c r="L36" s="592">
        <f>A6_Machine_Look_Up!AI36</f>
        <v>1.1599999999999999</v>
      </c>
      <c r="M36" s="677">
        <f t="shared" si="2"/>
        <v>0</v>
      </c>
      <c r="N36" s="447" t="str">
        <f>A6_Machine_Look_Up!AE36</f>
        <v>Planter, Drill</v>
      </c>
      <c r="O36" s="425">
        <f t="shared" si="3"/>
        <v>0.44</v>
      </c>
      <c r="P36" s="420">
        <f t="shared" si="4"/>
        <v>0</v>
      </c>
      <c r="Q36" s="420">
        <f t="shared" si="5"/>
        <v>0</v>
      </c>
      <c r="R36" s="420">
        <f t="shared" si="6"/>
        <v>0</v>
      </c>
      <c r="S36" s="420">
        <f t="shared" si="7"/>
        <v>0</v>
      </c>
      <c r="T36" s="420">
        <f t="shared" si="8"/>
        <v>0</v>
      </c>
      <c r="U36" s="420">
        <f t="shared" si="9"/>
        <v>0</v>
      </c>
      <c r="V36" s="420">
        <f t="shared" si="10"/>
        <v>0</v>
      </c>
      <c r="W36" s="420">
        <f t="shared" si="11"/>
        <v>0.44</v>
      </c>
      <c r="X36" s="420">
        <f t="shared" si="12"/>
        <v>0</v>
      </c>
      <c r="Y36" s="420">
        <f t="shared" si="13"/>
        <v>0</v>
      </c>
      <c r="Z36" s="420">
        <f t="shared" si="14"/>
        <v>0</v>
      </c>
      <c r="AA36" s="420">
        <f t="shared" si="15"/>
        <v>0</v>
      </c>
      <c r="AB36" s="420">
        <f t="shared" si="16"/>
        <v>0</v>
      </c>
      <c r="AC36" s="420">
        <f t="shared" si="17"/>
        <v>0</v>
      </c>
      <c r="AD36" s="420">
        <f t="shared" si="18"/>
        <v>0</v>
      </c>
      <c r="AE36" s="420">
        <f t="shared" si="19"/>
        <v>0</v>
      </c>
      <c r="AF36" s="420">
        <f t="shared" si="20"/>
        <v>0</v>
      </c>
      <c r="AG36" s="420">
        <f t="shared" si="21"/>
        <v>0</v>
      </c>
      <c r="AH36" s="420">
        <f t="shared" si="22"/>
        <v>0</v>
      </c>
      <c r="AI36" s="420">
        <f t="shared" si="23"/>
        <v>0</v>
      </c>
      <c r="AJ36" s="421">
        <v>0.65</v>
      </c>
      <c r="AK36" s="421">
        <v>0.6</v>
      </c>
      <c r="AL36" s="421">
        <v>0.56000000000000005</v>
      </c>
      <c r="AM36" s="421">
        <v>0.53</v>
      </c>
      <c r="AN36" s="421">
        <v>0.5</v>
      </c>
      <c r="AO36" s="421">
        <v>0.48</v>
      </c>
      <c r="AP36" s="421">
        <v>0.46</v>
      </c>
      <c r="AQ36" s="421">
        <v>0.44</v>
      </c>
      <c r="AR36" s="421">
        <v>0.42</v>
      </c>
      <c r="AS36" s="421">
        <v>0.4</v>
      </c>
      <c r="AT36" s="421">
        <v>0.39</v>
      </c>
      <c r="AU36" s="421">
        <v>0.38</v>
      </c>
      <c r="AV36" s="421">
        <v>0.36</v>
      </c>
      <c r="AW36" s="421">
        <v>0.35</v>
      </c>
      <c r="AX36" s="421">
        <v>0.34</v>
      </c>
      <c r="AY36" s="421">
        <v>0.33</v>
      </c>
      <c r="AZ36" s="421">
        <v>0.32</v>
      </c>
      <c r="BA36" s="421">
        <v>0.3</v>
      </c>
      <c r="BB36" s="421">
        <v>0.28999999999999998</v>
      </c>
      <c r="BC36" s="421">
        <v>0.28999999999999998</v>
      </c>
      <c r="BD36" s="681">
        <f t="shared" si="24"/>
        <v>0</v>
      </c>
      <c r="BE36" s="417" t="s">
        <v>331</v>
      </c>
      <c r="BF36" s="425">
        <f t="shared" si="25"/>
        <v>0.36</v>
      </c>
      <c r="BG36" s="420">
        <f t="shared" si="26"/>
        <v>0</v>
      </c>
      <c r="BH36" s="420">
        <f t="shared" si="27"/>
        <v>0</v>
      </c>
      <c r="BI36" s="420">
        <f t="shared" si="28"/>
        <v>0</v>
      </c>
      <c r="BJ36" s="420">
        <f t="shared" si="29"/>
        <v>0</v>
      </c>
      <c r="BK36" s="420">
        <f t="shared" si="30"/>
        <v>0</v>
      </c>
      <c r="BL36" s="420">
        <f t="shared" si="31"/>
        <v>0</v>
      </c>
      <c r="BM36" s="420">
        <f t="shared" si="32"/>
        <v>0</v>
      </c>
      <c r="BN36" s="420">
        <f t="shared" si="33"/>
        <v>0.36</v>
      </c>
      <c r="BO36" s="420">
        <f t="shared" si="34"/>
        <v>0</v>
      </c>
      <c r="BP36" s="420">
        <f t="shared" si="35"/>
        <v>0</v>
      </c>
      <c r="BQ36" s="420">
        <f t="shared" si="36"/>
        <v>0</v>
      </c>
      <c r="BR36" s="420">
        <f t="shared" si="37"/>
        <v>0</v>
      </c>
      <c r="BS36" s="420">
        <f t="shared" si="38"/>
        <v>0</v>
      </c>
      <c r="BT36" s="420">
        <f t="shared" si="39"/>
        <v>0</v>
      </c>
      <c r="BU36" s="420">
        <f t="shared" si="40"/>
        <v>0</v>
      </c>
      <c r="BV36" s="420">
        <f t="shared" si="41"/>
        <v>0</v>
      </c>
      <c r="BW36" s="420">
        <f t="shared" si="42"/>
        <v>0</v>
      </c>
      <c r="BX36" s="420">
        <f t="shared" si="43"/>
        <v>0</v>
      </c>
      <c r="BY36" s="420">
        <f t="shared" si="44"/>
        <v>0</v>
      </c>
      <c r="BZ36" s="420">
        <f t="shared" si="45"/>
        <v>0</v>
      </c>
      <c r="CA36" s="421">
        <v>0.67</v>
      </c>
      <c r="CB36" s="421">
        <v>0.59</v>
      </c>
      <c r="CC36" s="421">
        <v>0.54</v>
      </c>
      <c r="CD36" s="421">
        <v>0.49</v>
      </c>
      <c r="CE36" s="421">
        <v>0.45</v>
      </c>
      <c r="CF36" s="421">
        <v>0.42</v>
      </c>
      <c r="CG36" s="421">
        <v>0.39</v>
      </c>
      <c r="CH36" s="421">
        <v>0.36</v>
      </c>
      <c r="CI36" s="421">
        <v>0.34</v>
      </c>
      <c r="CJ36" s="421">
        <v>0.32</v>
      </c>
      <c r="CK36" s="421">
        <v>0.3</v>
      </c>
      <c r="CL36" s="421">
        <v>0.28000000000000003</v>
      </c>
      <c r="CM36" s="421">
        <v>0.26</v>
      </c>
      <c r="CN36" s="421">
        <v>0.24</v>
      </c>
      <c r="CO36" s="421">
        <v>0.23</v>
      </c>
      <c r="CP36" s="421">
        <v>0.21</v>
      </c>
      <c r="CQ36" s="421">
        <v>0.2</v>
      </c>
      <c r="CR36" s="421">
        <v>0.19</v>
      </c>
      <c r="CS36" s="421">
        <v>0.18</v>
      </c>
      <c r="CT36" s="421">
        <v>0.17</v>
      </c>
    </row>
    <row r="37" spans="1:98" ht="13.9" x14ac:dyDescent="0.4">
      <c r="A37" s="26" t="str">
        <f>A6_Machine_Look_Up!A37</f>
        <v>Plant Grain Drill</v>
      </c>
      <c r="B37" s="1302">
        <f>A6_Machine_Look_Up!H37</f>
        <v>160</v>
      </c>
      <c r="C37" s="405">
        <f>A6_Machine_Look_Up!I37</f>
        <v>0.7</v>
      </c>
      <c r="D37" s="468">
        <f>A6_Machine_Look_Up!J37</f>
        <v>8</v>
      </c>
      <c r="E37" s="441">
        <f t="shared" si="0"/>
        <v>0.44</v>
      </c>
      <c r="F37" s="491">
        <f>A6_Machine_Look_Up!K37</f>
        <v>600</v>
      </c>
      <c r="G37" s="492">
        <f>A6_Machine_Look_Up!L37</f>
        <v>8</v>
      </c>
      <c r="H37" s="450">
        <f t="shared" si="1"/>
        <v>0.36</v>
      </c>
      <c r="I37" s="225">
        <f>A6_Machine_Look_Up!G37</f>
        <v>230</v>
      </c>
      <c r="J37" s="578">
        <f>A6_Machine_Look_Up!AG37</f>
        <v>0.32</v>
      </c>
      <c r="K37" s="579">
        <f>A6_Machine_Look_Up!AH37</f>
        <v>2.1</v>
      </c>
      <c r="L37" s="592">
        <f>A6_Machine_Look_Up!AI37</f>
        <v>1.1100000000000001</v>
      </c>
      <c r="M37" s="677">
        <f t="shared" si="2"/>
        <v>0</v>
      </c>
      <c r="N37" s="447" t="str">
        <f>A6_Machine_Look_Up!AE37</f>
        <v>Planter, Drill</v>
      </c>
      <c r="O37" s="425">
        <f t="shared" si="3"/>
        <v>0.44</v>
      </c>
      <c r="P37" s="420">
        <f t="shared" si="4"/>
        <v>0</v>
      </c>
      <c r="Q37" s="420">
        <f t="shared" si="5"/>
        <v>0</v>
      </c>
      <c r="R37" s="420">
        <f t="shared" si="6"/>
        <v>0</v>
      </c>
      <c r="S37" s="420">
        <f t="shared" si="7"/>
        <v>0</v>
      </c>
      <c r="T37" s="420">
        <f t="shared" si="8"/>
        <v>0</v>
      </c>
      <c r="U37" s="420">
        <f t="shared" si="9"/>
        <v>0</v>
      </c>
      <c r="V37" s="420">
        <f t="shared" si="10"/>
        <v>0</v>
      </c>
      <c r="W37" s="420">
        <f t="shared" si="11"/>
        <v>0.44</v>
      </c>
      <c r="X37" s="420">
        <f t="shared" si="12"/>
        <v>0</v>
      </c>
      <c r="Y37" s="420">
        <f t="shared" si="13"/>
        <v>0</v>
      </c>
      <c r="Z37" s="420">
        <f t="shared" si="14"/>
        <v>0</v>
      </c>
      <c r="AA37" s="420">
        <f t="shared" si="15"/>
        <v>0</v>
      </c>
      <c r="AB37" s="420">
        <f t="shared" si="16"/>
        <v>0</v>
      </c>
      <c r="AC37" s="420">
        <f t="shared" si="17"/>
        <v>0</v>
      </c>
      <c r="AD37" s="420">
        <f t="shared" si="18"/>
        <v>0</v>
      </c>
      <c r="AE37" s="420">
        <f t="shared" si="19"/>
        <v>0</v>
      </c>
      <c r="AF37" s="420">
        <f t="shared" si="20"/>
        <v>0</v>
      </c>
      <c r="AG37" s="420">
        <f t="shared" si="21"/>
        <v>0</v>
      </c>
      <c r="AH37" s="420">
        <f t="shared" si="22"/>
        <v>0</v>
      </c>
      <c r="AI37" s="420">
        <f t="shared" si="23"/>
        <v>0</v>
      </c>
      <c r="AJ37" s="421">
        <v>0.65</v>
      </c>
      <c r="AK37" s="421">
        <v>0.6</v>
      </c>
      <c r="AL37" s="421">
        <v>0.56000000000000005</v>
      </c>
      <c r="AM37" s="421">
        <v>0.53</v>
      </c>
      <c r="AN37" s="421">
        <v>0.5</v>
      </c>
      <c r="AO37" s="421">
        <v>0.48</v>
      </c>
      <c r="AP37" s="421">
        <v>0.46</v>
      </c>
      <c r="AQ37" s="421">
        <v>0.44</v>
      </c>
      <c r="AR37" s="421">
        <v>0.42</v>
      </c>
      <c r="AS37" s="421">
        <v>0.4</v>
      </c>
      <c r="AT37" s="421">
        <v>0.39</v>
      </c>
      <c r="AU37" s="421">
        <v>0.38</v>
      </c>
      <c r="AV37" s="421">
        <v>0.36</v>
      </c>
      <c r="AW37" s="421">
        <v>0.35</v>
      </c>
      <c r="AX37" s="421">
        <v>0.34</v>
      </c>
      <c r="AY37" s="421">
        <v>0.33</v>
      </c>
      <c r="AZ37" s="421">
        <v>0.32</v>
      </c>
      <c r="BA37" s="421">
        <v>0.3</v>
      </c>
      <c r="BB37" s="421">
        <v>0.28999999999999998</v>
      </c>
      <c r="BC37" s="421">
        <v>0.28999999999999998</v>
      </c>
      <c r="BD37" s="681">
        <f t="shared" si="24"/>
        <v>0</v>
      </c>
      <c r="BE37" s="417" t="s">
        <v>331</v>
      </c>
      <c r="BF37" s="425">
        <f t="shared" si="25"/>
        <v>0.36</v>
      </c>
      <c r="BG37" s="420">
        <f t="shared" si="26"/>
        <v>0</v>
      </c>
      <c r="BH37" s="420">
        <f t="shared" si="27"/>
        <v>0</v>
      </c>
      <c r="BI37" s="420">
        <f t="shared" si="28"/>
        <v>0</v>
      </c>
      <c r="BJ37" s="420">
        <f t="shared" si="29"/>
        <v>0</v>
      </c>
      <c r="BK37" s="420">
        <f t="shared" si="30"/>
        <v>0</v>
      </c>
      <c r="BL37" s="420">
        <f t="shared" si="31"/>
        <v>0</v>
      </c>
      <c r="BM37" s="420">
        <f t="shared" si="32"/>
        <v>0</v>
      </c>
      <c r="BN37" s="420">
        <f t="shared" si="33"/>
        <v>0.36</v>
      </c>
      <c r="BO37" s="420">
        <f t="shared" si="34"/>
        <v>0</v>
      </c>
      <c r="BP37" s="420">
        <f t="shared" si="35"/>
        <v>0</v>
      </c>
      <c r="BQ37" s="420">
        <f t="shared" si="36"/>
        <v>0</v>
      </c>
      <c r="BR37" s="420">
        <f t="shared" si="37"/>
        <v>0</v>
      </c>
      <c r="BS37" s="420">
        <f t="shared" si="38"/>
        <v>0</v>
      </c>
      <c r="BT37" s="420">
        <f t="shared" si="39"/>
        <v>0</v>
      </c>
      <c r="BU37" s="420">
        <f t="shared" si="40"/>
        <v>0</v>
      </c>
      <c r="BV37" s="420">
        <f t="shared" si="41"/>
        <v>0</v>
      </c>
      <c r="BW37" s="420">
        <f t="shared" si="42"/>
        <v>0</v>
      </c>
      <c r="BX37" s="420">
        <f t="shared" si="43"/>
        <v>0</v>
      </c>
      <c r="BY37" s="420">
        <f t="shared" si="44"/>
        <v>0</v>
      </c>
      <c r="BZ37" s="420">
        <f t="shared" si="45"/>
        <v>0</v>
      </c>
      <c r="CA37" s="421">
        <v>0.67</v>
      </c>
      <c r="CB37" s="421">
        <v>0.59</v>
      </c>
      <c r="CC37" s="421">
        <v>0.54</v>
      </c>
      <c r="CD37" s="421">
        <v>0.49</v>
      </c>
      <c r="CE37" s="421">
        <v>0.45</v>
      </c>
      <c r="CF37" s="421">
        <v>0.42</v>
      </c>
      <c r="CG37" s="421">
        <v>0.39</v>
      </c>
      <c r="CH37" s="421">
        <v>0.36</v>
      </c>
      <c r="CI37" s="421">
        <v>0.34</v>
      </c>
      <c r="CJ37" s="421">
        <v>0.32</v>
      </c>
      <c r="CK37" s="421">
        <v>0.3</v>
      </c>
      <c r="CL37" s="421">
        <v>0.28000000000000003</v>
      </c>
      <c r="CM37" s="421">
        <v>0.26</v>
      </c>
      <c r="CN37" s="421">
        <v>0.24</v>
      </c>
      <c r="CO37" s="421">
        <v>0.23</v>
      </c>
      <c r="CP37" s="421">
        <v>0.21</v>
      </c>
      <c r="CQ37" s="421">
        <v>0.2</v>
      </c>
      <c r="CR37" s="421">
        <v>0.19</v>
      </c>
      <c r="CS37" s="421">
        <v>0.18</v>
      </c>
      <c r="CT37" s="421">
        <v>0.17</v>
      </c>
    </row>
    <row r="38" spans="1:98" ht="13.9" x14ac:dyDescent="0.4">
      <c r="A38" s="26" t="str">
        <f>A6_Machine_Look_Up!A38</f>
        <v>Plant No-Till Air Drill</v>
      </c>
      <c r="B38" s="1302">
        <f>A6_Machine_Look_Up!H38</f>
        <v>160</v>
      </c>
      <c r="C38" s="405">
        <f>A6_Machine_Look_Up!I38</f>
        <v>0.7</v>
      </c>
      <c r="D38" s="468">
        <f>A6_Machine_Look_Up!J38</f>
        <v>8</v>
      </c>
      <c r="E38" s="441">
        <f t="shared" si="0"/>
        <v>0.44</v>
      </c>
      <c r="F38" s="491">
        <f>A6_Machine_Look_Up!K38</f>
        <v>600</v>
      </c>
      <c r="G38" s="492">
        <f>A6_Machine_Look_Up!L38</f>
        <v>8</v>
      </c>
      <c r="H38" s="450">
        <f t="shared" si="1"/>
        <v>0.36</v>
      </c>
      <c r="I38" s="225">
        <f>A6_Machine_Look_Up!G38</f>
        <v>230</v>
      </c>
      <c r="J38" s="578">
        <f>A6_Machine_Look_Up!AG38</f>
        <v>0.32</v>
      </c>
      <c r="K38" s="579">
        <f>A6_Machine_Look_Up!AH38</f>
        <v>2.1</v>
      </c>
      <c r="L38" s="592">
        <f>A6_Machine_Look_Up!AI38</f>
        <v>1.1100000000000001</v>
      </c>
      <c r="M38" s="677">
        <f t="shared" si="2"/>
        <v>0</v>
      </c>
      <c r="N38" s="447" t="str">
        <f>A6_Machine_Look_Up!AE38</f>
        <v>Planter, Drill</v>
      </c>
      <c r="O38" s="425">
        <f t="shared" si="3"/>
        <v>0.44</v>
      </c>
      <c r="P38" s="420">
        <f t="shared" si="4"/>
        <v>0</v>
      </c>
      <c r="Q38" s="420">
        <f t="shared" si="5"/>
        <v>0</v>
      </c>
      <c r="R38" s="420">
        <f t="shared" si="6"/>
        <v>0</v>
      </c>
      <c r="S38" s="420">
        <f t="shared" si="7"/>
        <v>0</v>
      </c>
      <c r="T38" s="420">
        <f t="shared" si="8"/>
        <v>0</v>
      </c>
      <c r="U38" s="420">
        <f t="shared" si="9"/>
        <v>0</v>
      </c>
      <c r="V38" s="420">
        <f t="shared" si="10"/>
        <v>0</v>
      </c>
      <c r="W38" s="420">
        <f t="shared" si="11"/>
        <v>0.44</v>
      </c>
      <c r="X38" s="420">
        <f t="shared" si="12"/>
        <v>0</v>
      </c>
      <c r="Y38" s="420">
        <f t="shared" si="13"/>
        <v>0</v>
      </c>
      <c r="Z38" s="420">
        <f t="shared" si="14"/>
        <v>0</v>
      </c>
      <c r="AA38" s="420">
        <f t="shared" si="15"/>
        <v>0</v>
      </c>
      <c r="AB38" s="420">
        <f t="shared" si="16"/>
        <v>0</v>
      </c>
      <c r="AC38" s="420">
        <f t="shared" si="17"/>
        <v>0</v>
      </c>
      <c r="AD38" s="420">
        <f t="shared" si="18"/>
        <v>0</v>
      </c>
      <c r="AE38" s="420">
        <f t="shared" si="19"/>
        <v>0</v>
      </c>
      <c r="AF38" s="420">
        <f t="shared" si="20"/>
        <v>0</v>
      </c>
      <c r="AG38" s="420">
        <f t="shared" si="21"/>
        <v>0</v>
      </c>
      <c r="AH38" s="420">
        <f t="shared" si="22"/>
        <v>0</v>
      </c>
      <c r="AI38" s="420">
        <f t="shared" si="23"/>
        <v>0</v>
      </c>
      <c r="AJ38" s="421">
        <v>0.65</v>
      </c>
      <c r="AK38" s="421">
        <v>0.6</v>
      </c>
      <c r="AL38" s="421">
        <v>0.56000000000000005</v>
      </c>
      <c r="AM38" s="421">
        <v>0.53</v>
      </c>
      <c r="AN38" s="421">
        <v>0.5</v>
      </c>
      <c r="AO38" s="421">
        <v>0.48</v>
      </c>
      <c r="AP38" s="421">
        <v>0.46</v>
      </c>
      <c r="AQ38" s="421">
        <v>0.44</v>
      </c>
      <c r="AR38" s="421">
        <v>0.42</v>
      </c>
      <c r="AS38" s="421">
        <v>0.4</v>
      </c>
      <c r="AT38" s="421">
        <v>0.39</v>
      </c>
      <c r="AU38" s="421">
        <v>0.38</v>
      </c>
      <c r="AV38" s="421">
        <v>0.36</v>
      </c>
      <c r="AW38" s="421">
        <v>0.35</v>
      </c>
      <c r="AX38" s="421">
        <v>0.34</v>
      </c>
      <c r="AY38" s="421">
        <v>0.33</v>
      </c>
      <c r="AZ38" s="421">
        <v>0.32</v>
      </c>
      <c r="BA38" s="421">
        <v>0.3</v>
      </c>
      <c r="BB38" s="421">
        <v>0.28999999999999998</v>
      </c>
      <c r="BC38" s="421">
        <v>0.28999999999999998</v>
      </c>
      <c r="BD38" s="681">
        <f t="shared" si="24"/>
        <v>0</v>
      </c>
      <c r="BE38" s="417" t="s">
        <v>331</v>
      </c>
      <c r="BF38" s="425">
        <f t="shared" si="25"/>
        <v>0.36</v>
      </c>
      <c r="BG38" s="420">
        <f t="shared" si="26"/>
        <v>0</v>
      </c>
      <c r="BH38" s="420">
        <f t="shared" si="27"/>
        <v>0</v>
      </c>
      <c r="BI38" s="420">
        <f t="shared" si="28"/>
        <v>0</v>
      </c>
      <c r="BJ38" s="420">
        <f t="shared" si="29"/>
        <v>0</v>
      </c>
      <c r="BK38" s="420">
        <f t="shared" si="30"/>
        <v>0</v>
      </c>
      <c r="BL38" s="420">
        <f t="shared" si="31"/>
        <v>0</v>
      </c>
      <c r="BM38" s="420">
        <f t="shared" si="32"/>
        <v>0</v>
      </c>
      <c r="BN38" s="420">
        <f t="shared" si="33"/>
        <v>0.36</v>
      </c>
      <c r="BO38" s="420">
        <f t="shared" si="34"/>
        <v>0</v>
      </c>
      <c r="BP38" s="420">
        <f t="shared" si="35"/>
        <v>0</v>
      </c>
      <c r="BQ38" s="420">
        <f t="shared" si="36"/>
        <v>0</v>
      </c>
      <c r="BR38" s="420">
        <f t="shared" si="37"/>
        <v>0</v>
      </c>
      <c r="BS38" s="420">
        <f t="shared" si="38"/>
        <v>0</v>
      </c>
      <c r="BT38" s="420">
        <f t="shared" si="39"/>
        <v>0</v>
      </c>
      <c r="BU38" s="420">
        <f t="shared" si="40"/>
        <v>0</v>
      </c>
      <c r="BV38" s="420">
        <f t="shared" si="41"/>
        <v>0</v>
      </c>
      <c r="BW38" s="420">
        <f t="shared" si="42"/>
        <v>0</v>
      </c>
      <c r="BX38" s="420">
        <f t="shared" si="43"/>
        <v>0</v>
      </c>
      <c r="BY38" s="420">
        <f t="shared" si="44"/>
        <v>0</v>
      </c>
      <c r="BZ38" s="420">
        <f t="shared" si="45"/>
        <v>0</v>
      </c>
      <c r="CA38" s="421">
        <v>0.67</v>
      </c>
      <c r="CB38" s="421">
        <v>0.59</v>
      </c>
      <c r="CC38" s="421">
        <v>0.54</v>
      </c>
      <c r="CD38" s="421">
        <v>0.49</v>
      </c>
      <c r="CE38" s="421">
        <v>0.45</v>
      </c>
      <c r="CF38" s="421">
        <v>0.42</v>
      </c>
      <c r="CG38" s="421">
        <v>0.39</v>
      </c>
      <c r="CH38" s="421">
        <v>0.36</v>
      </c>
      <c r="CI38" s="421">
        <v>0.34</v>
      </c>
      <c r="CJ38" s="421">
        <v>0.32</v>
      </c>
      <c r="CK38" s="421">
        <v>0.3</v>
      </c>
      <c r="CL38" s="421">
        <v>0.28000000000000003</v>
      </c>
      <c r="CM38" s="421">
        <v>0.26</v>
      </c>
      <c r="CN38" s="421">
        <v>0.24</v>
      </c>
      <c r="CO38" s="421">
        <v>0.23</v>
      </c>
      <c r="CP38" s="421">
        <v>0.21</v>
      </c>
      <c r="CQ38" s="421">
        <v>0.2</v>
      </c>
      <c r="CR38" s="421">
        <v>0.19</v>
      </c>
      <c r="CS38" s="421">
        <v>0.18</v>
      </c>
      <c r="CT38" s="421">
        <v>0.17</v>
      </c>
    </row>
    <row r="39" spans="1:98" ht="13.9" x14ac:dyDescent="0.4">
      <c r="A39" s="26" t="str">
        <f>A6_Machine_Look_Up!A39</f>
        <v>Liquid Fertilizer Applicator</v>
      </c>
      <c r="B39" s="1302">
        <f>A6_Machine_Look_Up!H39</f>
        <v>120</v>
      </c>
      <c r="C39" s="405">
        <f>A6_Machine_Look_Up!I39</f>
        <v>0.65</v>
      </c>
      <c r="D39" s="468">
        <f>A6_Machine_Look_Up!J39</f>
        <v>8</v>
      </c>
      <c r="E39" s="441">
        <f t="shared" si="0"/>
        <v>0.35</v>
      </c>
      <c r="F39" s="491">
        <f>A6_Machine_Look_Up!K39</f>
        <v>600</v>
      </c>
      <c r="G39" s="492">
        <f>A6_Machine_Look_Up!L39</f>
        <v>8</v>
      </c>
      <c r="H39" s="450">
        <f t="shared" si="1"/>
        <v>0.36</v>
      </c>
      <c r="I39" s="225">
        <f>A6_Machine_Look_Up!G39</f>
        <v>230</v>
      </c>
      <c r="J39" s="578">
        <f>A6_Machine_Look_Up!AG39</f>
        <v>0.41</v>
      </c>
      <c r="K39" s="579">
        <f>A6_Machine_Look_Up!AH39</f>
        <v>1.3</v>
      </c>
      <c r="L39" s="592">
        <f>A6_Machine_Look_Up!AI39</f>
        <v>1.33</v>
      </c>
      <c r="M39" s="677">
        <f t="shared" si="2"/>
        <v>0</v>
      </c>
      <c r="N39" s="447" t="str">
        <f>A6_Machine_Look_Up!AE39</f>
        <v>Sprayer</v>
      </c>
      <c r="O39" s="425">
        <f t="shared" si="3"/>
        <v>0.35</v>
      </c>
      <c r="P39" s="420">
        <f t="shared" si="4"/>
        <v>0</v>
      </c>
      <c r="Q39" s="420">
        <f t="shared" si="5"/>
        <v>0</v>
      </c>
      <c r="R39" s="420">
        <f t="shared" si="6"/>
        <v>0</v>
      </c>
      <c r="S39" s="420">
        <f t="shared" si="7"/>
        <v>0</v>
      </c>
      <c r="T39" s="420">
        <f t="shared" si="8"/>
        <v>0</v>
      </c>
      <c r="U39" s="420">
        <f t="shared" si="9"/>
        <v>0</v>
      </c>
      <c r="V39" s="420">
        <f t="shared" si="10"/>
        <v>0</v>
      </c>
      <c r="W39" s="420">
        <f t="shared" si="11"/>
        <v>0.35</v>
      </c>
      <c r="X39" s="420">
        <f t="shared" si="12"/>
        <v>0</v>
      </c>
      <c r="Y39" s="420">
        <f t="shared" si="13"/>
        <v>0</v>
      </c>
      <c r="Z39" s="420">
        <f t="shared" si="14"/>
        <v>0</v>
      </c>
      <c r="AA39" s="420">
        <f t="shared" si="15"/>
        <v>0</v>
      </c>
      <c r="AB39" s="420">
        <f t="shared" si="16"/>
        <v>0</v>
      </c>
      <c r="AC39" s="420">
        <f t="shared" si="17"/>
        <v>0</v>
      </c>
      <c r="AD39" s="420">
        <f t="shared" si="18"/>
        <v>0</v>
      </c>
      <c r="AE39" s="420">
        <f t="shared" si="19"/>
        <v>0</v>
      </c>
      <c r="AF39" s="420">
        <f t="shared" si="20"/>
        <v>0</v>
      </c>
      <c r="AG39" s="420">
        <f t="shared" si="21"/>
        <v>0</v>
      </c>
      <c r="AH39" s="420">
        <f t="shared" si="22"/>
        <v>0</v>
      </c>
      <c r="AI39" s="420">
        <f t="shared" si="23"/>
        <v>0</v>
      </c>
      <c r="AJ39" s="421">
        <v>0.47</v>
      </c>
      <c r="AK39" s="421">
        <v>0.44</v>
      </c>
      <c r="AL39" s="421">
        <v>0.42</v>
      </c>
      <c r="AM39" s="421">
        <v>0.4</v>
      </c>
      <c r="AN39" s="421">
        <v>0.39</v>
      </c>
      <c r="AO39" s="421">
        <v>0.38</v>
      </c>
      <c r="AP39" s="421">
        <v>0.36</v>
      </c>
      <c r="AQ39" s="421">
        <v>0.35</v>
      </c>
      <c r="AR39" s="421">
        <v>0.34</v>
      </c>
      <c r="AS39" s="421">
        <v>0.33</v>
      </c>
      <c r="AT39" s="421">
        <v>0.32</v>
      </c>
      <c r="AU39" s="421">
        <v>0.32</v>
      </c>
      <c r="AV39" s="421">
        <v>0.31</v>
      </c>
      <c r="AW39" s="421">
        <v>0.3</v>
      </c>
      <c r="AX39" s="421">
        <v>0.28999999999999998</v>
      </c>
      <c r="AY39" s="421">
        <v>0.28999999999999998</v>
      </c>
      <c r="AZ39" s="421">
        <v>0.28000000000000003</v>
      </c>
      <c r="BA39" s="421">
        <v>0.27</v>
      </c>
      <c r="BB39" s="421">
        <v>0.27</v>
      </c>
      <c r="BC39" s="421">
        <v>0.26</v>
      </c>
      <c r="BD39" s="681">
        <f t="shared" si="24"/>
        <v>0</v>
      </c>
      <c r="BE39" s="417" t="s">
        <v>331</v>
      </c>
      <c r="BF39" s="425">
        <f t="shared" si="25"/>
        <v>0.36</v>
      </c>
      <c r="BG39" s="420">
        <f t="shared" si="26"/>
        <v>0</v>
      </c>
      <c r="BH39" s="420">
        <f t="shared" si="27"/>
        <v>0</v>
      </c>
      <c r="BI39" s="420">
        <f t="shared" si="28"/>
        <v>0</v>
      </c>
      <c r="BJ39" s="420">
        <f t="shared" si="29"/>
        <v>0</v>
      </c>
      <c r="BK39" s="420">
        <f t="shared" si="30"/>
        <v>0</v>
      </c>
      <c r="BL39" s="420">
        <f t="shared" si="31"/>
        <v>0</v>
      </c>
      <c r="BM39" s="420">
        <f t="shared" si="32"/>
        <v>0</v>
      </c>
      <c r="BN39" s="420">
        <f t="shared" si="33"/>
        <v>0.36</v>
      </c>
      <c r="BO39" s="420">
        <f t="shared" si="34"/>
        <v>0</v>
      </c>
      <c r="BP39" s="420">
        <f t="shared" si="35"/>
        <v>0</v>
      </c>
      <c r="BQ39" s="420">
        <f t="shared" si="36"/>
        <v>0</v>
      </c>
      <c r="BR39" s="420">
        <f t="shared" si="37"/>
        <v>0</v>
      </c>
      <c r="BS39" s="420">
        <f t="shared" si="38"/>
        <v>0</v>
      </c>
      <c r="BT39" s="420">
        <f t="shared" si="39"/>
        <v>0</v>
      </c>
      <c r="BU39" s="420">
        <f t="shared" si="40"/>
        <v>0</v>
      </c>
      <c r="BV39" s="420">
        <f t="shared" si="41"/>
        <v>0</v>
      </c>
      <c r="BW39" s="420">
        <f t="shared" si="42"/>
        <v>0</v>
      </c>
      <c r="BX39" s="420">
        <f t="shared" si="43"/>
        <v>0</v>
      </c>
      <c r="BY39" s="420">
        <f t="shared" si="44"/>
        <v>0</v>
      </c>
      <c r="BZ39" s="420">
        <f t="shared" si="45"/>
        <v>0</v>
      </c>
      <c r="CA39" s="421">
        <v>0.67</v>
      </c>
      <c r="CB39" s="421">
        <v>0.59</v>
      </c>
      <c r="CC39" s="421">
        <v>0.54</v>
      </c>
      <c r="CD39" s="421">
        <v>0.49</v>
      </c>
      <c r="CE39" s="421">
        <v>0.45</v>
      </c>
      <c r="CF39" s="421">
        <v>0.42</v>
      </c>
      <c r="CG39" s="421">
        <v>0.39</v>
      </c>
      <c r="CH39" s="421">
        <v>0.36</v>
      </c>
      <c r="CI39" s="421">
        <v>0.34</v>
      </c>
      <c r="CJ39" s="421">
        <v>0.32</v>
      </c>
      <c r="CK39" s="421">
        <v>0.3</v>
      </c>
      <c r="CL39" s="421">
        <v>0.28000000000000003</v>
      </c>
      <c r="CM39" s="421">
        <v>0.26</v>
      </c>
      <c r="CN39" s="421">
        <v>0.24</v>
      </c>
      <c r="CO39" s="421">
        <v>0.23</v>
      </c>
      <c r="CP39" s="421">
        <v>0.21</v>
      </c>
      <c r="CQ39" s="421">
        <v>0.2</v>
      </c>
      <c r="CR39" s="421">
        <v>0.19</v>
      </c>
      <c r="CS39" s="421">
        <v>0.18</v>
      </c>
      <c r="CT39" s="421">
        <v>0.17</v>
      </c>
    </row>
    <row r="40" spans="1:98" ht="13.9" x14ac:dyDescent="0.4">
      <c r="A40" s="26" t="str">
        <f>A6_Machine_Look_Up!A40</f>
        <v>Fertilizer, Knife Rig 12 Row</v>
      </c>
      <c r="B40" s="1302">
        <f>A6_Machine_Look_Up!H40</f>
        <v>120</v>
      </c>
      <c r="C40" s="405">
        <f>A6_Machine_Look_Up!I40</f>
        <v>0.65</v>
      </c>
      <c r="D40" s="468">
        <f>A6_Machine_Look_Up!J40</f>
        <v>8</v>
      </c>
      <c r="E40" s="441">
        <f t="shared" si="0"/>
        <v>0.35</v>
      </c>
      <c r="F40" s="491">
        <f>A6_Machine_Look_Up!K40</f>
        <v>600</v>
      </c>
      <c r="G40" s="492">
        <f>A6_Machine_Look_Up!L40</f>
        <v>8</v>
      </c>
      <c r="H40" s="450">
        <f t="shared" si="1"/>
        <v>0.36</v>
      </c>
      <c r="I40" s="225">
        <f>A6_Machine_Look_Up!G40</f>
        <v>230</v>
      </c>
      <c r="J40" s="578">
        <f>A6_Machine_Look_Up!AG40</f>
        <v>0.41</v>
      </c>
      <c r="K40" s="579">
        <f>A6_Machine_Look_Up!AH40</f>
        <v>1.3</v>
      </c>
      <c r="L40" s="592">
        <f>A6_Machine_Look_Up!AI40</f>
        <v>1.33</v>
      </c>
      <c r="M40" s="677">
        <f t="shared" si="2"/>
        <v>0</v>
      </c>
      <c r="N40" s="447" t="str">
        <f>A6_Machine_Look_Up!AE40</f>
        <v>Plows</v>
      </c>
      <c r="O40" s="425">
        <f t="shared" si="3"/>
        <v>0.35</v>
      </c>
      <c r="P40" s="420">
        <f t="shared" si="4"/>
        <v>0</v>
      </c>
      <c r="Q40" s="420">
        <f t="shared" si="5"/>
        <v>0</v>
      </c>
      <c r="R40" s="420">
        <f t="shared" si="6"/>
        <v>0</v>
      </c>
      <c r="S40" s="420">
        <f t="shared" si="7"/>
        <v>0</v>
      </c>
      <c r="T40" s="420">
        <f t="shared" si="8"/>
        <v>0</v>
      </c>
      <c r="U40" s="420">
        <f t="shared" si="9"/>
        <v>0</v>
      </c>
      <c r="V40" s="420">
        <f t="shared" si="10"/>
        <v>0</v>
      </c>
      <c r="W40" s="420">
        <f t="shared" si="11"/>
        <v>0.35</v>
      </c>
      <c r="X40" s="420">
        <f t="shared" si="12"/>
        <v>0</v>
      </c>
      <c r="Y40" s="420">
        <f t="shared" si="13"/>
        <v>0</v>
      </c>
      <c r="Z40" s="420">
        <f t="shared" si="14"/>
        <v>0</v>
      </c>
      <c r="AA40" s="420">
        <f t="shared" si="15"/>
        <v>0</v>
      </c>
      <c r="AB40" s="420">
        <f t="shared" si="16"/>
        <v>0</v>
      </c>
      <c r="AC40" s="420">
        <f t="shared" si="17"/>
        <v>0</v>
      </c>
      <c r="AD40" s="420">
        <f t="shared" si="18"/>
        <v>0</v>
      </c>
      <c r="AE40" s="420">
        <f t="shared" si="19"/>
        <v>0</v>
      </c>
      <c r="AF40" s="420">
        <f t="shared" si="20"/>
        <v>0</v>
      </c>
      <c r="AG40" s="420">
        <f t="shared" si="21"/>
        <v>0</v>
      </c>
      <c r="AH40" s="420">
        <f t="shared" si="22"/>
        <v>0</v>
      </c>
      <c r="AI40" s="420">
        <f t="shared" si="23"/>
        <v>0</v>
      </c>
      <c r="AJ40" s="421">
        <v>0.47</v>
      </c>
      <c r="AK40" s="421">
        <v>0.44</v>
      </c>
      <c r="AL40" s="421">
        <v>0.42</v>
      </c>
      <c r="AM40" s="421">
        <v>0.4</v>
      </c>
      <c r="AN40" s="421">
        <v>0.39</v>
      </c>
      <c r="AO40" s="421">
        <v>0.38</v>
      </c>
      <c r="AP40" s="421">
        <v>0.36</v>
      </c>
      <c r="AQ40" s="421">
        <v>0.35</v>
      </c>
      <c r="AR40" s="421">
        <v>0.34</v>
      </c>
      <c r="AS40" s="421">
        <v>0.33</v>
      </c>
      <c r="AT40" s="421">
        <v>0.32</v>
      </c>
      <c r="AU40" s="421">
        <v>0.32</v>
      </c>
      <c r="AV40" s="421">
        <v>0.31</v>
      </c>
      <c r="AW40" s="421">
        <v>0.3</v>
      </c>
      <c r="AX40" s="421">
        <v>0.28999999999999998</v>
      </c>
      <c r="AY40" s="421">
        <v>0.28999999999999998</v>
      </c>
      <c r="AZ40" s="421">
        <v>0.28000000000000003</v>
      </c>
      <c r="BA40" s="421">
        <v>0.27</v>
      </c>
      <c r="BB40" s="421">
        <v>0.27</v>
      </c>
      <c r="BC40" s="421">
        <v>0.26</v>
      </c>
      <c r="BD40" s="681">
        <f t="shared" si="24"/>
        <v>0</v>
      </c>
      <c r="BE40" s="417" t="s">
        <v>331</v>
      </c>
      <c r="BF40" s="425">
        <f t="shared" si="25"/>
        <v>0.36</v>
      </c>
      <c r="BG40" s="420">
        <f t="shared" si="26"/>
        <v>0</v>
      </c>
      <c r="BH40" s="420">
        <f t="shared" si="27"/>
        <v>0</v>
      </c>
      <c r="BI40" s="420">
        <f t="shared" si="28"/>
        <v>0</v>
      </c>
      <c r="BJ40" s="420">
        <f t="shared" si="29"/>
        <v>0</v>
      </c>
      <c r="BK40" s="420">
        <f t="shared" si="30"/>
        <v>0</v>
      </c>
      <c r="BL40" s="420">
        <f t="shared" si="31"/>
        <v>0</v>
      </c>
      <c r="BM40" s="420">
        <f t="shared" si="32"/>
        <v>0</v>
      </c>
      <c r="BN40" s="420">
        <f t="shared" si="33"/>
        <v>0.36</v>
      </c>
      <c r="BO40" s="420">
        <f t="shared" si="34"/>
        <v>0</v>
      </c>
      <c r="BP40" s="420">
        <f t="shared" si="35"/>
        <v>0</v>
      </c>
      <c r="BQ40" s="420">
        <f t="shared" si="36"/>
        <v>0</v>
      </c>
      <c r="BR40" s="420">
        <f t="shared" si="37"/>
        <v>0</v>
      </c>
      <c r="BS40" s="420">
        <f t="shared" si="38"/>
        <v>0</v>
      </c>
      <c r="BT40" s="420">
        <f t="shared" si="39"/>
        <v>0</v>
      </c>
      <c r="BU40" s="420">
        <f t="shared" si="40"/>
        <v>0</v>
      </c>
      <c r="BV40" s="420">
        <f t="shared" si="41"/>
        <v>0</v>
      </c>
      <c r="BW40" s="420">
        <f t="shared" si="42"/>
        <v>0</v>
      </c>
      <c r="BX40" s="420">
        <f t="shared" si="43"/>
        <v>0</v>
      </c>
      <c r="BY40" s="420">
        <f t="shared" si="44"/>
        <v>0</v>
      </c>
      <c r="BZ40" s="420">
        <f t="shared" si="45"/>
        <v>0</v>
      </c>
      <c r="CA40" s="421">
        <v>0.67</v>
      </c>
      <c r="CB40" s="421">
        <v>0.59</v>
      </c>
      <c r="CC40" s="421">
        <v>0.54</v>
      </c>
      <c r="CD40" s="421">
        <v>0.49</v>
      </c>
      <c r="CE40" s="421">
        <v>0.45</v>
      </c>
      <c r="CF40" s="421">
        <v>0.42</v>
      </c>
      <c r="CG40" s="421">
        <v>0.39</v>
      </c>
      <c r="CH40" s="421">
        <v>0.36</v>
      </c>
      <c r="CI40" s="421">
        <v>0.34</v>
      </c>
      <c r="CJ40" s="421">
        <v>0.32</v>
      </c>
      <c r="CK40" s="421">
        <v>0.3</v>
      </c>
      <c r="CL40" s="421">
        <v>0.28000000000000003</v>
      </c>
      <c r="CM40" s="421">
        <v>0.26</v>
      </c>
      <c r="CN40" s="421">
        <v>0.24</v>
      </c>
      <c r="CO40" s="421">
        <v>0.23</v>
      </c>
      <c r="CP40" s="421">
        <v>0.21</v>
      </c>
      <c r="CQ40" s="421">
        <v>0.2</v>
      </c>
      <c r="CR40" s="421">
        <v>0.19</v>
      </c>
      <c r="CS40" s="421">
        <v>0.18</v>
      </c>
      <c r="CT40" s="421">
        <v>0.17</v>
      </c>
    </row>
    <row r="41" spans="1:98" ht="13.9" x14ac:dyDescent="0.4">
      <c r="A41" s="26" t="str">
        <f>A6_Machine_Look_Up!A41</f>
        <v>Polypipe; Roll Out, Punch, Take Up</v>
      </c>
      <c r="B41" s="1302">
        <f>A6_Machine_Look_Up!H41</f>
        <v>25</v>
      </c>
      <c r="C41" s="405">
        <f>A6_Machine_Look_Up!I41</f>
        <v>0.95</v>
      </c>
      <c r="D41" s="468">
        <f>A6_Machine_Look_Up!J41</f>
        <v>8</v>
      </c>
      <c r="E41" s="441">
        <f t="shared" si="0"/>
        <v>0.4</v>
      </c>
      <c r="F41" s="491">
        <f>A6_Machine_Look_Up!K41</f>
        <v>600</v>
      </c>
      <c r="G41" s="492">
        <f>A6_Machine_Look_Up!L41</f>
        <v>8</v>
      </c>
      <c r="H41" s="450">
        <f t="shared" si="1"/>
        <v>0.36</v>
      </c>
      <c r="I41" s="225">
        <f>A6_Machine_Look_Up!G41</f>
        <v>175</v>
      </c>
      <c r="J41" s="578">
        <f>A6_Machine_Look_Up!AG41</f>
        <v>0.16</v>
      </c>
      <c r="K41" s="579">
        <f>A6_Machine_Look_Up!AH41</f>
        <v>1.3</v>
      </c>
      <c r="L41" s="592">
        <f>A6_Machine_Look_Up!AI41</f>
        <v>3.12</v>
      </c>
      <c r="M41" s="677">
        <f t="shared" si="2"/>
        <v>0</v>
      </c>
      <c r="N41" s="447" t="str">
        <f>A6_Machine_Look_Up!AE41</f>
        <v>Others</v>
      </c>
      <c r="O41" s="425">
        <f t="shared" si="3"/>
        <v>0.4</v>
      </c>
      <c r="P41" s="420">
        <f t="shared" si="4"/>
        <v>0</v>
      </c>
      <c r="Q41" s="420">
        <f t="shared" si="5"/>
        <v>0</v>
      </c>
      <c r="R41" s="420">
        <f t="shared" si="6"/>
        <v>0</v>
      </c>
      <c r="S41" s="420">
        <f t="shared" si="7"/>
        <v>0</v>
      </c>
      <c r="T41" s="420">
        <f t="shared" si="8"/>
        <v>0</v>
      </c>
      <c r="U41" s="420">
        <f t="shared" si="9"/>
        <v>0</v>
      </c>
      <c r="V41" s="420">
        <f t="shared" si="10"/>
        <v>0</v>
      </c>
      <c r="W41" s="420">
        <f t="shared" si="11"/>
        <v>0.4</v>
      </c>
      <c r="X41" s="420">
        <f t="shared" si="12"/>
        <v>0</v>
      </c>
      <c r="Y41" s="420">
        <f t="shared" si="13"/>
        <v>0</v>
      </c>
      <c r="Z41" s="420">
        <f t="shared" si="14"/>
        <v>0</v>
      </c>
      <c r="AA41" s="420">
        <f t="shared" si="15"/>
        <v>0</v>
      </c>
      <c r="AB41" s="420">
        <f t="shared" si="16"/>
        <v>0</v>
      </c>
      <c r="AC41" s="420">
        <f t="shared" si="17"/>
        <v>0</v>
      </c>
      <c r="AD41" s="420">
        <f t="shared" si="18"/>
        <v>0</v>
      </c>
      <c r="AE41" s="420">
        <f t="shared" si="19"/>
        <v>0</v>
      </c>
      <c r="AF41" s="420">
        <f t="shared" si="20"/>
        <v>0</v>
      </c>
      <c r="AG41" s="420">
        <f t="shared" si="21"/>
        <v>0</v>
      </c>
      <c r="AH41" s="420">
        <f t="shared" si="22"/>
        <v>0</v>
      </c>
      <c r="AI41" s="420">
        <f t="shared" si="23"/>
        <v>0</v>
      </c>
      <c r="AJ41" s="421">
        <v>0.69</v>
      </c>
      <c r="AK41" s="421">
        <v>0.62</v>
      </c>
      <c r="AL41" s="421">
        <v>0.56000000000000005</v>
      </c>
      <c r="AM41" s="421">
        <v>0.52</v>
      </c>
      <c r="AN41" s="421">
        <v>0.48</v>
      </c>
      <c r="AO41" s="421">
        <v>0.45</v>
      </c>
      <c r="AP41" s="421">
        <v>0.42</v>
      </c>
      <c r="AQ41" s="421">
        <v>0.4</v>
      </c>
      <c r="AR41" s="421">
        <v>0.37</v>
      </c>
      <c r="AS41" s="421">
        <v>0.35</v>
      </c>
      <c r="AT41" s="421">
        <v>0.33</v>
      </c>
      <c r="AU41" s="421">
        <v>0.31</v>
      </c>
      <c r="AV41" s="421">
        <v>0.28999999999999998</v>
      </c>
      <c r="AW41" s="421">
        <v>0.28000000000000003</v>
      </c>
      <c r="AX41" s="421">
        <v>0.26</v>
      </c>
      <c r="AY41" s="421">
        <v>0.25</v>
      </c>
      <c r="AZ41" s="421">
        <v>0.24</v>
      </c>
      <c r="BA41" s="421">
        <v>0.22</v>
      </c>
      <c r="BB41" s="421">
        <v>0.21</v>
      </c>
      <c r="BC41" s="421">
        <v>0.2</v>
      </c>
      <c r="BD41" s="681">
        <f t="shared" si="24"/>
        <v>0</v>
      </c>
      <c r="BE41" s="417" t="s">
        <v>331</v>
      </c>
      <c r="BF41" s="425">
        <f t="shared" si="25"/>
        <v>0.36</v>
      </c>
      <c r="BG41" s="420">
        <f t="shared" si="26"/>
        <v>0</v>
      </c>
      <c r="BH41" s="420">
        <f t="shared" si="27"/>
        <v>0</v>
      </c>
      <c r="BI41" s="420">
        <f t="shared" si="28"/>
        <v>0</v>
      </c>
      <c r="BJ41" s="420">
        <f t="shared" si="29"/>
        <v>0</v>
      </c>
      <c r="BK41" s="420">
        <f t="shared" si="30"/>
        <v>0</v>
      </c>
      <c r="BL41" s="420">
        <f t="shared" si="31"/>
        <v>0</v>
      </c>
      <c r="BM41" s="420">
        <f t="shared" si="32"/>
        <v>0</v>
      </c>
      <c r="BN41" s="420">
        <f t="shared" si="33"/>
        <v>0.36</v>
      </c>
      <c r="BO41" s="420">
        <f t="shared" si="34"/>
        <v>0</v>
      </c>
      <c r="BP41" s="420">
        <f t="shared" si="35"/>
        <v>0</v>
      </c>
      <c r="BQ41" s="420">
        <f t="shared" si="36"/>
        <v>0</v>
      </c>
      <c r="BR41" s="420">
        <f t="shared" si="37"/>
        <v>0</v>
      </c>
      <c r="BS41" s="420">
        <f t="shared" si="38"/>
        <v>0</v>
      </c>
      <c r="BT41" s="420">
        <f t="shared" si="39"/>
        <v>0</v>
      </c>
      <c r="BU41" s="420">
        <f t="shared" si="40"/>
        <v>0</v>
      </c>
      <c r="BV41" s="420">
        <f t="shared" si="41"/>
        <v>0</v>
      </c>
      <c r="BW41" s="420">
        <f t="shared" si="42"/>
        <v>0</v>
      </c>
      <c r="BX41" s="420">
        <f t="shared" si="43"/>
        <v>0</v>
      </c>
      <c r="BY41" s="420">
        <f t="shared" si="44"/>
        <v>0</v>
      </c>
      <c r="BZ41" s="420">
        <f t="shared" si="45"/>
        <v>0</v>
      </c>
      <c r="CA41" s="421">
        <v>0.67</v>
      </c>
      <c r="CB41" s="421">
        <v>0.59</v>
      </c>
      <c r="CC41" s="421">
        <v>0.54</v>
      </c>
      <c r="CD41" s="421">
        <v>0.49</v>
      </c>
      <c r="CE41" s="421">
        <v>0.45</v>
      </c>
      <c r="CF41" s="421">
        <v>0.42</v>
      </c>
      <c r="CG41" s="421">
        <v>0.39</v>
      </c>
      <c r="CH41" s="421">
        <v>0.36</v>
      </c>
      <c r="CI41" s="421">
        <v>0.34</v>
      </c>
      <c r="CJ41" s="421">
        <v>0.32</v>
      </c>
      <c r="CK41" s="421">
        <v>0.3</v>
      </c>
      <c r="CL41" s="421">
        <v>0.28000000000000003</v>
      </c>
      <c r="CM41" s="421">
        <v>0.26</v>
      </c>
      <c r="CN41" s="421">
        <v>0.24</v>
      </c>
      <c r="CO41" s="421">
        <v>0.23</v>
      </c>
      <c r="CP41" s="421">
        <v>0.21</v>
      </c>
      <c r="CQ41" s="421">
        <v>0.2</v>
      </c>
      <c r="CR41" s="421">
        <v>0.19</v>
      </c>
      <c r="CS41" s="421">
        <v>0.18</v>
      </c>
      <c r="CT41" s="421">
        <v>0.17</v>
      </c>
    </row>
    <row r="42" spans="1:98" ht="13.9" x14ac:dyDescent="0.4">
      <c r="A42" s="26" t="str">
        <f>A6_Machine_Look_Up!A42</f>
        <v>Hooded Sprayer</v>
      </c>
      <c r="B42" s="1302">
        <f>A6_Machine_Look_Up!H42</f>
        <v>120</v>
      </c>
      <c r="C42" s="405">
        <f>A6_Machine_Look_Up!I42</f>
        <v>0.65</v>
      </c>
      <c r="D42" s="468">
        <f>A6_Machine_Look_Up!J42</f>
        <v>8</v>
      </c>
      <c r="E42" s="441">
        <f t="shared" si="0"/>
        <v>0.44</v>
      </c>
      <c r="F42" s="491">
        <f>A6_Machine_Look_Up!K42</f>
        <v>600</v>
      </c>
      <c r="G42" s="492">
        <f>A6_Machine_Look_Up!L42</f>
        <v>8</v>
      </c>
      <c r="H42" s="450">
        <f t="shared" si="1"/>
        <v>0.36</v>
      </c>
      <c r="I42" s="225">
        <f>A6_Machine_Look_Up!G42</f>
        <v>175</v>
      </c>
      <c r="J42" s="578">
        <f>A6_Machine_Look_Up!AG42</f>
        <v>0.41</v>
      </c>
      <c r="K42" s="579">
        <f>A6_Machine_Look_Up!AH42</f>
        <v>1.3</v>
      </c>
      <c r="L42" s="592">
        <f>A6_Machine_Look_Up!AI42</f>
        <v>1.04</v>
      </c>
      <c r="M42" s="677">
        <f t="shared" si="2"/>
        <v>0</v>
      </c>
      <c r="N42" s="447" t="str">
        <f>A6_Machine_Look_Up!AE42</f>
        <v>Sprayer</v>
      </c>
      <c r="O42" s="425">
        <f t="shared" si="3"/>
        <v>0.44</v>
      </c>
      <c r="P42" s="420">
        <f t="shared" si="4"/>
        <v>0</v>
      </c>
      <c r="Q42" s="420">
        <f t="shared" si="5"/>
        <v>0</v>
      </c>
      <c r="R42" s="420">
        <f t="shared" si="6"/>
        <v>0</v>
      </c>
      <c r="S42" s="420">
        <f t="shared" si="7"/>
        <v>0</v>
      </c>
      <c r="T42" s="420">
        <f t="shared" si="8"/>
        <v>0</v>
      </c>
      <c r="U42" s="420">
        <f t="shared" si="9"/>
        <v>0</v>
      </c>
      <c r="V42" s="420">
        <f t="shared" si="10"/>
        <v>0</v>
      </c>
      <c r="W42" s="420">
        <f t="shared" si="11"/>
        <v>0.44</v>
      </c>
      <c r="X42" s="420">
        <f t="shared" si="12"/>
        <v>0</v>
      </c>
      <c r="Y42" s="420">
        <f t="shared" si="13"/>
        <v>0</v>
      </c>
      <c r="Z42" s="420">
        <f t="shared" si="14"/>
        <v>0</v>
      </c>
      <c r="AA42" s="420">
        <f t="shared" si="15"/>
        <v>0</v>
      </c>
      <c r="AB42" s="420">
        <f t="shared" si="16"/>
        <v>0</v>
      </c>
      <c r="AC42" s="420">
        <f t="shared" si="17"/>
        <v>0</v>
      </c>
      <c r="AD42" s="420">
        <f t="shared" si="18"/>
        <v>0</v>
      </c>
      <c r="AE42" s="420">
        <f t="shared" si="19"/>
        <v>0</v>
      </c>
      <c r="AF42" s="420">
        <f t="shared" si="20"/>
        <v>0</v>
      </c>
      <c r="AG42" s="420">
        <f t="shared" si="21"/>
        <v>0</v>
      </c>
      <c r="AH42" s="420">
        <f t="shared" si="22"/>
        <v>0</v>
      </c>
      <c r="AI42" s="420">
        <f t="shared" si="23"/>
        <v>0</v>
      </c>
      <c r="AJ42" s="421">
        <v>0.65</v>
      </c>
      <c r="AK42" s="421">
        <v>0.6</v>
      </c>
      <c r="AL42" s="421">
        <v>0.56000000000000005</v>
      </c>
      <c r="AM42" s="421">
        <v>0.53</v>
      </c>
      <c r="AN42" s="421">
        <v>0.5</v>
      </c>
      <c r="AO42" s="421">
        <v>0.48</v>
      </c>
      <c r="AP42" s="421">
        <v>0.46</v>
      </c>
      <c r="AQ42" s="421">
        <v>0.44</v>
      </c>
      <c r="AR42" s="421">
        <v>0.42</v>
      </c>
      <c r="AS42" s="421">
        <v>0.4</v>
      </c>
      <c r="AT42" s="421">
        <v>0.39</v>
      </c>
      <c r="AU42" s="421">
        <v>0.38</v>
      </c>
      <c r="AV42" s="421">
        <v>0.36</v>
      </c>
      <c r="AW42" s="421">
        <v>0.35</v>
      </c>
      <c r="AX42" s="421">
        <v>0.34</v>
      </c>
      <c r="AY42" s="421">
        <v>0.33</v>
      </c>
      <c r="AZ42" s="421">
        <v>0.32</v>
      </c>
      <c r="BA42" s="421">
        <v>0.3</v>
      </c>
      <c r="BB42" s="421">
        <v>0.28999999999999998</v>
      </c>
      <c r="BC42" s="421">
        <v>0.28999999999999998</v>
      </c>
      <c r="BD42" s="681">
        <f t="shared" si="24"/>
        <v>0</v>
      </c>
      <c r="BE42" s="417" t="s">
        <v>331</v>
      </c>
      <c r="BF42" s="425">
        <f t="shared" si="25"/>
        <v>0.36</v>
      </c>
      <c r="BG42" s="420">
        <f t="shared" si="26"/>
        <v>0</v>
      </c>
      <c r="BH42" s="420">
        <f t="shared" si="27"/>
        <v>0</v>
      </c>
      <c r="BI42" s="420">
        <f t="shared" si="28"/>
        <v>0</v>
      </c>
      <c r="BJ42" s="420">
        <f t="shared" si="29"/>
        <v>0</v>
      </c>
      <c r="BK42" s="420">
        <f t="shared" si="30"/>
        <v>0</v>
      </c>
      <c r="BL42" s="420">
        <f t="shared" si="31"/>
        <v>0</v>
      </c>
      <c r="BM42" s="420">
        <f t="shared" si="32"/>
        <v>0</v>
      </c>
      <c r="BN42" s="420">
        <f t="shared" si="33"/>
        <v>0.36</v>
      </c>
      <c r="BO42" s="420">
        <f t="shared" si="34"/>
        <v>0</v>
      </c>
      <c r="BP42" s="420">
        <f t="shared" si="35"/>
        <v>0</v>
      </c>
      <c r="BQ42" s="420">
        <f t="shared" si="36"/>
        <v>0</v>
      </c>
      <c r="BR42" s="420">
        <f t="shared" si="37"/>
        <v>0</v>
      </c>
      <c r="BS42" s="420">
        <f t="shared" si="38"/>
        <v>0</v>
      </c>
      <c r="BT42" s="420">
        <f t="shared" si="39"/>
        <v>0</v>
      </c>
      <c r="BU42" s="420">
        <f t="shared" si="40"/>
        <v>0</v>
      </c>
      <c r="BV42" s="420">
        <f t="shared" si="41"/>
        <v>0</v>
      </c>
      <c r="BW42" s="420">
        <f t="shared" si="42"/>
        <v>0</v>
      </c>
      <c r="BX42" s="420">
        <f t="shared" si="43"/>
        <v>0</v>
      </c>
      <c r="BY42" s="420">
        <f t="shared" si="44"/>
        <v>0</v>
      </c>
      <c r="BZ42" s="420">
        <f t="shared" si="45"/>
        <v>0</v>
      </c>
      <c r="CA42" s="421">
        <v>0.67</v>
      </c>
      <c r="CB42" s="421">
        <v>0.59</v>
      </c>
      <c r="CC42" s="421">
        <v>0.54</v>
      </c>
      <c r="CD42" s="421">
        <v>0.49</v>
      </c>
      <c r="CE42" s="421">
        <v>0.45</v>
      </c>
      <c r="CF42" s="421">
        <v>0.42</v>
      </c>
      <c r="CG42" s="421">
        <v>0.39</v>
      </c>
      <c r="CH42" s="421">
        <v>0.36</v>
      </c>
      <c r="CI42" s="421">
        <v>0.34</v>
      </c>
      <c r="CJ42" s="421">
        <v>0.32</v>
      </c>
      <c r="CK42" s="421">
        <v>0.3</v>
      </c>
      <c r="CL42" s="421">
        <v>0.28000000000000003</v>
      </c>
      <c r="CM42" s="421">
        <v>0.26</v>
      </c>
      <c r="CN42" s="421">
        <v>0.24</v>
      </c>
      <c r="CO42" s="421">
        <v>0.23</v>
      </c>
      <c r="CP42" s="421">
        <v>0.21</v>
      </c>
      <c r="CQ42" s="421">
        <v>0.2</v>
      </c>
      <c r="CR42" s="421">
        <v>0.19</v>
      </c>
      <c r="CS42" s="421">
        <v>0.18</v>
      </c>
      <c r="CT42" s="421">
        <v>0.17</v>
      </c>
    </row>
    <row r="43" spans="1:98" ht="13.9" x14ac:dyDescent="0.4">
      <c r="A43" s="26" t="str">
        <f>A6_Machine_Look_Up!A43</f>
        <v>Levee Pull</v>
      </c>
      <c r="B43" s="1302">
        <f>A6_Machine_Look_Up!H43</f>
        <v>100</v>
      </c>
      <c r="C43" s="405">
        <f>A6_Machine_Look_Up!I43</f>
        <v>0.25</v>
      </c>
      <c r="D43" s="468">
        <f>A6_Machine_Look_Up!J43</f>
        <v>8</v>
      </c>
      <c r="E43" s="441">
        <f t="shared" si="0"/>
        <v>0.35</v>
      </c>
      <c r="F43" s="491">
        <f>A6_Machine_Look_Up!K43</f>
        <v>600</v>
      </c>
      <c r="G43" s="492">
        <f>A6_Machine_Look_Up!L43</f>
        <v>8</v>
      </c>
      <c r="H43" s="450">
        <f t="shared" ref="H43:H54" si="46">BF43</f>
        <v>0.36</v>
      </c>
      <c r="I43" s="225">
        <f>A6_Machine_Look_Up!G43</f>
        <v>175</v>
      </c>
      <c r="J43" s="578">
        <f>A6_Machine_Look_Up!AG43</f>
        <v>0.28000000000000003</v>
      </c>
      <c r="K43" s="579">
        <f>A6_Machine_Look_Up!AH43</f>
        <v>1.4</v>
      </c>
      <c r="L43" s="592">
        <f>A6_Machine_Look_Up!AI43</f>
        <v>1.04</v>
      </c>
      <c r="M43" s="677">
        <f t="shared" si="2"/>
        <v>0</v>
      </c>
      <c r="N43" s="447" t="str">
        <f>A6_Machine_Look_Up!AE43</f>
        <v>Plows</v>
      </c>
      <c r="O43" s="425">
        <f t="shared" si="3"/>
        <v>0.35</v>
      </c>
      <c r="P43" s="420">
        <f t="shared" si="4"/>
        <v>0</v>
      </c>
      <c r="Q43" s="420">
        <f t="shared" si="5"/>
        <v>0</v>
      </c>
      <c r="R43" s="420">
        <f t="shared" si="6"/>
        <v>0</v>
      </c>
      <c r="S43" s="420">
        <f t="shared" si="7"/>
        <v>0</v>
      </c>
      <c r="T43" s="420">
        <f t="shared" si="8"/>
        <v>0</v>
      </c>
      <c r="U43" s="420">
        <f t="shared" si="9"/>
        <v>0</v>
      </c>
      <c r="V43" s="420">
        <f t="shared" si="10"/>
        <v>0</v>
      </c>
      <c r="W43" s="420">
        <f t="shared" si="11"/>
        <v>0.35</v>
      </c>
      <c r="X43" s="420">
        <f t="shared" si="12"/>
        <v>0</v>
      </c>
      <c r="Y43" s="420">
        <f t="shared" si="13"/>
        <v>0</v>
      </c>
      <c r="Z43" s="420">
        <f t="shared" si="14"/>
        <v>0</v>
      </c>
      <c r="AA43" s="420">
        <f t="shared" si="15"/>
        <v>0</v>
      </c>
      <c r="AB43" s="420">
        <f t="shared" si="16"/>
        <v>0</v>
      </c>
      <c r="AC43" s="420">
        <f t="shared" si="17"/>
        <v>0</v>
      </c>
      <c r="AD43" s="420">
        <f t="shared" si="18"/>
        <v>0</v>
      </c>
      <c r="AE43" s="420">
        <f t="shared" si="19"/>
        <v>0</v>
      </c>
      <c r="AF43" s="420">
        <f t="shared" si="20"/>
        <v>0</v>
      </c>
      <c r="AG43" s="420">
        <f t="shared" si="21"/>
        <v>0</v>
      </c>
      <c r="AH43" s="420">
        <f t="shared" si="22"/>
        <v>0</v>
      </c>
      <c r="AI43" s="420">
        <f t="shared" si="23"/>
        <v>0</v>
      </c>
      <c r="AJ43" s="421">
        <v>0.47</v>
      </c>
      <c r="AK43" s="421">
        <v>0.44</v>
      </c>
      <c r="AL43" s="421">
        <v>0.42</v>
      </c>
      <c r="AM43" s="421">
        <v>0.4</v>
      </c>
      <c r="AN43" s="421">
        <v>0.39</v>
      </c>
      <c r="AO43" s="421">
        <v>0.38</v>
      </c>
      <c r="AP43" s="421">
        <v>0.36</v>
      </c>
      <c r="AQ43" s="421">
        <v>0.35</v>
      </c>
      <c r="AR43" s="421">
        <v>0.34</v>
      </c>
      <c r="AS43" s="421">
        <v>0.33</v>
      </c>
      <c r="AT43" s="421">
        <v>0.32</v>
      </c>
      <c r="AU43" s="421">
        <v>0.32</v>
      </c>
      <c r="AV43" s="421">
        <v>0.31</v>
      </c>
      <c r="AW43" s="421">
        <v>0.3</v>
      </c>
      <c r="AX43" s="421">
        <v>0.28999999999999998</v>
      </c>
      <c r="AY43" s="421">
        <v>0.28999999999999998</v>
      </c>
      <c r="AZ43" s="421">
        <v>0.28000000000000003</v>
      </c>
      <c r="BA43" s="421">
        <v>0.27</v>
      </c>
      <c r="BB43" s="421">
        <v>0.27</v>
      </c>
      <c r="BC43" s="421">
        <v>0.26</v>
      </c>
      <c r="BD43" s="681">
        <f t="shared" ref="BD43:BD54" si="47">IF(OR(G43&lt;1,G43&gt;20),1,0)</f>
        <v>0</v>
      </c>
      <c r="BE43" s="417" t="s">
        <v>331</v>
      </c>
      <c r="BF43" s="425">
        <f t="shared" ref="BF43:BF54" si="48">SUM(BG43:BZ43)</f>
        <v>0.36</v>
      </c>
      <c r="BG43" s="420">
        <f t="shared" ref="BG43:BG54" si="49">IF($G43=1,CA43,0)</f>
        <v>0</v>
      </c>
      <c r="BH43" s="420">
        <f t="shared" ref="BH43:BH54" si="50">IF($G43=2,CB43,0)</f>
        <v>0</v>
      </c>
      <c r="BI43" s="420">
        <f t="shared" ref="BI43:BI54" si="51">IF($G43=3,CC43,0)</f>
        <v>0</v>
      </c>
      <c r="BJ43" s="420">
        <f t="shared" ref="BJ43:BJ54" si="52">IF($G43=4,CD43,0)</f>
        <v>0</v>
      </c>
      <c r="BK43" s="420">
        <f t="shared" ref="BK43:BK54" si="53">IF($G43=5,CE43,0)</f>
        <v>0</v>
      </c>
      <c r="BL43" s="420">
        <f t="shared" ref="BL43:BL54" si="54">IF($G43=6,CF43,0)</f>
        <v>0</v>
      </c>
      <c r="BM43" s="420">
        <f t="shared" ref="BM43:BM54" si="55">IF($G43=7,CG43,0)</f>
        <v>0</v>
      </c>
      <c r="BN43" s="420">
        <f t="shared" ref="BN43:BN54" si="56">IF($G43=8,CH43,0)</f>
        <v>0.36</v>
      </c>
      <c r="BO43" s="420">
        <f t="shared" ref="BO43:BO54" si="57">IF($G43=9,CI43,0)</f>
        <v>0</v>
      </c>
      <c r="BP43" s="420">
        <f t="shared" ref="BP43:BP54" si="58">IF($G43=10,CJ43,0)</f>
        <v>0</v>
      </c>
      <c r="BQ43" s="420">
        <f t="shared" ref="BQ43:BQ54" si="59">IF($G43=11,CK43,0)</f>
        <v>0</v>
      </c>
      <c r="BR43" s="420">
        <f t="shared" ref="BR43:BR54" si="60">IF($G43=12,CL43,0)</f>
        <v>0</v>
      </c>
      <c r="BS43" s="420">
        <f t="shared" ref="BS43:BS54" si="61">IF($G43=13,CM43,0)</f>
        <v>0</v>
      </c>
      <c r="BT43" s="420">
        <f t="shared" ref="BT43:BT54" si="62">IF($G43=14,CN43,0)</f>
        <v>0</v>
      </c>
      <c r="BU43" s="420">
        <f t="shared" ref="BU43:BU54" si="63">IF($G43=15,CO43,0)</f>
        <v>0</v>
      </c>
      <c r="BV43" s="420">
        <f t="shared" ref="BV43:BV54" si="64">IF($G43=16,CP43,0)</f>
        <v>0</v>
      </c>
      <c r="BW43" s="420">
        <f t="shared" ref="BW43:BW54" si="65">IF($G43=17,CQ43,0)</f>
        <v>0</v>
      </c>
      <c r="BX43" s="420">
        <f t="shared" ref="BX43:BX54" si="66">IF($G43=18,CR43,0)</f>
        <v>0</v>
      </c>
      <c r="BY43" s="420">
        <f t="shared" ref="BY43:BY54" si="67">IF($G43=19,CS43,0)</f>
        <v>0</v>
      </c>
      <c r="BZ43" s="420">
        <f t="shared" ref="BZ43:BZ54" si="68">IF($G43=20,CT43,0)</f>
        <v>0</v>
      </c>
      <c r="CA43" s="421">
        <v>0.67</v>
      </c>
      <c r="CB43" s="421">
        <v>0.59</v>
      </c>
      <c r="CC43" s="421">
        <v>0.54</v>
      </c>
      <c r="CD43" s="421">
        <v>0.49</v>
      </c>
      <c r="CE43" s="421">
        <v>0.45</v>
      </c>
      <c r="CF43" s="421">
        <v>0.42</v>
      </c>
      <c r="CG43" s="421">
        <v>0.39</v>
      </c>
      <c r="CH43" s="421">
        <v>0.36</v>
      </c>
      <c r="CI43" s="421">
        <v>0.34</v>
      </c>
      <c r="CJ43" s="421">
        <v>0.32</v>
      </c>
      <c r="CK43" s="421">
        <v>0.3</v>
      </c>
      <c r="CL43" s="421">
        <v>0.28000000000000003</v>
      </c>
      <c r="CM43" s="421">
        <v>0.26</v>
      </c>
      <c r="CN43" s="421">
        <v>0.24</v>
      </c>
      <c r="CO43" s="421">
        <v>0.23</v>
      </c>
      <c r="CP43" s="421">
        <v>0.21</v>
      </c>
      <c r="CQ43" s="421">
        <v>0.2</v>
      </c>
      <c r="CR43" s="421">
        <v>0.19</v>
      </c>
      <c r="CS43" s="421">
        <v>0.18</v>
      </c>
      <c r="CT43" s="421">
        <v>0.17</v>
      </c>
    </row>
    <row r="44" spans="1:98" ht="13.9" x14ac:dyDescent="0.4">
      <c r="A44" s="26" t="str">
        <f>A6_Machine_Look_Up!A44</f>
        <v>Levee Pull, Planter/Incorporate</v>
      </c>
      <c r="B44" s="1302">
        <f>A6_Machine_Look_Up!H44</f>
        <v>100</v>
      </c>
      <c r="C44" s="405">
        <f>A6_Machine_Look_Up!I44</f>
        <v>0.23</v>
      </c>
      <c r="D44" s="468">
        <f>A6_Machine_Look_Up!J44</f>
        <v>8</v>
      </c>
      <c r="E44" s="441">
        <f t="shared" si="0"/>
        <v>0.35</v>
      </c>
      <c r="F44" s="491">
        <f>A6_Machine_Look_Up!K44</f>
        <v>600</v>
      </c>
      <c r="G44" s="492">
        <f>A6_Machine_Look_Up!L44</f>
        <v>8</v>
      </c>
      <c r="H44" s="450">
        <f t="shared" si="46"/>
        <v>0.36</v>
      </c>
      <c r="I44" s="225">
        <f>A6_Machine_Look_Up!G44</f>
        <v>175</v>
      </c>
      <c r="J44" s="578">
        <f>A6_Machine_Look_Up!AG44</f>
        <v>0.28000000000000003</v>
      </c>
      <c r="K44" s="579">
        <f>A6_Machine_Look_Up!AH44</f>
        <v>1.4</v>
      </c>
      <c r="L44" s="592">
        <f>A6_Machine_Look_Up!AI44</f>
        <v>1.04</v>
      </c>
      <c r="M44" s="677">
        <f t="shared" si="2"/>
        <v>0</v>
      </c>
      <c r="N44" s="447" t="str">
        <f>A6_Machine_Look_Up!AE44</f>
        <v>Plows</v>
      </c>
      <c r="O44" s="425">
        <f t="shared" si="3"/>
        <v>0.35</v>
      </c>
      <c r="P44" s="420">
        <f t="shared" si="4"/>
        <v>0</v>
      </c>
      <c r="Q44" s="420">
        <f t="shared" si="5"/>
        <v>0</v>
      </c>
      <c r="R44" s="420">
        <f t="shared" si="6"/>
        <v>0</v>
      </c>
      <c r="S44" s="420">
        <f t="shared" si="7"/>
        <v>0</v>
      </c>
      <c r="T44" s="420">
        <f t="shared" si="8"/>
        <v>0</v>
      </c>
      <c r="U44" s="420">
        <f t="shared" si="9"/>
        <v>0</v>
      </c>
      <c r="V44" s="420">
        <f t="shared" si="10"/>
        <v>0</v>
      </c>
      <c r="W44" s="420">
        <f t="shared" si="11"/>
        <v>0.35</v>
      </c>
      <c r="X44" s="420">
        <f t="shared" si="12"/>
        <v>0</v>
      </c>
      <c r="Y44" s="420">
        <f t="shared" si="13"/>
        <v>0</v>
      </c>
      <c r="Z44" s="420">
        <f t="shared" si="14"/>
        <v>0</v>
      </c>
      <c r="AA44" s="420">
        <f t="shared" si="15"/>
        <v>0</v>
      </c>
      <c r="AB44" s="420">
        <f t="shared" si="16"/>
        <v>0</v>
      </c>
      <c r="AC44" s="420">
        <f t="shared" si="17"/>
        <v>0</v>
      </c>
      <c r="AD44" s="420">
        <f t="shared" si="18"/>
        <v>0</v>
      </c>
      <c r="AE44" s="420">
        <f t="shared" si="19"/>
        <v>0</v>
      </c>
      <c r="AF44" s="420">
        <f t="shared" si="20"/>
        <v>0</v>
      </c>
      <c r="AG44" s="420">
        <f t="shared" si="21"/>
        <v>0</v>
      </c>
      <c r="AH44" s="420">
        <f t="shared" si="22"/>
        <v>0</v>
      </c>
      <c r="AI44" s="420">
        <f t="shared" si="23"/>
        <v>0</v>
      </c>
      <c r="AJ44" s="421">
        <v>0.47</v>
      </c>
      <c r="AK44" s="421">
        <v>0.44</v>
      </c>
      <c r="AL44" s="421">
        <v>0.42</v>
      </c>
      <c r="AM44" s="421">
        <v>0.4</v>
      </c>
      <c r="AN44" s="421">
        <v>0.39</v>
      </c>
      <c r="AO44" s="421">
        <v>0.38</v>
      </c>
      <c r="AP44" s="421">
        <v>0.36</v>
      </c>
      <c r="AQ44" s="421">
        <v>0.35</v>
      </c>
      <c r="AR44" s="421">
        <v>0.34</v>
      </c>
      <c r="AS44" s="421">
        <v>0.33</v>
      </c>
      <c r="AT44" s="421">
        <v>0.32</v>
      </c>
      <c r="AU44" s="421">
        <v>0.32</v>
      </c>
      <c r="AV44" s="421">
        <v>0.31</v>
      </c>
      <c r="AW44" s="421">
        <v>0.3</v>
      </c>
      <c r="AX44" s="421">
        <v>0.28999999999999998</v>
      </c>
      <c r="AY44" s="421">
        <v>0.28999999999999998</v>
      </c>
      <c r="AZ44" s="421">
        <v>0.28000000000000003</v>
      </c>
      <c r="BA44" s="421">
        <v>0.27</v>
      </c>
      <c r="BB44" s="421">
        <v>0.27</v>
      </c>
      <c r="BC44" s="421">
        <v>0.26</v>
      </c>
      <c r="BD44" s="681">
        <f t="shared" si="47"/>
        <v>0</v>
      </c>
      <c r="BE44" s="417" t="s">
        <v>331</v>
      </c>
      <c r="BF44" s="425">
        <f t="shared" si="48"/>
        <v>0.36</v>
      </c>
      <c r="BG44" s="420">
        <f t="shared" si="49"/>
        <v>0</v>
      </c>
      <c r="BH44" s="420">
        <f t="shared" si="50"/>
        <v>0</v>
      </c>
      <c r="BI44" s="420">
        <f t="shared" si="51"/>
        <v>0</v>
      </c>
      <c r="BJ44" s="420">
        <f t="shared" si="52"/>
        <v>0</v>
      </c>
      <c r="BK44" s="420">
        <f t="shared" si="53"/>
        <v>0</v>
      </c>
      <c r="BL44" s="420">
        <f t="shared" si="54"/>
        <v>0</v>
      </c>
      <c r="BM44" s="420">
        <f t="shared" si="55"/>
        <v>0</v>
      </c>
      <c r="BN44" s="420">
        <f t="shared" si="56"/>
        <v>0.36</v>
      </c>
      <c r="BO44" s="420">
        <f t="shared" si="57"/>
        <v>0</v>
      </c>
      <c r="BP44" s="420">
        <f t="shared" si="58"/>
        <v>0</v>
      </c>
      <c r="BQ44" s="420">
        <f t="shared" si="59"/>
        <v>0</v>
      </c>
      <c r="BR44" s="420">
        <f t="shared" si="60"/>
        <v>0</v>
      </c>
      <c r="BS44" s="420">
        <f t="shared" si="61"/>
        <v>0</v>
      </c>
      <c r="BT44" s="420">
        <f t="shared" si="62"/>
        <v>0</v>
      </c>
      <c r="BU44" s="420">
        <f t="shared" si="63"/>
        <v>0</v>
      </c>
      <c r="BV44" s="420">
        <f t="shared" si="64"/>
        <v>0</v>
      </c>
      <c r="BW44" s="420">
        <f t="shared" si="65"/>
        <v>0</v>
      </c>
      <c r="BX44" s="420">
        <f t="shared" si="66"/>
        <v>0</v>
      </c>
      <c r="BY44" s="420">
        <f t="shared" si="67"/>
        <v>0</v>
      </c>
      <c r="BZ44" s="420">
        <f t="shared" si="68"/>
        <v>0</v>
      </c>
      <c r="CA44" s="421">
        <v>0.67</v>
      </c>
      <c r="CB44" s="421">
        <v>0.59</v>
      </c>
      <c r="CC44" s="421">
        <v>0.54</v>
      </c>
      <c r="CD44" s="421">
        <v>0.49</v>
      </c>
      <c r="CE44" s="421">
        <v>0.45</v>
      </c>
      <c r="CF44" s="421">
        <v>0.42</v>
      </c>
      <c r="CG44" s="421">
        <v>0.39</v>
      </c>
      <c r="CH44" s="421">
        <v>0.36</v>
      </c>
      <c r="CI44" s="421">
        <v>0.34</v>
      </c>
      <c r="CJ44" s="421">
        <v>0.32</v>
      </c>
      <c r="CK44" s="421">
        <v>0.3</v>
      </c>
      <c r="CL44" s="421">
        <v>0.28000000000000003</v>
      </c>
      <c r="CM44" s="421">
        <v>0.26</v>
      </c>
      <c r="CN44" s="421">
        <v>0.24</v>
      </c>
      <c r="CO44" s="421">
        <v>0.23</v>
      </c>
      <c r="CP44" s="421">
        <v>0.21</v>
      </c>
      <c r="CQ44" s="421">
        <v>0.2</v>
      </c>
      <c r="CR44" s="421">
        <v>0.19</v>
      </c>
      <c r="CS44" s="421">
        <v>0.18</v>
      </c>
      <c r="CT44" s="421">
        <v>0.17</v>
      </c>
    </row>
    <row r="45" spans="1:98" ht="13.9" x14ac:dyDescent="0.4">
      <c r="A45" s="26" t="str">
        <f>A6_Machine_Look_Up!A45</f>
        <v>Levee Roller-Packer-Shaper</v>
      </c>
      <c r="B45" s="1302">
        <f>A6_Machine_Look_Up!H45</f>
        <v>100</v>
      </c>
      <c r="C45" s="405">
        <f>A6_Machine_Look_Up!I45</f>
        <v>0.5</v>
      </c>
      <c r="D45" s="468">
        <f>A6_Machine_Look_Up!J45</f>
        <v>8</v>
      </c>
      <c r="E45" s="441">
        <f t="shared" si="0"/>
        <v>0.35</v>
      </c>
      <c r="F45" s="491">
        <f>A6_Machine_Look_Up!K45</f>
        <v>600</v>
      </c>
      <c r="G45" s="492">
        <f>A6_Machine_Look_Up!L45</f>
        <v>8</v>
      </c>
      <c r="H45" s="450">
        <f t="shared" si="46"/>
        <v>0.36</v>
      </c>
      <c r="I45" s="225">
        <f>A6_Machine_Look_Up!G45</f>
        <v>175</v>
      </c>
      <c r="J45" s="578">
        <f>A6_Machine_Look_Up!AG45</f>
        <v>0.28000000000000003</v>
      </c>
      <c r="K45" s="579">
        <f>A6_Machine_Look_Up!AH45</f>
        <v>1.4</v>
      </c>
      <c r="L45" s="592">
        <f>A6_Machine_Look_Up!AI45</f>
        <v>1.04</v>
      </c>
      <c r="M45" s="677">
        <f t="shared" si="2"/>
        <v>0</v>
      </c>
      <c r="N45" s="447" t="str">
        <f>A6_Machine_Look_Up!AE45</f>
        <v>Plows</v>
      </c>
      <c r="O45" s="425">
        <f t="shared" si="3"/>
        <v>0.35</v>
      </c>
      <c r="P45" s="420">
        <f t="shared" si="4"/>
        <v>0</v>
      </c>
      <c r="Q45" s="420">
        <f t="shared" si="5"/>
        <v>0</v>
      </c>
      <c r="R45" s="420">
        <f t="shared" si="6"/>
        <v>0</v>
      </c>
      <c r="S45" s="420">
        <f t="shared" si="7"/>
        <v>0</v>
      </c>
      <c r="T45" s="420">
        <f t="shared" si="8"/>
        <v>0</v>
      </c>
      <c r="U45" s="420">
        <f t="shared" si="9"/>
        <v>0</v>
      </c>
      <c r="V45" s="420">
        <f t="shared" si="10"/>
        <v>0</v>
      </c>
      <c r="W45" s="420">
        <f t="shared" si="11"/>
        <v>0.35</v>
      </c>
      <c r="X45" s="420">
        <f t="shared" si="12"/>
        <v>0</v>
      </c>
      <c r="Y45" s="420">
        <f t="shared" si="13"/>
        <v>0</v>
      </c>
      <c r="Z45" s="420">
        <f t="shared" si="14"/>
        <v>0</v>
      </c>
      <c r="AA45" s="420">
        <f t="shared" si="15"/>
        <v>0</v>
      </c>
      <c r="AB45" s="420">
        <f t="shared" si="16"/>
        <v>0</v>
      </c>
      <c r="AC45" s="420">
        <f t="shared" si="17"/>
        <v>0</v>
      </c>
      <c r="AD45" s="420">
        <f t="shared" si="18"/>
        <v>0</v>
      </c>
      <c r="AE45" s="420">
        <f t="shared" si="19"/>
        <v>0</v>
      </c>
      <c r="AF45" s="420">
        <f t="shared" si="20"/>
        <v>0</v>
      </c>
      <c r="AG45" s="420">
        <f t="shared" si="21"/>
        <v>0</v>
      </c>
      <c r="AH45" s="420">
        <f t="shared" si="22"/>
        <v>0</v>
      </c>
      <c r="AI45" s="420">
        <f t="shared" si="23"/>
        <v>0</v>
      </c>
      <c r="AJ45" s="421">
        <v>0.47</v>
      </c>
      <c r="AK45" s="421">
        <v>0.44</v>
      </c>
      <c r="AL45" s="421">
        <v>0.42</v>
      </c>
      <c r="AM45" s="421">
        <v>0.4</v>
      </c>
      <c r="AN45" s="421">
        <v>0.39</v>
      </c>
      <c r="AO45" s="421">
        <v>0.38</v>
      </c>
      <c r="AP45" s="421">
        <v>0.36</v>
      </c>
      <c r="AQ45" s="421">
        <v>0.35</v>
      </c>
      <c r="AR45" s="421">
        <v>0.34</v>
      </c>
      <c r="AS45" s="421">
        <v>0.33</v>
      </c>
      <c r="AT45" s="421">
        <v>0.32</v>
      </c>
      <c r="AU45" s="421">
        <v>0.32</v>
      </c>
      <c r="AV45" s="421">
        <v>0.31</v>
      </c>
      <c r="AW45" s="421">
        <v>0.3</v>
      </c>
      <c r="AX45" s="421">
        <v>0.28999999999999998</v>
      </c>
      <c r="AY45" s="421">
        <v>0.28999999999999998</v>
      </c>
      <c r="AZ45" s="421">
        <v>0.28000000000000003</v>
      </c>
      <c r="BA45" s="421">
        <v>0.27</v>
      </c>
      <c r="BB45" s="421">
        <v>0.27</v>
      </c>
      <c r="BC45" s="421">
        <v>0.26</v>
      </c>
      <c r="BD45" s="681">
        <f t="shared" si="47"/>
        <v>0</v>
      </c>
      <c r="BE45" s="417" t="s">
        <v>331</v>
      </c>
      <c r="BF45" s="425">
        <f t="shared" si="48"/>
        <v>0.36</v>
      </c>
      <c r="BG45" s="420">
        <f t="shared" si="49"/>
        <v>0</v>
      </c>
      <c r="BH45" s="420">
        <f t="shared" si="50"/>
        <v>0</v>
      </c>
      <c r="BI45" s="420">
        <f t="shared" si="51"/>
        <v>0</v>
      </c>
      <c r="BJ45" s="420">
        <f t="shared" si="52"/>
        <v>0</v>
      </c>
      <c r="BK45" s="420">
        <f t="shared" si="53"/>
        <v>0</v>
      </c>
      <c r="BL45" s="420">
        <f t="shared" si="54"/>
        <v>0</v>
      </c>
      <c r="BM45" s="420">
        <f t="shared" si="55"/>
        <v>0</v>
      </c>
      <c r="BN45" s="420">
        <f t="shared" si="56"/>
        <v>0.36</v>
      </c>
      <c r="BO45" s="420">
        <f t="shared" si="57"/>
        <v>0</v>
      </c>
      <c r="BP45" s="420">
        <f t="shared" si="58"/>
        <v>0</v>
      </c>
      <c r="BQ45" s="420">
        <f t="shared" si="59"/>
        <v>0</v>
      </c>
      <c r="BR45" s="420">
        <f t="shared" si="60"/>
        <v>0</v>
      </c>
      <c r="BS45" s="420">
        <f t="shared" si="61"/>
        <v>0</v>
      </c>
      <c r="BT45" s="420">
        <f t="shared" si="62"/>
        <v>0</v>
      </c>
      <c r="BU45" s="420">
        <f t="shared" si="63"/>
        <v>0</v>
      </c>
      <c r="BV45" s="420">
        <f t="shared" si="64"/>
        <v>0</v>
      </c>
      <c r="BW45" s="420">
        <f t="shared" si="65"/>
        <v>0</v>
      </c>
      <c r="BX45" s="420">
        <f t="shared" si="66"/>
        <v>0</v>
      </c>
      <c r="BY45" s="420">
        <f t="shared" si="67"/>
        <v>0</v>
      </c>
      <c r="BZ45" s="420">
        <f t="shared" si="68"/>
        <v>0</v>
      </c>
      <c r="CA45" s="421">
        <v>0.67</v>
      </c>
      <c r="CB45" s="421">
        <v>0.59</v>
      </c>
      <c r="CC45" s="421">
        <v>0.54</v>
      </c>
      <c r="CD45" s="421">
        <v>0.49</v>
      </c>
      <c r="CE45" s="421">
        <v>0.45</v>
      </c>
      <c r="CF45" s="421">
        <v>0.42</v>
      </c>
      <c r="CG45" s="421">
        <v>0.39</v>
      </c>
      <c r="CH45" s="421">
        <v>0.36</v>
      </c>
      <c r="CI45" s="421">
        <v>0.34</v>
      </c>
      <c r="CJ45" s="421">
        <v>0.32</v>
      </c>
      <c r="CK45" s="421">
        <v>0.3</v>
      </c>
      <c r="CL45" s="421">
        <v>0.28000000000000003</v>
      </c>
      <c r="CM45" s="421">
        <v>0.26</v>
      </c>
      <c r="CN45" s="421">
        <v>0.24</v>
      </c>
      <c r="CO45" s="421">
        <v>0.23</v>
      </c>
      <c r="CP45" s="421">
        <v>0.21</v>
      </c>
      <c r="CQ45" s="421">
        <v>0.2</v>
      </c>
      <c r="CR45" s="421">
        <v>0.19</v>
      </c>
      <c r="CS45" s="421">
        <v>0.18</v>
      </c>
      <c r="CT45" s="421">
        <v>0.17</v>
      </c>
    </row>
    <row r="46" spans="1:98" ht="13.9" x14ac:dyDescent="0.4">
      <c r="A46" s="26" t="str">
        <f>A6_Machine_Look_Up!A46</f>
        <v>Install Gates &amp; Remove</v>
      </c>
      <c r="B46" s="1302">
        <f>A6_Machine_Look_Up!H46</f>
        <v>100</v>
      </c>
      <c r="C46" s="405">
        <f>A6_Machine_Look_Up!I46</f>
        <v>0.25</v>
      </c>
      <c r="D46" s="468">
        <f>A6_Machine_Look_Up!J46</f>
        <v>8</v>
      </c>
      <c r="E46" s="441">
        <f t="shared" si="0"/>
        <v>0.35</v>
      </c>
      <c r="F46" s="491">
        <f>A6_Machine_Look_Up!K46</f>
        <v>600</v>
      </c>
      <c r="G46" s="492">
        <f>A6_Machine_Look_Up!L46</f>
        <v>8</v>
      </c>
      <c r="H46" s="450">
        <f t="shared" si="46"/>
        <v>0.36</v>
      </c>
      <c r="I46" s="225">
        <f>A6_Machine_Look_Up!G46</f>
        <v>175</v>
      </c>
      <c r="J46" s="578">
        <f>A6_Machine_Look_Up!AG46</f>
        <v>0.18</v>
      </c>
      <c r="K46" s="579">
        <f>A6_Machine_Look_Up!AH46</f>
        <v>1.7</v>
      </c>
      <c r="L46" s="592">
        <f>A6_Machine_Look_Up!AI46</f>
        <v>3.12</v>
      </c>
      <c r="M46" s="677">
        <f t="shared" si="2"/>
        <v>0</v>
      </c>
      <c r="N46" s="447" t="str">
        <f>A6_Machine_Look_Up!AE46</f>
        <v>Plows</v>
      </c>
      <c r="O46" s="425">
        <f t="shared" si="3"/>
        <v>0.35</v>
      </c>
      <c r="P46" s="420">
        <f t="shared" si="4"/>
        <v>0</v>
      </c>
      <c r="Q46" s="420">
        <f t="shared" si="5"/>
        <v>0</v>
      </c>
      <c r="R46" s="420">
        <f t="shared" si="6"/>
        <v>0</v>
      </c>
      <c r="S46" s="420">
        <f t="shared" si="7"/>
        <v>0</v>
      </c>
      <c r="T46" s="420">
        <f t="shared" si="8"/>
        <v>0</v>
      </c>
      <c r="U46" s="420">
        <f t="shared" si="9"/>
        <v>0</v>
      </c>
      <c r="V46" s="420">
        <f t="shared" si="10"/>
        <v>0</v>
      </c>
      <c r="W46" s="420">
        <f t="shared" si="11"/>
        <v>0.35</v>
      </c>
      <c r="X46" s="420">
        <f t="shared" si="12"/>
        <v>0</v>
      </c>
      <c r="Y46" s="420">
        <f t="shared" si="13"/>
        <v>0</v>
      </c>
      <c r="Z46" s="420">
        <f t="shared" si="14"/>
        <v>0</v>
      </c>
      <c r="AA46" s="420">
        <f t="shared" si="15"/>
        <v>0</v>
      </c>
      <c r="AB46" s="420">
        <f t="shared" si="16"/>
        <v>0</v>
      </c>
      <c r="AC46" s="420">
        <f t="shared" si="17"/>
        <v>0</v>
      </c>
      <c r="AD46" s="420">
        <f t="shared" si="18"/>
        <v>0</v>
      </c>
      <c r="AE46" s="420">
        <f t="shared" si="19"/>
        <v>0</v>
      </c>
      <c r="AF46" s="420">
        <f t="shared" si="20"/>
        <v>0</v>
      </c>
      <c r="AG46" s="420">
        <f t="shared" si="21"/>
        <v>0</v>
      </c>
      <c r="AH46" s="420">
        <f t="shared" si="22"/>
        <v>0</v>
      </c>
      <c r="AI46" s="420">
        <f t="shared" si="23"/>
        <v>0</v>
      </c>
      <c r="AJ46" s="421">
        <v>0.47</v>
      </c>
      <c r="AK46" s="421">
        <v>0.44</v>
      </c>
      <c r="AL46" s="421">
        <v>0.42</v>
      </c>
      <c r="AM46" s="421">
        <v>0.4</v>
      </c>
      <c r="AN46" s="421">
        <v>0.39</v>
      </c>
      <c r="AO46" s="421">
        <v>0.38</v>
      </c>
      <c r="AP46" s="421">
        <v>0.36</v>
      </c>
      <c r="AQ46" s="421">
        <v>0.35</v>
      </c>
      <c r="AR46" s="421">
        <v>0.34</v>
      </c>
      <c r="AS46" s="421">
        <v>0.33</v>
      </c>
      <c r="AT46" s="421">
        <v>0.32</v>
      </c>
      <c r="AU46" s="421">
        <v>0.32</v>
      </c>
      <c r="AV46" s="421">
        <v>0.31</v>
      </c>
      <c r="AW46" s="421">
        <v>0.3</v>
      </c>
      <c r="AX46" s="421">
        <v>0.28999999999999998</v>
      </c>
      <c r="AY46" s="421">
        <v>0.28999999999999998</v>
      </c>
      <c r="AZ46" s="421">
        <v>0.28000000000000003</v>
      </c>
      <c r="BA46" s="421">
        <v>0.27</v>
      </c>
      <c r="BB46" s="421">
        <v>0.27</v>
      </c>
      <c r="BC46" s="421">
        <v>0.26</v>
      </c>
      <c r="BD46" s="681">
        <f t="shared" si="47"/>
        <v>0</v>
      </c>
      <c r="BE46" s="417" t="s">
        <v>331</v>
      </c>
      <c r="BF46" s="425">
        <f t="shared" si="48"/>
        <v>0.36</v>
      </c>
      <c r="BG46" s="420">
        <f t="shared" si="49"/>
        <v>0</v>
      </c>
      <c r="BH46" s="420">
        <f t="shared" si="50"/>
        <v>0</v>
      </c>
      <c r="BI46" s="420">
        <f t="shared" si="51"/>
        <v>0</v>
      </c>
      <c r="BJ46" s="420">
        <f t="shared" si="52"/>
        <v>0</v>
      </c>
      <c r="BK46" s="420">
        <f t="shared" si="53"/>
        <v>0</v>
      </c>
      <c r="BL46" s="420">
        <f t="shared" si="54"/>
        <v>0</v>
      </c>
      <c r="BM46" s="420">
        <f t="shared" si="55"/>
        <v>0</v>
      </c>
      <c r="BN46" s="420">
        <f t="shared" si="56"/>
        <v>0.36</v>
      </c>
      <c r="BO46" s="420">
        <f t="shared" si="57"/>
        <v>0</v>
      </c>
      <c r="BP46" s="420">
        <f t="shared" si="58"/>
        <v>0</v>
      </c>
      <c r="BQ46" s="420">
        <f t="shared" si="59"/>
        <v>0</v>
      </c>
      <c r="BR46" s="420">
        <f t="shared" si="60"/>
        <v>0</v>
      </c>
      <c r="BS46" s="420">
        <f t="shared" si="61"/>
        <v>0</v>
      </c>
      <c r="BT46" s="420">
        <f t="shared" si="62"/>
        <v>0</v>
      </c>
      <c r="BU46" s="420">
        <f t="shared" si="63"/>
        <v>0</v>
      </c>
      <c r="BV46" s="420">
        <f t="shared" si="64"/>
        <v>0</v>
      </c>
      <c r="BW46" s="420">
        <f t="shared" si="65"/>
        <v>0</v>
      </c>
      <c r="BX46" s="420">
        <f t="shared" si="66"/>
        <v>0</v>
      </c>
      <c r="BY46" s="420">
        <f t="shared" si="67"/>
        <v>0</v>
      </c>
      <c r="BZ46" s="420">
        <f t="shared" si="68"/>
        <v>0</v>
      </c>
      <c r="CA46" s="421">
        <v>0.67</v>
      </c>
      <c r="CB46" s="421">
        <v>0.59</v>
      </c>
      <c r="CC46" s="421">
        <v>0.54</v>
      </c>
      <c r="CD46" s="421">
        <v>0.49</v>
      </c>
      <c r="CE46" s="421">
        <v>0.45</v>
      </c>
      <c r="CF46" s="421">
        <v>0.42</v>
      </c>
      <c r="CG46" s="421">
        <v>0.39</v>
      </c>
      <c r="CH46" s="421">
        <v>0.36</v>
      </c>
      <c r="CI46" s="421">
        <v>0.34</v>
      </c>
      <c r="CJ46" s="421">
        <v>0.32</v>
      </c>
      <c r="CK46" s="421">
        <v>0.3</v>
      </c>
      <c r="CL46" s="421">
        <v>0.28000000000000003</v>
      </c>
      <c r="CM46" s="421">
        <v>0.26</v>
      </c>
      <c r="CN46" s="421">
        <v>0.24</v>
      </c>
      <c r="CO46" s="421">
        <v>0.23</v>
      </c>
      <c r="CP46" s="421">
        <v>0.21</v>
      </c>
      <c r="CQ46" s="421">
        <v>0.2</v>
      </c>
      <c r="CR46" s="421">
        <v>0.19</v>
      </c>
      <c r="CS46" s="421">
        <v>0.18</v>
      </c>
      <c r="CT46" s="421">
        <v>0.17</v>
      </c>
    </row>
    <row r="47" spans="1:98" ht="13.9" x14ac:dyDescent="0.4">
      <c r="A47" s="26" t="str">
        <f>A6_Machine_Look_Up!A47</f>
        <v>Take Down Levees</v>
      </c>
      <c r="B47" s="1302">
        <f>A6_Machine_Look_Up!H47</f>
        <v>100</v>
      </c>
      <c r="C47" s="405">
        <f>A6_Machine_Look_Up!I47</f>
        <v>0.25</v>
      </c>
      <c r="D47" s="468">
        <f>A6_Machine_Look_Up!J47</f>
        <v>8</v>
      </c>
      <c r="E47" s="441">
        <f t="shared" si="0"/>
        <v>0.35</v>
      </c>
      <c r="F47" s="491">
        <f>A6_Machine_Look_Up!K47</f>
        <v>600</v>
      </c>
      <c r="G47" s="492">
        <f>A6_Machine_Look_Up!L47</f>
        <v>8</v>
      </c>
      <c r="H47" s="450">
        <f t="shared" si="46"/>
        <v>0.36</v>
      </c>
      <c r="I47" s="225">
        <f>A6_Machine_Look_Up!G47</f>
        <v>175</v>
      </c>
      <c r="J47" s="578">
        <f>A6_Machine_Look_Up!AG47</f>
        <v>0.28000000000000003</v>
      </c>
      <c r="K47" s="579">
        <f>A6_Machine_Look_Up!AH47</f>
        <v>1.4</v>
      </c>
      <c r="L47" s="592">
        <f>A6_Machine_Look_Up!AI47</f>
        <v>1.04</v>
      </c>
      <c r="M47" s="677">
        <f t="shared" si="2"/>
        <v>0</v>
      </c>
      <c r="N47" s="447" t="str">
        <f>A6_Machine_Look_Up!AE47</f>
        <v>Plows</v>
      </c>
      <c r="O47" s="425">
        <f t="shared" si="3"/>
        <v>0.35</v>
      </c>
      <c r="P47" s="420">
        <f t="shared" si="4"/>
        <v>0</v>
      </c>
      <c r="Q47" s="420">
        <f t="shared" si="5"/>
        <v>0</v>
      </c>
      <c r="R47" s="420">
        <f t="shared" si="6"/>
        <v>0</v>
      </c>
      <c r="S47" s="420">
        <f t="shared" si="7"/>
        <v>0</v>
      </c>
      <c r="T47" s="420">
        <f t="shared" si="8"/>
        <v>0</v>
      </c>
      <c r="U47" s="420">
        <f t="shared" si="9"/>
        <v>0</v>
      </c>
      <c r="V47" s="420">
        <f t="shared" si="10"/>
        <v>0</v>
      </c>
      <c r="W47" s="420">
        <f t="shared" si="11"/>
        <v>0.35</v>
      </c>
      <c r="X47" s="420">
        <f t="shared" si="12"/>
        <v>0</v>
      </c>
      <c r="Y47" s="420">
        <f t="shared" si="13"/>
        <v>0</v>
      </c>
      <c r="Z47" s="420">
        <f t="shared" si="14"/>
        <v>0</v>
      </c>
      <c r="AA47" s="420">
        <f t="shared" si="15"/>
        <v>0</v>
      </c>
      <c r="AB47" s="420">
        <f t="shared" si="16"/>
        <v>0</v>
      </c>
      <c r="AC47" s="420">
        <f t="shared" si="17"/>
        <v>0</v>
      </c>
      <c r="AD47" s="420">
        <f t="shared" si="18"/>
        <v>0</v>
      </c>
      <c r="AE47" s="420">
        <f t="shared" si="19"/>
        <v>0</v>
      </c>
      <c r="AF47" s="420">
        <f t="shared" si="20"/>
        <v>0</v>
      </c>
      <c r="AG47" s="420">
        <f t="shared" si="21"/>
        <v>0</v>
      </c>
      <c r="AH47" s="420">
        <f t="shared" si="22"/>
        <v>0</v>
      </c>
      <c r="AI47" s="420">
        <f t="shared" si="23"/>
        <v>0</v>
      </c>
      <c r="AJ47" s="421">
        <v>0.47</v>
      </c>
      <c r="AK47" s="421">
        <v>0.44</v>
      </c>
      <c r="AL47" s="421">
        <v>0.42</v>
      </c>
      <c r="AM47" s="421">
        <v>0.4</v>
      </c>
      <c r="AN47" s="421">
        <v>0.39</v>
      </c>
      <c r="AO47" s="421">
        <v>0.38</v>
      </c>
      <c r="AP47" s="421">
        <v>0.36</v>
      </c>
      <c r="AQ47" s="421">
        <v>0.35</v>
      </c>
      <c r="AR47" s="421">
        <v>0.34</v>
      </c>
      <c r="AS47" s="421">
        <v>0.33</v>
      </c>
      <c r="AT47" s="421">
        <v>0.32</v>
      </c>
      <c r="AU47" s="421">
        <v>0.32</v>
      </c>
      <c r="AV47" s="421">
        <v>0.31</v>
      </c>
      <c r="AW47" s="421">
        <v>0.3</v>
      </c>
      <c r="AX47" s="421">
        <v>0.28999999999999998</v>
      </c>
      <c r="AY47" s="421">
        <v>0.28999999999999998</v>
      </c>
      <c r="AZ47" s="421">
        <v>0.28000000000000003</v>
      </c>
      <c r="BA47" s="421">
        <v>0.27</v>
      </c>
      <c r="BB47" s="421">
        <v>0.27</v>
      </c>
      <c r="BC47" s="421">
        <v>0.26</v>
      </c>
      <c r="BD47" s="681">
        <f t="shared" si="47"/>
        <v>0</v>
      </c>
      <c r="BE47" s="417" t="s">
        <v>331</v>
      </c>
      <c r="BF47" s="425">
        <f t="shared" si="48"/>
        <v>0.36</v>
      </c>
      <c r="BG47" s="420">
        <f t="shared" si="49"/>
        <v>0</v>
      </c>
      <c r="BH47" s="420">
        <f t="shared" si="50"/>
        <v>0</v>
      </c>
      <c r="BI47" s="420">
        <f t="shared" si="51"/>
        <v>0</v>
      </c>
      <c r="BJ47" s="420">
        <f t="shared" si="52"/>
        <v>0</v>
      </c>
      <c r="BK47" s="420">
        <f t="shared" si="53"/>
        <v>0</v>
      </c>
      <c r="BL47" s="420">
        <f t="shared" si="54"/>
        <v>0</v>
      </c>
      <c r="BM47" s="420">
        <f t="shared" si="55"/>
        <v>0</v>
      </c>
      <c r="BN47" s="420">
        <f t="shared" si="56"/>
        <v>0.36</v>
      </c>
      <c r="BO47" s="420">
        <f t="shared" si="57"/>
        <v>0</v>
      </c>
      <c r="BP47" s="420">
        <f t="shared" si="58"/>
        <v>0</v>
      </c>
      <c r="BQ47" s="420">
        <f t="shared" si="59"/>
        <v>0</v>
      </c>
      <c r="BR47" s="420">
        <f t="shared" si="60"/>
        <v>0</v>
      </c>
      <c r="BS47" s="420">
        <f t="shared" si="61"/>
        <v>0</v>
      </c>
      <c r="BT47" s="420">
        <f t="shared" si="62"/>
        <v>0</v>
      </c>
      <c r="BU47" s="420">
        <f t="shared" si="63"/>
        <v>0</v>
      </c>
      <c r="BV47" s="420">
        <f t="shared" si="64"/>
        <v>0</v>
      </c>
      <c r="BW47" s="420">
        <f t="shared" si="65"/>
        <v>0</v>
      </c>
      <c r="BX47" s="420">
        <f t="shared" si="66"/>
        <v>0</v>
      </c>
      <c r="BY47" s="420">
        <f t="shared" si="67"/>
        <v>0</v>
      </c>
      <c r="BZ47" s="420">
        <f t="shared" si="68"/>
        <v>0</v>
      </c>
      <c r="CA47" s="421">
        <v>0.67</v>
      </c>
      <c r="CB47" s="421">
        <v>0.59</v>
      </c>
      <c r="CC47" s="421">
        <v>0.54</v>
      </c>
      <c r="CD47" s="421">
        <v>0.49</v>
      </c>
      <c r="CE47" s="421">
        <v>0.45</v>
      </c>
      <c r="CF47" s="421">
        <v>0.42</v>
      </c>
      <c r="CG47" s="421">
        <v>0.39</v>
      </c>
      <c r="CH47" s="421">
        <v>0.36</v>
      </c>
      <c r="CI47" s="421">
        <v>0.34</v>
      </c>
      <c r="CJ47" s="421">
        <v>0.32</v>
      </c>
      <c r="CK47" s="421">
        <v>0.3</v>
      </c>
      <c r="CL47" s="421">
        <v>0.28000000000000003</v>
      </c>
      <c r="CM47" s="421">
        <v>0.26</v>
      </c>
      <c r="CN47" s="421">
        <v>0.24</v>
      </c>
      <c r="CO47" s="421">
        <v>0.23</v>
      </c>
      <c r="CP47" s="421">
        <v>0.21</v>
      </c>
      <c r="CQ47" s="421">
        <v>0.2</v>
      </c>
      <c r="CR47" s="421">
        <v>0.19</v>
      </c>
      <c r="CS47" s="421">
        <v>0.18</v>
      </c>
      <c r="CT47" s="421">
        <v>0.17</v>
      </c>
    </row>
    <row r="48" spans="1:98" ht="13.9" x14ac:dyDescent="0.4">
      <c r="A48" s="26" t="str">
        <f>A6_Machine_Look_Up!A48</f>
        <v>Peanut Digger/Inverter</v>
      </c>
      <c r="B48" s="1302">
        <f>A6_Machine_Look_Up!H48</f>
        <v>200</v>
      </c>
      <c r="C48" s="405">
        <f>A6_Machine_Look_Up!I48</f>
        <v>0.65</v>
      </c>
      <c r="D48" s="468">
        <f>A6_Machine_Look_Up!J48</f>
        <v>8</v>
      </c>
      <c r="E48" s="441">
        <f>O48</f>
        <v>0.35</v>
      </c>
      <c r="F48" s="491">
        <f>A6_Machine_Look_Up!K48</f>
        <v>600</v>
      </c>
      <c r="G48" s="492">
        <f>A6_Machine_Look_Up!L48</f>
        <v>8</v>
      </c>
      <c r="H48" s="450">
        <f>BF48</f>
        <v>0.36</v>
      </c>
      <c r="I48" s="225">
        <f>A6_Machine_Look_Up!G48</f>
        <v>195</v>
      </c>
      <c r="J48" s="578">
        <f>A6_Machine_Look_Up!AG48</f>
        <v>0.28000000000000003</v>
      </c>
      <c r="K48" s="579">
        <f>A6_Machine_Look_Up!AH48</f>
        <v>1.4</v>
      </c>
      <c r="L48" s="592">
        <f>A6_Machine_Look_Up!AI48</f>
        <v>1.04</v>
      </c>
      <c r="M48" s="677">
        <f t="shared" si="2"/>
        <v>0</v>
      </c>
      <c r="N48" s="447" t="str">
        <f>A6_Machine_Look_Up!AE48</f>
        <v>Plows</v>
      </c>
      <c r="O48" s="425">
        <f t="shared" si="3"/>
        <v>0.35</v>
      </c>
      <c r="P48" s="420">
        <f t="shared" si="4"/>
        <v>0</v>
      </c>
      <c r="Q48" s="420">
        <f t="shared" si="5"/>
        <v>0</v>
      </c>
      <c r="R48" s="420">
        <f t="shared" si="6"/>
        <v>0</v>
      </c>
      <c r="S48" s="420">
        <f t="shared" si="7"/>
        <v>0</v>
      </c>
      <c r="T48" s="420">
        <f>IF($D48=5,AN48,0)</f>
        <v>0</v>
      </c>
      <c r="U48" s="420">
        <f>IF($D48=6,AO48,0)</f>
        <v>0</v>
      </c>
      <c r="V48" s="420">
        <f>IF($D48=7,AP48,0)</f>
        <v>0</v>
      </c>
      <c r="W48" s="420">
        <f>IF($D48=8,AQ48,0)</f>
        <v>0.35</v>
      </c>
      <c r="X48" s="420">
        <f>IF($D48=9,AR48,0)</f>
        <v>0</v>
      </c>
      <c r="Y48" s="420">
        <f>IF($D48=10,AS48,0)</f>
        <v>0</v>
      </c>
      <c r="Z48" s="420">
        <f>IF($D48=11,AT48,0)</f>
        <v>0</v>
      </c>
      <c r="AA48" s="420">
        <f>IF($D48=12,AU48,0)</f>
        <v>0</v>
      </c>
      <c r="AB48" s="420">
        <f>IF($D48=13,AV48,0)</f>
        <v>0</v>
      </c>
      <c r="AC48" s="420">
        <f>IF($D48=14,AW48,0)</f>
        <v>0</v>
      </c>
      <c r="AD48" s="420">
        <f>IF($D48=15,AX48,0)</f>
        <v>0</v>
      </c>
      <c r="AE48" s="420">
        <f>IF($D48=16,AY48,0)</f>
        <v>0</v>
      </c>
      <c r="AF48" s="420">
        <f>IF($D48=17,AZ48,0)</f>
        <v>0</v>
      </c>
      <c r="AG48" s="420">
        <f>IF($D48=18,BA48,0)</f>
        <v>0</v>
      </c>
      <c r="AH48" s="420">
        <f>IF($D48=19,BB48,0)</f>
        <v>0</v>
      </c>
      <c r="AI48" s="420">
        <f>IF($D48=20,BC48,0)</f>
        <v>0</v>
      </c>
      <c r="AJ48" s="421">
        <v>0.47</v>
      </c>
      <c r="AK48" s="421">
        <v>0.44</v>
      </c>
      <c r="AL48" s="421">
        <v>0.42</v>
      </c>
      <c r="AM48" s="421">
        <v>0.4</v>
      </c>
      <c r="AN48" s="421">
        <v>0.39</v>
      </c>
      <c r="AO48" s="421">
        <v>0.38</v>
      </c>
      <c r="AP48" s="421">
        <v>0.36</v>
      </c>
      <c r="AQ48" s="421">
        <v>0.35</v>
      </c>
      <c r="AR48" s="421">
        <v>0.34</v>
      </c>
      <c r="AS48" s="421">
        <v>0.33</v>
      </c>
      <c r="AT48" s="421">
        <v>0.32</v>
      </c>
      <c r="AU48" s="421">
        <v>0.32</v>
      </c>
      <c r="AV48" s="421">
        <v>0.31</v>
      </c>
      <c r="AW48" s="421">
        <v>0.3</v>
      </c>
      <c r="AX48" s="421">
        <v>0.28999999999999998</v>
      </c>
      <c r="AY48" s="421">
        <v>0.28999999999999998</v>
      </c>
      <c r="AZ48" s="421">
        <v>0.28000000000000003</v>
      </c>
      <c r="BA48" s="421">
        <v>0.27</v>
      </c>
      <c r="BB48" s="421">
        <v>0.27</v>
      </c>
      <c r="BC48" s="421">
        <v>0.26</v>
      </c>
      <c r="BD48" s="681">
        <f t="shared" si="47"/>
        <v>0</v>
      </c>
      <c r="BE48" s="417" t="s">
        <v>331</v>
      </c>
      <c r="BF48" s="425">
        <f t="shared" si="48"/>
        <v>0.36</v>
      </c>
      <c r="BG48" s="420">
        <f t="shared" si="49"/>
        <v>0</v>
      </c>
      <c r="BH48" s="420">
        <f t="shared" si="50"/>
        <v>0</v>
      </c>
      <c r="BI48" s="420">
        <f t="shared" si="51"/>
        <v>0</v>
      </c>
      <c r="BJ48" s="420">
        <f t="shared" si="52"/>
        <v>0</v>
      </c>
      <c r="BK48" s="420">
        <f>IF($G48=5,CE48,0)</f>
        <v>0</v>
      </c>
      <c r="BL48" s="420">
        <f>IF($G48=6,CF48,0)</f>
        <v>0</v>
      </c>
      <c r="BM48" s="420">
        <f>IF($G48=7,CG48,0)</f>
        <v>0</v>
      </c>
      <c r="BN48" s="420">
        <f>IF($G48=8,CH48,0)</f>
        <v>0.36</v>
      </c>
      <c r="BO48" s="420">
        <f>IF($G48=9,CI48,0)</f>
        <v>0</v>
      </c>
      <c r="BP48" s="420">
        <f>IF($G48=10,CJ48,0)</f>
        <v>0</v>
      </c>
      <c r="BQ48" s="420">
        <f>IF($G48=11,CK48,0)</f>
        <v>0</v>
      </c>
      <c r="BR48" s="420">
        <f>IF($G48=12,CL48,0)</f>
        <v>0</v>
      </c>
      <c r="BS48" s="420">
        <f>IF($G48=13,CM48,0)</f>
        <v>0</v>
      </c>
      <c r="BT48" s="420">
        <f>IF($G48=14,CN48,0)</f>
        <v>0</v>
      </c>
      <c r="BU48" s="420">
        <f>IF($G48=15,CO48,0)</f>
        <v>0</v>
      </c>
      <c r="BV48" s="420">
        <f>IF($G48=16,CP48,0)</f>
        <v>0</v>
      </c>
      <c r="BW48" s="420">
        <f>IF($G48=17,CQ48,0)</f>
        <v>0</v>
      </c>
      <c r="BX48" s="420">
        <f>IF($G48=18,CR48,0)</f>
        <v>0</v>
      </c>
      <c r="BY48" s="420">
        <f>IF($G48=19,CS48,0)</f>
        <v>0</v>
      </c>
      <c r="BZ48" s="420">
        <f>IF($G48=20,CT48,0)</f>
        <v>0</v>
      </c>
      <c r="CA48" s="421">
        <v>0.67</v>
      </c>
      <c r="CB48" s="421">
        <v>0.59</v>
      </c>
      <c r="CC48" s="421">
        <v>0.54</v>
      </c>
      <c r="CD48" s="421">
        <v>0.49</v>
      </c>
      <c r="CE48" s="421">
        <v>0.45</v>
      </c>
      <c r="CF48" s="421">
        <v>0.42</v>
      </c>
      <c r="CG48" s="421">
        <v>0.39</v>
      </c>
      <c r="CH48" s="421">
        <v>0.36</v>
      </c>
      <c r="CI48" s="421">
        <v>0.34</v>
      </c>
      <c r="CJ48" s="421">
        <v>0.32</v>
      </c>
      <c r="CK48" s="421">
        <v>0.3</v>
      </c>
      <c r="CL48" s="421">
        <v>0.28000000000000003</v>
      </c>
      <c r="CM48" s="421">
        <v>0.26</v>
      </c>
      <c r="CN48" s="421">
        <v>0.24</v>
      </c>
      <c r="CO48" s="421">
        <v>0.23</v>
      </c>
      <c r="CP48" s="421">
        <v>0.21</v>
      </c>
      <c r="CQ48" s="421">
        <v>0.2</v>
      </c>
      <c r="CR48" s="421">
        <v>0.19</v>
      </c>
      <c r="CS48" s="421">
        <v>0.18</v>
      </c>
      <c r="CT48" s="421">
        <v>0.17</v>
      </c>
    </row>
    <row r="49" spans="1:98" ht="13.9" x14ac:dyDescent="0.4">
      <c r="A49" s="26" t="str">
        <f>A6_Machine_Look_Up!A49</f>
        <v>Peanut Conditioner</v>
      </c>
      <c r="B49" s="1302">
        <f>A6_Machine_Look_Up!H49</f>
        <v>200</v>
      </c>
      <c r="C49" s="405">
        <f>A6_Machine_Look_Up!I49</f>
        <v>0.65</v>
      </c>
      <c r="D49" s="468">
        <f>A6_Machine_Look_Up!J49</f>
        <v>8</v>
      </c>
      <c r="E49" s="441">
        <f>O49</f>
        <v>0.35</v>
      </c>
      <c r="F49" s="491">
        <f>A6_Machine_Look_Up!K49</f>
        <v>600</v>
      </c>
      <c r="G49" s="492">
        <f>A6_Machine_Look_Up!L49</f>
        <v>8</v>
      </c>
      <c r="H49" s="450">
        <f>BF49</f>
        <v>0.36</v>
      </c>
      <c r="I49" s="225">
        <f>A6_Machine_Look_Up!G49</f>
        <v>195</v>
      </c>
      <c r="J49" s="578">
        <f>A6_Machine_Look_Up!AG49</f>
        <v>0.27</v>
      </c>
      <c r="K49" s="579">
        <f>A6_Machine_Look_Up!AH49</f>
        <v>1.4</v>
      </c>
      <c r="L49" s="592">
        <f>A6_Machine_Look_Up!AI49</f>
        <v>1.04</v>
      </c>
      <c r="M49" s="677">
        <f t="shared" si="2"/>
        <v>0</v>
      </c>
      <c r="N49" s="447" t="str">
        <f>A6_Machine_Look_Up!AE49</f>
        <v>Plows</v>
      </c>
      <c r="O49" s="425">
        <f t="shared" si="3"/>
        <v>0.35</v>
      </c>
      <c r="P49" s="420">
        <f t="shared" si="4"/>
        <v>0</v>
      </c>
      <c r="Q49" s="420">
        <f t="shared" si="5"/>
        <v>0</v>
      </c>
      <c r="R49" s="420">
        <f t="shared" si="6"/>
        <v>0</v>
      </c>
      <c r="S49" s="420">
        <f t="shared" si="7"/>
        <v>0</v>
      </c>
      <c r="T49" s="420">
        <f>IF($D49=5,AN49,0)</f>
        <v>0</v>
      </c>
      <c r="U49" s="420">
        <f>IF($D49=6,AO49,0)</f>
        <v>0</v>
      </c>
      <c r="V49" s="420">
        <f>IF($D49=7,AP49,0)</f>
        <v>0</v>
      </c>
      <c r="W49" s="420">
        <f>IF($D49=8,AQ49,0)</f>
        <v>0.35</v>
      </c>
      <c r="X49" s="420">
        <f>IF($D49=9,AR49,0)</f>
        <v>0</v>
      </c>
      <c r="Y49" s="420">
        <f>IF($D49=10,AS49,0)</f>
        <v>0</v>
      </c>
      <c r="Z49" s="420">
        <f>IF($D49=11,AT49,0)</f>
        <v>0</v>
      </c>
      <c r="AA49" s="420">
        <f>IF($D49=12,AU49,0)</f>
        <v>0</v>
      </c>
      <c r="AB49" s="420">
        <f>IF($D49=13,AV49,0)</f>
        <v>0</v>
      </c>
      <c r="AC49" s="420">
        <f>IF($D49=14,AW49,0)</f>
        <v>0</v>
      </c>
      <c r="AD49" s="420">
        <f>IF($D49=15,AX49,0)</f>
        <v>0</v>
      </c>
      <c r="AE49" s="420">
        <f>IF($D49=16,AY49,0)</f>
        <v>0</v>
      </c>
      <c r="AF49" s="420">
        <f>IF($D49=17,AZ49,0)</f>
        <v>0</v>
      </c>
      <c r="AG49" s="420">
        <f>IF($D49=18,BA49,0)</f>
        <v>0</v>
      </c>
      <c r="AH49" s="420">
        <f>IF($D49=19,BB49,0)</f>
        <v>0</v>
      </c>
      <c r="AI49" s="420">
        <f>IF($D49=20,BC49,0)</f>
        <v>0</v>
      </c>
      <c r="AJ49" s="421">
        <v>0.47</v>
      </c>
      <c r="AK49" s="421">
        <v>0.44</v>
      </c>
      <c r="AL49" s="421">
        <v>0.42</v>
      </c>
      <c r="AM49" s="421">
        <v>0.4</v>
      </c>
      <c r="AN49" s="421">
        <v>0.39</v>
      </c>
      <c r="AO49" s="421">
        <v>0.38</v>
      </c>
      <c r="AP49" s="421">
        <v>0.36</v>
      </c>
      <c r="AQ49" s="421">
        <v>0.35</v>
      </c>
      <c r="AR49" s="421">
        <v>0.34</v>
      </c>
      <c r="AS49" s="421">
        <v>0.33</v>
      </c>
      <c r="AT49" s="421">
        <v>0.32</v>
      </c>
      <c r="AU49" s="421">
        <v>0.32</v>
      </c>
      <c r="AV49" s="421">
        <v>0.31</v>
      </c>
      <c r="AW49" s="421">
        <v>0.3</v>
      </c>
      <c r="AX49" s="421">
        <v>0.28999999999999998</v>
      </c>
      <c r="AY49" s="421">
        <v>0.28999999999999998</v>
      </c>
      <c r="AZ49" s="421">
        <v>0.28000000000000003</v>
      </c>
      <c r="BA49" s="421">
        <v>0.27</v>
      </c>
      <c r="BB49" s="421">
        <v>0.27</v>
      </c>
      <c r="BC49" s="421">
        <v>0.26</v>
      </c>
      <c r="BD49" s="681">
        <f t="shared" si="47"/>
        <v>0</v>
      </c>
      <c r="BE49" s="417" t="s">
        <v>331</v>
      </c>
      <c r="BF49" s="425">
        <f t="shared" si="48"/>
        <v>0.36</v>
      </c>
      <c r="BG49" s="420">
        <f t="shared" si="49"/>
        <v>0</v>
      </c>
      <c r="BH49" s="420">
        <f t="shared" si="50"/>
        <v>0</v>
      </c>
      <c r="BI49" s="420">
        <f t="shared" si="51"/>
        <v>0</v>
      </c>
      <c r="BJ49" s="420">
        <f t="shared" si="52"/>
        <v>0</v>
      </c>
      <c r="BK49" s="420">
        <f>IF($G49=5,CE49,0)</f>
        <v>0</v>
      </c>
      <c r="BL49" s="420">
        <f>IF($G49=6,CF49,0)</f>
        <v>0</v>
      </c>
      <c r="BM49" s="420">
        <f>IF($G49=7,CG49,0)</f>
        <v>0</v>
      </c>
      <c r="BN49" s="420">
        <f>IF($G49=8,CH49,0)</f>
        <v>0.36</v>
      </c>
      <c r="BO49" s="420">
        <f>IF($G49=9,CI49,0)</f>
        <v>0</v>
      </c>
      <c r="BP49" s="420">
        <f>IF($G49=10,CJ49,0)</f>
        <v>0</v>
      </c>
      <c r="BQ49" s="420">
        <f>IF($G49=11,CK49,0)</f>
        <v>0</v>
      </c>
      <c r="BR49" s="420">
        <f>IF($G49=12,CL49,0)</f>
        <v>0</v>
      </c>
      <c r="BS49" s="420">
        <f>IF($G49=13,CM49,0)</f>
        <v>0</v>
      </c>
      <c r="BT49" s="420">
        <f>IF($G49=14,CN49,0)</f>
        <v>0</v>
      </c>
      <c r="BU49" s="420">
        <f>IF($G49=15,CO49,0)</f>
        <v>0</v>
      </c>
      <c r="BV49" s="420">
        <f>IF($G49=16,CP49,0)</f>
        <v>0</v>
      </c>
      <c r="BW49" s="420">
        <f>IF($G49=17,CQ49,0)</f>
        <v>0</v>
      </c>
      <c r="BX49" s="420">
        <f>IF($G49=18,CR49,0)</f>
        <v>0</v>
      </c>
      <c r="BY49" s="420">
        <f>IF($G49=19,CS49,0)</f>
        <v>0</v>
      </c>
      <c r="BZ49" s="420">
        <f>IF($G49=20,CT49,0)</f>
        <v>0</v>
      </c>
      <c r="CA49" s="421">
        <v>0.67</v>
      </c>
      <c r="CB49" s="421">
        <v>0.59</v>
      </c>
      <c r="CC49" s="421">
        <v>0.54</v>
      </c>
      <c r="CD49" s="421">
        <v>0.49</v>
      </c>
      <c r="CE49" s="421">
        <v>0.45</v>
      </c>
      <c r="CF49" s="421">
        <v>0.42</v>
      </c>
      <c r="CG49" s="421">
        <v>0.39</v>
      </c>
      <c r="CH49" s="421">
        <v>0.36</v>
      </c>
      <c r="CI49" s="421">
        <v>0.34</v>
      </c>
      <c r="CJ49" s="421">
        <v>0.32</v>
      </c>
      <c r="CK49" s="421">
        <v>0.3</v>
      </c>
      <c r="CL49" s="421">
        <v>0.28000000000000003</v>
      </c>
      <c r="CM49" s="421">
        <v>0.26</v>
      </c>
      <c r="CN49" s="421">
        <v>0.24</v>
      </c>
      <c r="CO49" s="421">
        <v>0.23</v>
      </c>
      <c r="CP49" s="421">
        <v>0.21</v>
      </c>
      <c r="CQ49" s="421">
        <v>0.2</v>
      </c>
      <c r="CR49" s="421">
        <v>0.19</v>
      </c>
      <c r="CS49" s="421">
        <v>0.18</v>
      </c>
      <c r="CT49" s="421">
        <v>0.17</v>
      </c>
    </row>
    <row r="50" spans="1:98" ht="13.9" x14ac:dyDescent="0.4">
      <c r="A50" s="26" t="str">
        <f>A6_Machine_Look_Up!A50</f>
        <v>Peanut Conditiner &amp; Lifter</v>
      </c>
      <c r="B50" s="1302">
        <f>A6_Machine_Look_Up!H50</f>
        <v>200</v>
      </c>
      <c r="C50" s="405">
        <f>A6_Machine_Look_Up!I50</f>
        <v>0.65</v>
      </c>
      <c r="D50" s="468">
        <f>A6_Machine_Look_Up!J50</f>
        <v>8</v>
      </c>
      <c r="E50" s="441">
        <f>O50</f>
        <v>0.35</v>
      </c>
      <c r="F50" s="491">
        <f>A6_Machine_Look_Up!K50</f>
        <v>600</v>
      </c>
      <c r="G50" s="492">
        <f>A6_Machine_Look_Up!L50</f>
        <v>8</v>
      </c>
      <c r="H50" s="450">
        <f>BF50</f>
        <v>0.36</v>
      </c>
      <c r="I50" s="225">
        <f>A6_Machine_Look_Up!G50</f>
        <v>195</v>
      </c>
      <c r="J50" s="578">
        <f>A6_Machine_Look_Up!AG50</f>
        <v>0.27</v>
      </c>
      <c r="K50" s="579">
        <f>A6_Machine_Look_Up!AH50</f>
        <v>1.4</v>
      </c>
      <c r="L50" s="592">
        <f>A6_Machine_Look_Up!AI50</f>
        <v>1.04</v>
      </c>
      <c r="M50" s="677">
        <f t="shared" si="2"/>
        <v>0</v>
      </c>
      <c r="N50" s="447" t="str">
        <f>A6_Machine_Look_Up!AE50</f>
        <v>Plows</v>
      </c>
      <c r="O50" s="425">
        <f t="shared" si="3"/>
        <v>0.35</v>
      </c>
      <c r="P50" s="420">
        <f t="shared" si="4"/>
        <v>0</v>
      </c>
      <c r="Q50" s="420">
        <f t="shared" si="5"/>
        <v>0</v>
      </c>
      <c r="R50" s="420">
        <f t="shared" si="6"/>
        <v>0</v>
      </c>
      <c r="S50" s="420">
        <f t="shared" si="7"/>
        <v>0</v>
      </c>
      <c r="T50" s="420">
        <f>IF($D50=5,AN50,0)</f>
        <v>0</v>
      </c>
      <c r="U50" s="420">
        <f>IF($D50=6,AO50,0)</f>
        <v>0</v>
      </c>
      <c r="V50" s="420">
        <f>IF($D50=7,AP50,0)</f>
        <v>0</v>
      </c>
      <c r="W50" s="420">
        <f>IF($D50=8,AQ50,0)</f>
        <v>0.35</v>
      </c>
      <c r="X50" s="420">
        <f>IF($D50=9,AR50,0)</f>
        <v>0</v>
      </c>
      <c r="Y50" s="420">
        <f>IF($D50=10,AS50,0)</f>
        <v>0</v>
      </c>
      <c r="Z50" s="420">
        <f>IF($D50=11,AT50,0)</f>
        <v>0</v>
      </c>
      <c r="AA50" s="420">
        <f>IF($D50=12,AU50,0)</f>
        <v>0</v>
      </c>
      <c r="AB50" s="420">
        <f>IF($D50=13,AV50,0)</f>
        <v>0</v>
      </c>
      <c r="AC50" s="420">
        <f>IF($D50=14,AW50,0)</f>
        <v>0</v>
      </c>
      <c r="AD50" s="420">
        <f>IF($D50=15,AX50,0)</f>
        <v>0</v>
      </c>
      <c r="AE50" s="420">
        <f>IF($D50=16,AY50,0)</f>
        <v>0</v>
      </c>
      <c r="AF50" s="420">
        <f>IF($D50=17,AZ50,0)</f>
        <v>0</v>
      </c>
      <c r="AG50" s="420">
        <f>IF($D50=18,BA50,0)</f>
        <v>0</v>
      </c>
      <c r="AH50" s="420">
        <f>IF($D50=19,BB50,0)</f>
        <v>0</v>
      </c>
      <c r="AI50" s="420">
        <f>IF($D50=20,BC50,0)</f>
        <v>0</v>
      </c>
      <c r="AJ50" s="421">
        <v>0.47</v>
      </c>
      <c r="AK50" s="421">
        <v>0.44</v>
      </c>
      <c r="AL50" s="421">
        <v>0.42</v>
      </c>
      <c r="AM50" s="421">
        <v>0.4</v>
      </c>
      <c r="AN50" s="421">
        <v>0.39</v>
      </c>
      <c r="AO50" s="421">
        <v>0.38</v>
      </c>
      <c r="AP50" s="421">
        <v>0.36</v>
      </c>
      <c r="AQ50" s="421">
        <v>0.35</v>
      </c>
      <c r="AR50" s="421">
        <v>0.34</v>
      </c>
      <c r="AS50" s="421">
        <v>0.33</v>
      </c>
      <c r="AT50" s="421">
        <v>0.32</v>
      </c>
      <c r="AU50" s="421">
        <v>0.32</v>
      </c>
      <c r="AV50" s="421">
        <v>0.31</v>
      </c>
      <c r="AW50" s="421">
        <v>0.3</v>
      </c>
      <c r="AX50" s="421">
        <v>0.28999999999999998</v>
      </c>
      <c r="AY50" s="421">
        <v>0.28999999999999998</v>
      </c>
      <c r="AZ50" s="421">
        <v>0.28000000000000003</v>
      </c>
      <c r="BA50" s="421">
        <v>0.27</v>
      </c>
      <c r="BB50" s="421">
        <v>0.27</v>
      </c>
      <c r="BC50" s="421">
        <v>0.26</v>
      </c>
      <c r="BD50" s="681">
        <f t="shared" si="47"/>
        <v>0</v>
      </c>
      <c r="BE50" s="417" t="s">
        <v>331</v>
      </c>
      <c r="BF50" s="425">
        <f t="shared" si="48"/>
        <v>0.36</v>
      </c>
      <c r="BG50" s="420">
        <f t="shared" si="49"/>
        <v>0</v>
      </c>
      <c r="BH50" s="420">
        <f t="shared" si="50"/>
        <v>0</v>
      </c>
      <c r="BI50" s="420">
        <f t="shared" si="51"/>
        <v>0</v>
      </c>
      <c r="BJ50" s="420">
        <f t="shared" si="52"/>
        <v>0</v>
      </c>
      <c r="BK50" s="420">
        <f>IF($G50=5,CE50,0)</f>
        <v>0</v>
      </c>
      <c r="BL50" s="420">
        <f>IF($G50=6,CF50,0)</f>
        <v>0</v>
      </c>
      <c r="BM50" s="420">
        <f>IF($G50=7,CG50,0)</f>
        <v>0</v>
      </c>
      <c r="BN50" s="420">
        <f>IF($G50=8,CH50,0)</f>
        <v>0.36</v>
      </c>
      <c r="BO50" s="420">
        <f>IF($G50=9,CI50,0)</f>
        <v>0</v>
      </c>
      <c r="BP50" s="420">
        <f>IF($G50=10,CJ50,0)</f>
        <v>0</v>
      </c>
      <c r="BQ50" s="420">
        <f>IF($G50=11,CK50,0)</f>
        <v>0</v>
      </c>
      <c r="BR50" s="420">
        <f>IF($G50=12,CL50,0)</f>
        <v>0</v>
      </c>
      <c r="BS50" s="420">
        <f>IF($G50=13,CM50,0)</f>
        <v>0</v>
      </c>
      <c r="BT50" s="420">
        <f>IF($G50=14,CN50,0)</f>
        <v>0</v>
      </c>
      <c r="BU50" s="420">
        <f>IF($G50=15,CO50,0)</f>
        <v>0</v>
      </c>
      <c r="BV50" s="420">
        <f>IF($G50=16,CP50,0)</f>
        <v>0</v>
      </c>
      <c r="BW50" s="420">
        <f>IF($G50=17,CQ50,0)</f>
        <v>0</v>
      </c>
      <c r="BX50" s="420">
        <f>IF($G50=18,CR50,0)</f>
        <v>0</v>
      </c>
      <c r="BY50" s="420">
        <f>IF($G50=19,CS50,0)</f>
        <v>0</v>
      </c>
      <c r="BZ50" s="420">
        <f>IF($G50=20,CT50,0)</f>
        <v>0</v>
      </c>
      <c r="CA50" s="421">
        <v>0.67</v>
      </c>
      <c r="CB50" s="421">
        <v>0.59</v>
      </c>
      <c r="CC50" s="421">
        <v>0.54</v>
      </c>
      <c r="CD50" s="421">
        <v>0.49</v>
      </c>
      <c r="CE50" s="421">
        <v>0.45</v>
      </c>
      <c r="CF50" s="421">
        <v>0.42</v>
      </c>
      <c r="CG50" s="421">
        <v>0.39</v>
      </c>
      <c r="CH50" s="421">
        <v>0.36</v>
      </c>
      <c r="CI50" s="421">
        <v>0.34</v>
      </c>
      <c r="CJ50" s="421">
        <v>0.32</v>
      </c>
      <c r="CK50" s="421">
        <v>0.3</v>
      </c>
      <c r="CL50" s="421">
        <v>0.28000000000000003</v>
      </c>
      <c r="CM50" s="421">
        <v>0.26</v>
      </c>
      <c r="CN50" s="421">
        <v>0.24</v>
      </c>
      <c r="CO50" s="421">
        <v>0.23</v>
      </c>
      <c r="CP50" s="421">
        <v>0.21</v>
      </c>
      <c r="CQ50" s="421">
        <v>0.2</v>
      </c>
      <c r="CR50" s="421">
        <v>0.19</v>
      </c>
      <c r="CS50" s="421">
        <v>0.18</v>
      </c>
      <c r="CT50" s="421">
        <v>0.17</v>
      </c>
    </row>
    <row r="51" spans="1:98" ht="13.9" x14ac:dyDescent="0.4">
      <c r="A51" s="26" t="str">
        <f>A6_Machine_Look_Up!A51</f>
        <v>Mower, Stalk Shredder</v>
      </c>
      <c r="B51" s="1302">
        <f>A6_Machine_Look_Up!H51</f>
        <v>160</v>
      </c>
      <c r="C51" s="405">
        <f>A6_Machine_Look_Up!I51</f>
        <v>0.8</v>
      </c>
      <c r="D51" s="468">
        <f>A6_Machine_Look_Up!J51</f>
        <v>8</v>
      </c>
      <c r="E51" s="441">
        <f t="shared" si="0"/>
        <v>0.32</v>
      </c>
      <c r="F51" s="491">
        <f>A6_Machine_Look_Up!K51</f>
        <v>600</v>
      </c>
      <c r="G51" s="492">
        <f>A6_Machine_Look_Up!L51</f>
        <v>8</v>
      </c>
      <c r="H51" s="450">
        <f t="shared" si="46"/>
        <v>0.36</v>
      </c>
      <c r="I51" s="225">
        <f>A6_Machine_Look_Up!G51</f>
        <v>195</v>
      </c>
      <c r="J51" s="578">
        <f>A6_Machine_Look_Up!AG51</f>
        <v>0.44</v>
      </c>
      <c r="K51" s="579">
        <f>A6_Machine_Look_Up!AH51</f>
        <v>2</v>
      </c>
      <c r="L51" s="592">
        <f>A6_Machine_Look_Up!AI51</f>
        <v>1.1000000000000001</v>
      </c>
      <c r="M51" s="677">
        <f t="shared" si="2"/>
        <v>0</v>
      </c>
      <c r="N51" s="447" t="str">
        <f>A6_Machine_Look_Up!AE51</f>
        <v>Mower</v>
      </c>
      <c r="O51" s="425">
        <f t="shared" si="3"/>
        <v>0.32</v>
      </c>
      <c r="P51" s="420">
        <f t="shared" si="4"/>
        <v>0</v>
      </c>
      <c r="Q51" s="420">
        <f t="shared" si="5"/>
        <v>0</v>
      </c>
      <c r="R51" s="420">
        <f t="shared" si="6"/>
        <v>0</v>
      </c>
      <c r="S51" s="420">
        <f t="shared" si="7"/>
        <v>0</v>
      </c>
      <c r="T51" s="420">
        <f t="shared" si="8"/>
        <v>0</v>
      </c>
      <c r="U51" s="420">
        <f t="shared" si="9"/>
        <v>0</v>
      </c>
      <c r="V51" s="420">
        <f t="shared" si="10"/>
        <v>0</v>
      </c>
      <c r="W51" s="420">
        <f t="shared" si="11"/>
        <v>0.32</v>
      </c>
      <c r="X51" s="420">
        <f t="shared" si="12"/>
        <v>0</v>
      </c>
      <c r="Y51" s="420">
        <f t="shared" si="13"/>
        <v>0</v>
      </c>
      <c r="Z51" s="420">
        <f t="shared" si="14"/>
        <v>0</v>
      </c>
      <c r="AA51" s="420">
        <f t="shared" si="15"/>
        <v>0</v>
      </c>
      <c r="AB51" s="420">
        <f t="shared" si="16"/>
        <v>0</v>
      </c>
      <c r="AC51" s="420">
        <f t="shared" si="17"/>
        <v>0</v>
      </c>
      <c r="AD51" s="420">
        <f t="shared" si="18"/>
        <v>0</v>
      </c>
      <c r="AE51" s="420">
        <f t="shared" si="19"/>
        <v>0</v>
      </c>
      <c r="AF51" s="420">
        <f t="shared" si="20"/>
        <v>0</v>
      </c>
      <c r="AG51" s="420">
        <f t="shared" si="21"/>
        <v>0</v>
      </c>
      <c r="AH51" s="420">
        <f t="shared" si="22"/>
        <v>0</v>
      </c>
      <c r="AI51" s="420">
        <f t="shared" si="23"/>
        <v>0</v>
      </c>
      <c r="AJ51" s="421">
        <v>0.47</v>
      </c>
      <c r="AK51" s="421">
        <v>0.44</v>
      </c>
      <c r="AL51" s="421">
        <v>0.41</v>
      </c>
      <c r="AM51" s="421">
        <v>0.39</v>
      </c>
      <c r="AN51" s="421">
        <v>0.37</v>
      </c>
      <c r="AO51" s="421">
        <v>0.35</v>
      </c>
      <c r="AP51" s="421">
        <v>0.33</v>
      </c>
      <c r="AQ51" s="421">
        <v>0.32</v>
      </c>
      <c r="AR51" s="421">
        <v>0.31</v>
      </c>
      <c r="AS51" s="421">
        <v>0.3</v>
      </c>
      <c r="AT51" s="421">
        <v>0.28000000000000003</v>
      </c>
      <c r="AU51" s="421">
        <v>0.27</v>
      </c>
      <c r="AV51" s="421">
        <v>0.26</v>
      </c>
      <c r="AW51" s="421">
        <v>0.26</v>
      </c>
      <c r="AX51" s="421">
        <v>0.25</v>
      </c>
      <c r="AY51" s="421">
        <v>0.24</v>
      </c>
      <c r="AZ51" s="421">
        <v>0.23</v>
      </c>
      <c r="BA51" s="421">
        <v>0.22</v>
      </c>
      <c r="BB51" s="421">
        <v>0.22</v>
      </c>
      <c r="BC51" s="421">
        <v>0.21</v>
      </c>
      <c r="BD51" s="681">
        <f t="shared" si="47"/>
        <v>0</v>
      </c>
      <c r="BE51" s="417" t="s">
        <v>331</v>
      </c>
      <c r="BF51" s="425">
        <f t="shared" si="48"/>
        <v>0.36</v>
      </c>
      <c r="BG51" s="420">
        <f t="shared" si="49"/>
        <v>0</v>
      </c>
      <c r="BH51" s="420">
        <f t="shared" si="50"/>
        <v>0</v>
      </c>
      <c r="BI51" s="420">
        <f t="shared" si="51"/>
        <v>0</v>
      </c>
      <c r="BJ51" s="420">
        <f t="shared" si="52"/>
        <v>0</v>
      </c>
      <c r="BK51" s="420">
        <f t="shared" si="53"/>
        <v>0</v>
      </c>
      <c r="BL51" s="420">
        <f t="shared" si="54"/>
        <v>0</v>
      </c>
      <c r="BM51" s="420">
        <f t="shared" si="55"/>
        <v>0</v>
      </c>
      <c r="BN51" s="420">
        <f t="shared" si="56"/>
        <v>0.36</v>
      </c>
      <c r="BO51" s="420">
        <f t="shared" si="57"/>
        <v>0</v>
      </c>
      <c r="BP51" s="420">
        <f t="shared" si="58"/>
        <v>0</v>
      </c>
      <c r="BQ51" s="420">
        <f t="shared" si="59"/>
        <v>0</v>
      </c>
      <c r="BR51" s="420">
        <f t="shared" si="60"/>
        <v>0</v>
      </c>
      <c r="BS51" s="420">
        <f t="shared" si="61"/>
        <v>0</v>
      </c>
      <c r="BT51" s="420">
        <f t="shared" si="62"/>
        <v>0</v>
      </c>
      <c r="BU51" s="420">
        <f t="shared" si="63"/>
        <v>0</v>
      </c>
      <c r="BV51" s="420">
        <f t="shared" si="64"/>
        <v>0</v>
      </c>
      <c r="BW51" s="420">
        <f t="shared" si="65"/>
        <v>0</v>
      </c>
      <c r="BX51" s="420">
        <f t="shared" si="66"/>
        <v>0</v>
      </c>
      <c r="BY51" s="420">
        <f t="shared" si="67"/>
        <v>0</v>
      </c>
      <c r="BZ51" s="420">
        <f t="shared" si="68"/>
        <v>0</v>
      </c>
      <c r="CA51" s="421">
        <v>0.67</v>
      </c>
      <c r="CB51" s="421">
        <v>0.59</v>
      </c>
      <c r="CC51" s="421">
        <v>0.54</v>
      </c>
      <c r="CD51" s="421">
        <v>0.49</v>
      </c>
      <c r="CE51" s="421">
        <v>0.45</v>
      </c>
      <c r="CF51" s="421">
        <v>0.42</v>
      </c>
      <c r="CG51" s="421">
        <v>0.39</v>
      </c>
      <c r="CH51" s="421">
        <v>0.36</v>
      </c>
      <c r="CI51" s="421">
        <v>0.34</v>
      </c>
      <c r="CJ51" s="421">
        <v>0.32</v>
      </c>
      <c r="CK51" s="421">
        <v>0.3</v>
      </c>
      <c r="CL51" s="421">
        <v>0.28000000000000003</v>
      </c>
      <c r="CM51" s="421">
        <v>0.26</v>
      </c>
      <c r="CN51" s="421">
        <v>0.24</v>
      </c>
      <c r="CO51" s="421">
        <v>0.23</v>
      </c>
      <c r="CP51" s="421">
        <v>0.21</v>
      </c>
      <c r="CQ51" s="421">
        <v>0.2</v>
      </c>
      <c r="CR51" s="421">
        <v>0.19</v>
      </c>
      <c r="CS51" s="421">
        <v>0.18</v>
      </c>
      <c r="CT51" s="421">
        <v>0.17</v>
      </c>
    </row>
    <row r="52" spans="1:98" ht="13.9" x14ac:dyDescent="0.4">
      <c r="A52" s="11" t="str">
        <f>A6_Machine_Look_Up!A52</f>
        <v>Stubble Roller</v>
      </c>
      <c r="B52" s="1302">
        <f>A6_Machine_Look_Up!H52</f>
        <v>120</v>
      </c>
      <c r="C52" s="405">
        <f>A6_Machine_Look_Up!I52</f>
        <v>0.85</v>
      </c>
      <c r="D52" s="468">
        <f>A6_Machine_Look_Up!J52</f>
        <v>8</v>
      </c>
      <c r="E52" s="441">
        <f>O52</f>
        <v>0.34</v>
      </c>
      <c r="F52" s="491">
        <f>A6_Machine_Look_Up!K52</f>
        <v>600</v>
      </c>
      <c r="G52" s="492">
        <f>A6_Machine_Look_Up!L52</f>
        <v>8</v>
      </c>
      <c r="H52" s="450">
        <f t="shared" si="46"/>
        <v>0.36</v>
      </c>
      <c r="I52" s="225">
        <f>A6_Machine_Look_Up!G52</f>
        <v>230</v>
      </c>
      <c r="J52" s="578">
        <f>A6_Machine_Look_Up!AG52</f>
        <v>0.16</v>
      </c>
      <c r="K52" s="579">
        <f>A6_Machine_Look_Up!AH52</f>
        <v>1.3</v>
      </c>
      <c r="L52" s="592">
        <f>A6_Machine_Look_Up!AI52</f>
        <v>1.04</v>
      </c>
      <c r="M52" s="677">
        <f>IF(OR(D52&lt;1,D52&gt;20),1,0)</f>
        <v>0</v>
      </c>
      <c r="N52" s="447" t="str">
        <f>A6_Machine_Look_Up!AE52</f>
        <v>Other Tillage</v>
      </c>
      <c r="O52" s="425">
        <f>SUM(P52:AI52)</f>
        <v>0.34</v>
      </c>
      <c r="P52" s="420">
        <f>IF($D52=1,AJ52,0)</f>
        <v>0</v>
      </c>
      <c r="Q52" s="420">
        <f>IF($D52=2,AK52,0)</f>
        <v>0</v>
      </c>
      <c r="R52" s="420">
        <f>IF($D52=3,AL52,0)</f>
        <v>0</v>
      </c>
      <c r="S52" s="420">
        <f>IF($D52=4,AM52,0)</f>
        <v>0</v>
      </c>
      <c r="T52" s="420">
        <f>IF($D52=5,AN52,0)</f>
        <v>0</v>
      </c>
      <c r="U52" s="420">
        <f>IF($D52=6,AO52,0)</f>
        <v>0</v>
      </c>
      <c r="V52" s="420">
        <f>IF($D52=7,AP52,0)</f>
        <v>0</v>
      </c>
      <c r="W52" s="420">
        <f>IF($D52=8,AQ52,0)</f>
        <v>0.34</v>
      </c>
      <c r="X52" s="420">
        <f>IF($D52=9,AR52,0)</f>
        <v>0</v>
      </c>
      <c r="Y52" s="420">
        <f>IF($D52=10,AS52,0)</f>
        <v>0</v>
      </c>
      <c r="Z52" s="420">
        <f>IF($D52=11,AT52,0)</f>
        <v>0</v>
      </c>
      <c r="AA52" s="420">
        <f>IF($D52=12,AU52,0)</f>
        <v>0</v>
      </c>
      <c r="AB52" s="420">
        <f>IF($D52=13,AV52,0)</f>
        <v>0</v>
      </c>
      <c r="AC52" s="420">
        <f>IF($D52=14,AW52,0)</f>
        <v>0</v>
      </c>
      <c r="AD52" s="420">
        <f>IF($D52=15,AX52,0)</f>
        <v>0</v>
      </c>
      <c r="AE52" s="420">
        <f>IF($D52=16,AY52,0)</f>
        <v>0</v>
      </c>
      <c r="AF52" s="420">
        <f>IF($D52=17,AZ52,0)</f>
        <v>0</v>
      </c>
      <c r="AG52" s="420">
        <f>IF($D52=18,BA52,0)</f>
        <v>0</v>
      </c>
      <c r="AH52" s="420">
        <f>IF($D52=19,BB52,0)</f>
        <v>0</v>
      </c>
      <c r="AI52" s="420">
        <f>IF($D52=20,BC52,0)</f>
        <v>0</v>
      </c>
      <c r="AJ52" s="421">
        <v>0.61</v>
      </c>
      <c r="AK52" s="421">
        <v>0.54</v>
      </c>
      <c r="AL52" s="421">
        <v>0.49</v>
      </c>
      <c r="AM52" s="421">
        <v>0.45</v>
      </c>
      <c r="AN52" s="421">
        <v>0.42</v>
      </c>
      <c r="AO52" s="421">
        <v>0.39</v>
      </c>
      <c r="AP52" s="421">
        <v>0.36</v>
      </c>
      <c r="AQ52" s="421">
        <v>0.34</v>
      </c>
      <c r="AR52" s="421">
        <v>0.31</v>
      </c>
      <c r="AS52" s="421">
        <v>0.3</v>
      </c>
      <c r="AT52" s="421">
        <v>0.28000000000000003</v>
      </c>
      <c r="AU52" s="421">
        <v>0.26</v>
      </c>
      <c r="AV52" s="421">
        <v>0.24</v>
      </c>
      <c r="AW52" s="421">
        <v>0.23</v>
      </c>
      <c r="AX52" s="421">
        <v>0.22</v>
      </c>
      <c r="AY52" s="421">
        <v>0.2</v>
      </c>
      <c r="AZ52" s="421">
        <v>0.19</v>
      </c>
      <c r="BA52" s="421">
        <v>0.18</v>
      </c>
      <c r="BB52" s="421">
        <v>0.17</v>
      </c>
      <c r="BC52" s="421">
        <v>0.16</v>
      </c>
      <c r="BD52" s="681">
        <f t="shared" si="47"/>
        <v>0</v>
      </c>
      <c r="BE52" s="417" t="s">
        <v>331</v>
      </c>
      <c r="BF52" s="425">
        <f t="shared" si="48"/>
        <v>0.36</v>
      </c>
      <c r="BG52" s="420">
        <f t="shared" si="49"/>
        <v>0</v>
      </c>
      <c r="BH52" s="420">
        <f t="shared" si="50"/>
        <v>0</v>
      </c>
      <c r="BI52" s="420">
        <f t="shared" si="51"/>
        <v>0</v>
      </c>
      <c r="BJ52" s="420">
        <f t="shared" si="52"/>
        <v>0</v>
      </c>
      <c r="BK52" s="420">
        <f t="shared" si="53"/>
        <v>0</v>
      </c>
      <c r="BL52" s="420">
        <f t="shared" si="54"/>
        <v>0</v>
      </c>
      <c r="BM52" s="420">
        <f t="shared" si="55"/>
        <v>0</v>
      </c>
      <c r="BN52" s="420">
        <f t="shared" si="56"/>
        <v>0.36</v>
      </c>
      <c r="BO52" s="420">
        <f t="shared" si="57"/>
        <v>0</v>
      </c>
      <c r="BP52" s="420">
        <f t="shared" si="58"/>
        <v>0</v>
      </c>
      <c r="BQ52" s="420">
        <f t="shared" si="59"/>
        <v>0</v>
      </c>
      <c r="BR52" s="420">
        <f t="shared" si="60"/>
        <v>0</v>
      </c>
      <c r="BS52" s="420">
        <f t="shared" si="61"/>
        <v>0</v>
      </c>
      <c r="BT52" s="420">
        <f t="shared" si="62"/>
        <v>0</v>
      </c>
      <c r="BU52" s="420">
        <f t="shared" si="63"/>
        <v>0</v>
      </c>
      <c r="BV52" s="420">
        <f t="shared" si="64"/>
        <v>0</v>
      </c>
      <c r="BW52" s="420">
        <f t="shared" si="65"/>
        <v>0</v>
      </c>
      <c r="BX52" s="420">
        <f t="shared" si="66"/>
        <v>0</v>
      </c>
      <c r="BY52" s="420">
        <f t="shared" si="67"/>
        <v>0</v>
      </c>
      <c r="BZ52" s="420">
        <f t="shared" si="68"/>
        <v>0</v>
      </c>
      <c r="CA52" s="421">
        <v>0.67</v>
      </c>
      <c r="CB52" s="421">
        <v>0.59</v>
      </c>
      <c r="CC52" s="421">
        <v>0.54</v>
      </c>
      <c r="CD52" s="421">
        <v>0.49</v>
      </c>
      <c r="CE52" s="421">
        <v>0.45</v>
      </c>
      <c r="CF52" s="421">
        <v>0.42</v>
      </c>
      <c r="CG52" s="421">
        <v>0.39</v>
      </c>
      <c r="CH52" s="421">
        <v>0.36</v>
      </c>
      <c r="CI52" s="421">
        <v>0.34</v>
      </c>
      <c r="CJ52" s="421">
        <v>0.32</v>
      </c>
      <c r="CK52" s="421">
        <v>0.3</v>
      </c>
      <c r="CL52" s="421">
        <v>0.28000000000000003</v>
      </c>
      <c r="CM52" s="421">
        <v>0.26</v>
      </c>
      <c r="CN52" s="421">
        <v>0.24</v>
      </c>
      <c r="CO52" s="421">
        <v>0.23</v>
      </c>
      <c r="CP52" s="421">
        <v>0.21</v>
      </c>
      <c r="CQ52" s="421">
        <v>0.2</v>
      </c>
      <c r="CR52" s="421">
        <v>0.19</v>
      </c>
      <c r="CS52" s="421">
        <v>0.18</v>
      </c>
      <c r="CT52" s="421">
        <v>0.17</v>
      </c>
    </row>
    <row r="53" spans="1:98" ht="13.9" x14ac:dyDescent="0.4">
      <c r="A53" s="11" t="str">
        <f>A6_Machine_Look_Up!A53</f>
        <v>Other Equipment</v>
      </c>
      <c r="B53" s="1302">
        <f>A6_Machine_Look_Up!H53</f>
        <v>100</v>
      </c>
      <c r="C53" s="405">
        <f>A6_Machine_Look_Up!I53</f>
        <v>0.7</v>
      </c>
      <c r="D53" s="468">
        <f>A6_Machine_Look_Up!J53</f>
        <v>8</v>
      </c>
      <c r="E53" s="441">
        <f>O53</f>
        <v>0.4</v>
      </c>
      <c r="F53" s="491">
        <f>A6_Machine_Look_Up!K53</f>
        <v>600</v>
      </c>
      <c r="G53" s="492">
        <f>A6_Machine_Look_Up!L53</f>
        <v>8</v>
      </c>
      <c r="H53" s="450">
        <f t="shared" si="46"/>
        <v>0.36</v>
      </c>
      <c r="I53" s="225">
        <f>A6_Machine_Look_Up!G53</f>
        <v>230</v>
      </c>
      <c r="J53" s="578">
        <f>A6_Machine_Look_Up!AG53</f>
        <v>0.63</v>
      </c>
      <c r="K53" s="579">
        <f>A6_Machine_Look_Up!AH53</f>
        <v>1.3</v>
      </c>
      <c r="L53" s="592">
        <f>A6_Machine_Look_Up!AI53</f>
        <v>1.33</v>
      </c>
      <c r="M53" s="677">
        <f>IF(OR(D53&lt;1,D53&gt;20),1,0)</f>
        <v>0</v>
      </c>
      <c r="N53" s="447" t="str">
        <f>A6_Machine_Look_Up!AE53</f>
        <v>Others</v>
      </c>
      <c r="O53" s="425">
        <f>SUM(P53:AI53)</f>
        <v>0.4</v>
      </c>
      <c r="P53" s="420">
        <f>IF($D53=1,AJ53,0)</f>
        <v>0</v>
      </c>
      <c r="Q53" s="420">
        <f>IF($D53=2,AK53,0)</f>
        <v>0</v>
      </c>
      <c r="R53" s="420">
        <f>IF($D53=3,AL53,0)</f>
        <v>0</v>
      </c>
      <c r="S53" s="420">
        <f>IF($D53=4,AM53,0)</f>
        <v>0</v>
      </c>
      <c r="T53" s="420">
        <f>IF($D53=5,AN53,0)</f>
        <v>0</v>
      </c>
      <c r="U53" s="420">
        <f>IF($D53=6,AO53,0)</f>
        <v>0</v>
      </c>
      <c r="V53" s="420">
        <f>IF($D53=7,AP53,0)</f>
        <v>0</v>
      </c>
      <c r="W53" s="420">
        <f>IF($D53=8,AQ53,0)</f>
        <v>0.4</v>
      </c>
      <c r="X53" s="420">
        <f>IF($D53=9,AR53,0)</f>
        <v>0</v>
      </c>
      <c r="Y53" s="420">
        <f>IF($D53=10,AS53,0)</f>
        <v>0</v>
      </c>
      <c r="Z53" s="420">
        <f>IF($D53=11,AT53,0)</f>
        <v>0</v>
      </c>
      <c r="AA53" s="420">
        <f>IF($D53=12,AU53,0)</f>
        <v>0</v>
      </c>
      <c r="AB53" s="420">
        <f>IF($D53=13,AV53,0)</f>
        <v>0</v>
      </c>
      <c r="AC53" s="420">
        <f>IF($D53=14,AW53,0)</f>
        <v>0</v>
      </c>
      <c r="AD53" s="420">
        <f>IF($D53=15,AX53,0)</f>
        <v>0</v>
      </c>
      <c r="AE53" s="420">
        <f>IF($D53=16,AY53,0)</f>
        <v>0</v>
      </c>
      <c r="AF53" s="420">
        <f>IF($D53=17,AZ53,0)</f>
        <v>0</v>
      </c>
      <c r="AG53" s="420">
        <f>IF($D53=18,BA53,0)</f>
        <v>0</v>
      </c>
      <c r="AH53" s="420">
        <f>IF($D53=19,BB53,0)</f>
        <v>0</v>
      </c>
      <c r="AI53" s="420">
        <f>IF($D53=20,BC53,0)</f>
        <v>0</v>
      </c>
      <c r="AJ53" s="421">
        <v>0.69</v>
      </c>
      <c r="AK53" s="421">
        <v>0.62</v>
      </c>
      <c r="AL53" s="421">
        <v>0.56000000000000005</v>
      </c>
      <c r="AM53" s="421">
        <v>0.52</v>
      </c>
      <c r="AN53" s="421">
        <v>0.48</v>
      </c>
      <c r="AO53" s="421">
        <v>0.45</v>
      </c>
      <c r="AP53" s="421">
        <v>0.42</v>
      </c>
      <c r="AQ53" s="421">
        <v>0.4</v>
      </c>
      <c r="AR53" s="421">
        <v>0.37</v>
      </c>
      <c r="AS53" s="421">
        <v>0.35</v>
      </c>
      <c r="AT53" s="421">
        <v>0.33</v>
      </c>
      <c r="AU53" s="421">
        <v>0.31</v>
      </c>
      <c r="AV53" s="421">
        <v>0.28999999999999998</v>
      </c>
      <c r="AW53" s="421">
        <v>0.28000000000000003</v>
      </c>
      <c r="AX53" s="421">
        <v>0.26</v>
      </c>
      <c r="AY53" s="421">
        <v>0.25</v>
      </c>
      <c r="AZ53" s="421">
        <v>0.24</v>
      </c>
      <c r="BA53" s="421">
        <v>0.22</v>
      </c>
      <c r="BB53" s="421">
        <v>0.21</v>
      </c>
      <c r="BC53" s="421">
        <v>0.2</v>
      </c>
      <c r="BD53" s="681">
        <f t="shared" si="47"/>
        <v>0</v>
      </c>
      <c r="BE53" s="417" t="s">
        <v>331</v>
      </c>
      <c r="BF53" s="425">
        <f t="shared" si="48"/>
        <v>0.36</v>
      </c>
      <c r="BG53" s="420">
        <f t="shared" si="49"/>
        <v>0</v>
      </c>
      <c r="BH53" s="420">
        <f t="shared" si="50"/>
        <v>0</v>
      </c>
      <c r="BI53" s="420">
        <f t="shared" si="51"/>
        <v>0</v>
      </c>
      <c r="BJ53" s="420">
        <f t="shared" si="52"/>
        <v>0</v>
      </c>
      <c r="BK53" s="420">
        <f t="shared" si="53"/>
        <v>0</v>
      </c>
      <c r="BL53" s="420">
        <f t="shared" si="54"/>
        <v>0</v>
      </c>
      <c r="BM53" s="420">
        <f t="shared" si="55"/>
        <v>0</v>
      </c>
      <c r="BN53" s="420">
        <f t="shared" si="56"/>
        <v>0.36</v>
      </c>
      <c r="BO53" s="420">
        <f t="shared" si="57"/>
        <v>0</v>
      </c>
      <c r="BP53" s="420">
        <f t="shared" si="58"/>
        <v>0</v>
      </c>
      <c r="BQ53" s="420">
        <f t="shared" si="59"/>
        <v>0</v>
      </c>
      <c r="BR53" s="420">
        <f t="shared" si="60"/>
        <v>0</v>
      </c>
      <c r="BS53" s="420">
        <f t="shared" si="61"/>
        <v>0</v>
      </c>
      <c r="BT53" s="420">
        <f t="shared" si="62"/>
        <v>0</v>
      </c>
      <c r="BU53" s="420">
        <f t="shared" si="63"/>
        <v>0</v>
      </c>
      <c r="BV53" s="420">
        <f t="shared" si="64"/>
        <v>0</v>
      </c>
      <c r="BW53" s="420">
        <f t="shared" si="65"/>
        <v>0</v>
      </c>
      <c r="BX53" s="420">
        <f t="shared" si="66"/>
        <v>0</v>
      </c>
      <c r="BY53" s="420">
        <f t="shared" si="67"/>
        <v>0</v>
      </c>
      <c r="BZ53" s="420">
        <f t="shared" si="68"/>
        <v>0</v>
      </c>
      <c r="CA53" s="421">
        <v>0.67</v>
      </c>
      <c r="CB53" s="421">
        <v>0.59</v>
      </c>
      <c r="CC53" s="421">
        <v>0.54</v>
      </c>
      <c r="CD53" s="421">
        <v>0.49</v>
      </c>
      <c r="CE53" s="421">
        <v>0.45</v>
      </c>
      <c r="CF53" s="421">
        <v>0.42</v>
      </c>
      <c r="CG53" s="421">
        <v>0.39</v>
      </c>
      <c r="CH53" s="421">
        <v>0.36</v>
      </c>
      <c r="CI53" s="421">
        <v>0.34</v>
      </c>
      <c r="CJ53" s="421">
        <v>0.32</v>
      </c>
      <c r="CK53" s="421">
        <v>0.3</v>
      </c>
      <c r="CL53" s="421">
        <v>0.28000000000000003</v>
      </c>
      <c r="CM53" s="421">
        <v>0.26</v>
      </c>
      <c r="CN53" s="421">
        <v>0.24</v>
      </c>
      <c r="CO53" s="421">
        <v>0.23</v>
      </c>
      <c r="CP53" s="421">
        <v>0.21</v>
      </c>
      <c r="CQ53" s="421">
        <v>0.2</v>
      </c>
      <c r="CR53" s="421">
        <v>0.19</v>
      </c>
      <c r="CS53" s="421">
        <v>0.18</v>
      </c>
      <c r="CT53" s="421">
        <v>0.17</v>
      </c>
    </row>
    <row r="54" spans="1:98" ht="14.25" thickBot="1" x14ac:dyDescent="0.45">
      <c r="A54" s="11" t="str">
        <f>A6_Machine_Look_Up!A54</f>
        <v>Other Equipment</v>
      </c>
      <c r="B54" s="1303">
        <f>A6_Machine_Look_Up!H54</f>
        <v>100</v>
      </c>
      <c r="C54" s="488">
        <f>A6_Machine_Look_Up!I54</f>
        <v>0.7</v>
      </c>
      <c r="D54" s="487">
        <f>A6_Machine_Look_Up!J54</f>
        <v>8</v>
      </c>
      <c r="E54" s="442">
        <f>O54</f>
        <v>0.4</v>
      </c>
      <c r="F54" s="493">
        <f>A6_Machine_Look_Up!K54</f>
        <v>600</v>
      </c>
      <c r="G54" s="188">
        <f>A6_Machine_Look_Up!L54</f>
        <v>8</v>
      </c>
      <c r="H54" s="536">
        <f t="shared" si="46"/>
        <v>0.36</v>
      </c>
      <c r="I54" s="575">
        <f>A6_Machine_Look_Up!G54</f>
        <v>230</v>
      </c>
      <c r="J54" s="582">
        <f>A6_Machine_Look_Up!AG54</f>
        <v>0.63</v>
      </c>
      <c r="K54" s="583">
        <f>A6_Machine_Look_Up!AH54</f>
        <v>1.3</v>
      </c>
      <c r="L54" s="593">
        <f>A6_Machine_Look_Up!AI54</f>
        <v>1.33</v>
      </c>
      <c r="M54" s="677">
        <f>IF(OR(D54&lt;1,D54&gt;20),1,0)</f>
        <v>0</v>
      </c>
      <c r="N54" s="447" t="str">
        <f>A6_Machine_Look_Up!AE54</f>
        <v>Others</v>
      </c>
      <c r="O54" s="425">
        <f>SUM(P54:AI54)</f>
        <v>0.4</v>
      </c>
      <c r="P54" s="420">
        <f>IF($D54=1,AJ54,0)</f>
        <v>0</v>
      </c>
      <c r="Q54" s="420">
        <f>IF($D54=2,AK54,0)</f>
        <v>0</v>
      </c>
      <c r="R54" s="420">
        <f>IF($D54=3,AL54,0)</f>
        <v>0</v>
      </c>
      <c r="S54" s="420">
        <f>IF($D54=4,AM54,0)</f>
        <v>0</v>
      </c>
      <c r="T54" s="420">
        <f>IF($D54=5,AN54,0)</f>
        <v>0</v>
      </c>
      <c r="U54" s="420">
        <f>IF($D54=6,AO54,0)</f>
        <v>0</v>
      </c>
      <c r="V54" s="420">
        <f>IF($D54=7,AP54,0)</f>
        <v>0</v>
      </c>
      <c r="W54" s="420">
        <f>IF($D54=8,AQ54,0)</f>
        <v>0.4</v>
      </c>
      <c r="X54" s="420">
        <f>IF($D54=9,AR54,0)</f>
        <v>0</v>
      </c>
      <c r="Y54" s="420">
        <f>IF($D54=10,AS54,0)</f>
        <v>0</v>
      </c>
      <c r="Z54" s="420">
        <f>IF($D54=11,AT54,0)</f>
        <v>0</v>
      </c>
      <c r="AA54" s="420">
        <f>IF($D54=12,AU54,0)</f>
        <v>0</v>
      </c>
      <c r="AB54" s="420">
        <f>IF($D54=13,AV54,0)</f>
        <v>0</v>
      </c>
      <c r="AC54" s="420">
        <f>IF($D54=14,AW54,0)</f>
        <v>0</v>
      </c>
      <c r="AD54" s="420">
        <f>IF($D54=15,AX54,0)</f>
        <v>0</v>
      </c>
      <c r="AE54" s="420">
        <f>IF($D54=16,AY54,0)</f>
        <v>0</v>
      </c>
      <c r="AF54" s="420">
        <f>IF($D54=17,AZ54,0)</f>
        <v>0</v>
      </c>
      <c r="AG54" s="420">
        <f>IF($D54=18,BA54,0)</f>
        <v>0</v>
      </c>
      <c r="AH54" s="420">
        <f>IF($D54=19,BB54,0)</f>
        <v>0</v>
      </c>
      <c r="AI54" s="420">
        <f>IF($D54=20,BC54,0)</f>
        <v>0</v>
      </c>
      <c r="AJ54" s="421">
        <v>0.69</v>
      </c>
      <c r="AK54" s="421">
        <v>0.62</v>
      </c>
      <c r="AL54" s="421">
        <v>0.56000000000000005</v>
      </c>
      <c r="AM54" s="421">
        <v>0.52</v>
      </c>
      <c r="AN54" s="421">
        <v>0.48</v>
      </c>
      <c r="AO54" s="421">
        <v>0.45</v>
      </c>
      <c r="AP54" s="421">
        <v>0.42</v>
      </c>
      <c r="AQ54" s="421">
        <v>0.4</v>
      </c>
      <c r="AR54" s="421">
        <v>0.37</v>
      </c>
      <c r="AS54" s="421">
        <v>0.35</v>
      </c>
      <c r="AT54" s="421">
        <v>0.33</v>
      </c>
      <c r="AU54" s="421">
        <v>0.31</v>
      </c>
      <c r="AV54" s="421">
        <v>0.28999999999999998</v>
      </c>
      <c r="AW54" s="421">
        <v>0.28000000000000003</v>
      </c>
      <c r="AX54" s="421">
        <v>0.26</v>
      </c>
      <c r="AY54" s="421">
        <v>0.25</v>
      </c>
      <c r="AZ54" s="421">
        <v>0.24</v>
      </c>
      <c r="BA54" s="421">
        <v>0.22</v>
      </c>
      <c r="BB54" s="421">
        <v>0.21</v>
      </c>
      <c r="BC54" s="421">
        <v>0.2</v>
      </c>
      <c r="BD54" s="681">
        <f t="shared" si="47"/>
        <v>0</v>
      </c>
      <c r="BE54" s="417" t="s">
        <v>331</v>
      </c>
      <c r="BF54" s="425">
        <f t="shared" si="48"/>
        <v>0.36</v>
      </c>
      <c r="BG54" s="420">
        <f t="shared" si="49"/>
        <v>0</v>
      </c>
      <c r="BH54" s="420">
        <f t="shared" si="50"/>
        <v>0</v>
      </c>
      <c r="BI54" s="420">
        <f t="shared" si="51"/>
        <v>0</v>
      </c>
      <c r="BJ54" s="420">
        <f t="shared" si="52"/>
        <v>0</v>
      </c>
      <c r="BK54" s="420">
        <f t="shared" si="53"/>
        <v>0</v>
      </c>
      <c r="BL54" s="420">
        <f t="shared" si="54"/>
        <v>0</v>
      </c>
      <c r="BM54" s="420">
        <f t="shared" si="55"/>
        <v>0</v>
      </c>
      <c r="BN54" s="420">
        <f t="shared" si="56"/>
        <v>0.36</v>
      </c>
      <c r="BO54" s="420">
        <f t="shared" si="57"/>
        <v>0</v>
      </c>
      <c r="BP54" s="420">
        <f t="shared" si="58"/>
        <v>0</v>
      </c>
      <c r="BQ54" s="420">
        <f t="shared" si="59"/>
        <v>0</v>
      </c>
      <c r="BR54" s="420">
        <f t="shared" si="60"/>
        <v>0</v>
      </c>
      <c r="BS54" s="420">
        <f t="shared" si="61"/>
        <v>0</v>
      </c>
      <c r="BT54" s="420">
        <f t="shared" si="62"/>
        <v>0</v>
      </c>
      <c r="BU54" s="420">
        <f t="shared" si="63"/>
        <v>0</v>
      </c>
      <c r="BV54" s="420">
        <f t="shared" si="64"/>
        <v>0</v>
      </c>
      <c r="BW54" s="420">
        <f t="shared" si="65"/>
        <v>0</v>
      </c>
      <c r="BX54" s="420">
        <f t="shared" si="66"/>
        <v>0</v>
      </c>
      <c r="BY54" s="420">
        <f t="shared" si="67"/>
        <v>0</v>
      </c>
      <c r="BZ54" s="420">
        <f t="shared" si="68"/>
        <v>0</v>
      </c>
      <c r="CA54" s="421">
        <v>0.67</v>
      </c>
      <c r="CB54" s="421">
        <v>0.59</v>
      </c>
      <c r="CC54" s="421">
        <v>0.54</v>
      </c>
      <c r="CD54" s="421">
        <v>0.49</v>
      </c>
      <c r="CE54" s="421">
        <v>0.45</v>
      </c>
      <c r="CF54" s="421">
        <v>0.42</v>
      </c>
      <c r="CG54" s="421">
        <v>0.39</v>
      </c>
      <c r="CH54" s="421">
        <v>0.36</v>
      </c>
      <c r="CI54" s="421">
        <v>0.34</v>
      </c>
      <c r="CJ54" s="421">
        <v>0.32</v>
      </c>
      <c r="CK54" s="421">
        <v>0.3</v>
      </c>
      <c r="CL54" s="421">
        <v>0.28000000000000003</v>
      </c>
      <c r="CM54" s="421">
        <v>0.26</v>
      </c>
      <c r="CN54" s="421">
        <v>0.24</v>
      </c>
      <c r="CO54" s="421">
        <v>0.23</v>
      </c>
      <c r="CP54" s="421">
        <v>0.21</v>
      </c>
      <c r="CQ54" s="421">
        <v>0.2</v>
      </c>
      <c r="CR54" s="421">
        <v>0.19</v>
      </c>
      <c r="CS54" s="421">
        <v>0.18</v>
      </c>
      <c r="CT54" s="421">
        <v>0.17</v>
      </c>
    </row>
    <row r="55" spans="1:98" ht="13.9" x14ac:dyDescent="0.4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678"/>
      <c r="N55" s="44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0"/>
      <c r="BB55" s="430"/>
      <c r="BC55" s="430"/>
      <c r="BD55" s="672"/>
      <c r="BE55" s="417"/>
      <c r="BF55" s="430"/>
      <c r="BG55" s="430"/>
      <c r="BH55" s="430"/>
      <c r="BI55" s="430"/>
      <c r="BJ55" s="430"/>
      <c r="BK55" s="430"/>
      <c r="BL55" s="430"/>
      <c r="BM55" s="430"/>
      <c r="BN55" s="430"/>
      <c r="BO55" s="430"/>
      <c r="BP55" s="430"/>
      <c r="BQ55" s="430"/>
      <c r="BR55" s="430"/>
      <c r="BS55" s="430"/>
      <c r="BT55" s="430"/>
      <c r="BU55" s="430"/>
      <c r="BV55" s="430"/>
      <c r="BW55" s="430"/>
      <c r="BX55" s="430"/>
      <c r="BY55" s="430"/>
      <c r="BZ55" s="430"/>
      <c r="CA55" s="417"/>
      <c r="CB55" s="417"/>
      <c r="CC55" s="417"/>
      <c r="CD55" s="417"/>
      <c r="CE55" s="417"/>
      <c r="CF55" s="417"/>
      <c r="CG55" s="417"/>
      <c r="CH55" s="417"/>
      <c r="CI55" s="417"/>
      <c r="CJ55" s="417"/>
      <c r="CK55" s="417"/>
      <c r="CL55" s="417"/>
      <c r="CM55" s="417"/>
      <c r="CN55" s="417"/>
      <c r="CO55" s="417"/>
      <c r="CP55" s="417"/>
      <c r="CQ55" s="417"/>
      <c r="CR55" s="417"/>
      <c r="CS55" s="417"/>
      <c r="CT55" s="417"/>
    </row>
    <row r="56" spans="1:98" ht="13.9" x14ac:dyDescent="0.4">
      <c r="A56" s="365"/>
      <c r="B56" s="412"/>
      <c r="C56" s="413"/>
      <c r="D56" s="412"/>
      <c r="E56" s="412"/>
      <c r="F56" s="412"/>
      <c r="G56" s="412"/>
      <c r="H56" s="412"/>
      <c r="I56" s="412"/>
      <c r="J56" s="412"/>
      <c r="K56" s="412"/>
      <c r="L56" s="412"/>
      <c r="M56" s="794"/>
      <c r="N56" s="44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  <c r="AY56" s="430"/>
      <c r="AZ56" s="430"/>
      <c r="BA56" s="430"/>
      <c r="BB56" s="430"/>
      <c r="BC56" s="430"/>
      <c r="BD56" s="672"/>
      <c r="BE56" s="417"/>
      <c r="BF56" s="430"/>
      <c r="BG56" s="430"/>
      <c r="BH56" s="430"/>
      <c r="BI56" s="430"/>
      <c r="BJ56" s="430"/>
      <c r="BK56" s="430"/>
      <c r="BL56" s="430"/>
      <c r="BM56" s="430"/>
      <c r="BN56" s="430"/>
      <c r="BO56" s="430"/>
      <c r="BP56" s="430"/>
      <c r="BQ56" s="430"/>
      <c r="BR56" s="430"/>
      <c r="BS56" s="430"/>
      <c r="BT56" s="430"/>
      <c r="BU56" s="430"/>
      <c r="BV56" s="430"/>
      <c r="BW56" s="430"/>
      <c r="BX56" s="430"/>
      <c r="BY56" s="430"/>
      <c r="BZ56" s="430"/>
      <c r="CA56" s="417"/>
      <c r="CB56" s="417"/>
      <c r="CC56" s="417"/>
      <c r="CD56" s="417"/>
      <c r="CE56" s="417"/>
      <c r="CF56" s="417"/>
      <c r="CG56" s="417"/>
      <c r="CH56" s="417"/>
      <c r="CI56" s="417"/>
      <c r="CJ56" s="417"/>
      <c r="CK56" s="417"/>
      <c r="CL56" s="417"/>
      <c r="CM56" s="417"/>
      <c r="CN56" s="417"/>
      <c r="CO56" s="417"/>
      <c r="CP56" s="417"/>
      <c r="CQ56" s="417"/>
      <c r="CR56" s="417"/>
      <c r="CS56" s="417"/>
      <c r="CT56" s="417"/>
    </row>
    <row r="57" spans="1:98" ht="14.25" thickBot="1" x14ac:dyDescent="0.45">
      <c r="A57" s="372" t="s">
        <v>74</v>
      </c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794"/>
      <c r="N57" s="44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  <c r="AU57" s="430"/>
      <c r="AV57" s="430"/>
      <c r="AW57" s="430"/>
      <c r="AX57" s="430"/>
      <c r="AY57" s="430"/>
      <c r="AZ57" s="430"/>
      <c r="BA57" s="430"/>
      <c r="BB57" s="430"/>
      <c r="BC57" s="430"/>
      <c r="BD57" s="672"/>
      <c r="BE57" s="417"/>
      <c r="BF57" s="430"/>
      <c r="BG57" s="430"/>
      <c r="BH57" s="430"/>
      <c r="BI57" s="430"/>
      <c r="BJ57" s="430"/>
      <c r="BK57" s="430"/>
      <c r="BL57" s="430"/>
      <c r="BM57" s="430"/>
      <c r="BN57" s="430"/>
      <c r="BO57" s="430"/>
      <c r="BP57" s="430"/>
      <c r="BQ57" s="430"/>
      <c r="BR57" s="430"/>
      <c r="BS57" s="430"/>
      <c r="BT57" s="430"/>
      <c r="BU57" s="430"/>
      <c r="BV57" s="430"/>
      <c r="BW57" s="430"/>
      <c r="BX57" s="430"/>
      <c r="BY57" s="430"/>
      <c r="BZ57" s="430"/>
      <c r="CA57" s="417"/>
      <c r="CB57" s="417"/>
      <c r="CC57" s="417"/>
      <c r="CD57" s="417"/>
      <c r="CE57" s="417"/>
      <c r="CF57" s="417"/>
      <c r="CG57" s="417"/>
      <c r="CH57" s="417"/>
      <c r="CI57" s="417"/>
      <c r="CJ57" s="417"/>
      <c r="CK57" s="417"/>
      <c r="CL57" s="417"/>
      <c r="CM57" s="417"/>
      <c r="CN57" s="417"/>
      <c r="CO57" s="417"/>
      <c r="CP57" s="417"/>
      <c r="CQ57" s="417"/>
      <c r="CR57" s="417"/>
      <c r="CS57" s="417"/>
      <c r="CT57" s="417"/>
    </row>
    <row r="58" spans="1:98" ht="13.9" x14ac:dyDescent="0.4">
      <c r="A58" s="25" t="str">
        <f>A6_Machine_Look_Up!A58</f>
        <v>Self-Propelled Sprayer</v>
      </c>
      <c r="B58" s="1301">
        <f>A6_Machine_Look_Up!H58</f>
        <v>120</v>
      </c>
      <c r="C58" s="485">
        <f>A6_Machine_Look_Up!I58</f>
        <v>0.65</v>
      </c>
      <c r="D58" s="486">
        <f>A6_Machine_Look_Up!J58</f>
        <v>8</v>
      </c>
      <c r="E58" s="440">
        <f>O58</f>
        <v>0.44</v>
      </c>
      <c r="F58" s="1301">
        <f>A6_Machine_Look_Up!K58</f>
        <v>0</v>
      </c>
      <c r="G58" s="486">
        <f>A6_Machine_Look_Up!L58</f>
        <v>0</v>
      </c>
      <c r="H58" s="1122"/>
      <c r="I58" s="1122"/>
      <c r="J58" s="584">
        <f>A6_Machine_Look_Up!AG58</f>
        <v>0.11</v>
      </c>
      <c r="K58" s="790">
        <f>A6_Machine_Look_Up!AH58</f>
        <v>1.8</v>
      </c>
      <c r="L58" s="788">
        <f>A6_Machine_Look_Up!AI58</f>
        <v>1.25</v>
      </c>
      <c r="M58" s="677">
        <f>IF(OR(D58&lt;1,D58&gt;20),1,0)</f>
        <v>0</v>
      </c>
      <c r="N58" s="447" t="str">
        <f>A6_Machine_Look_Up!AE58</f>
        <v>Sprayer</v>
      </c>
      <c r="O58" s="425">
        <f>SUM(P58:AI58)</f>
        <v>0.44</v>
      </c>
      <c r="P58" s="420">
        <f>IF($D58=1,AJ58,0)</f>
        <v>0</v>
      </c>
      <c r="Q58" s="420">
        <f>IF($D58=2,AK58,0)</f>
        <v>0</v>
      </c>
      <c r="R58" s="420">
        <f>IF($D58=3,AL58,0)</f>
        <v>0</v>
      </c>
      <c r="S58" s="420">
        <f>IF($D58=4,AM58,0)</f>
        <v>0</v>
      </c>
      <c r="T58" s="420">
        <f>IF($D58=5,AN58,0)</f>
        <v>0</v>
      </c>
      <c r="U58" s="420">
        <f>IF($D58=6,AO58,0)</f>
        <v>0</v>
      </c>
      <c r="V58" s="420">
        <f>IF($D58=7,AP58,0)</f>
        <v>0</v>
      </c>
      <c r="W58" s="420">
        <f>IF($D58=8,AQ58,0)</f>
        <v>0.44</v>
      </c>
      <c r="X58" s="420">
        <f>IF($D58=9,AR58,0)</f>
        <v>0</v>
      </c>
      <c r="Y58" s="420">
        <f>IF($D58=10,AS58,0)</f>
        <v>0</v>
      </c>
      <c r="Z58" s="420">
        <f>IF($D58=11,AT58,0)</f>
        <v>0</v>
      </c>
      <c r="AA58" s="420">
        <f>IF($D58=12,AU58,0)</f>
        <v>0</v>
      </c>
      <c r="AB58" s="420">
        <f>IF($D58=13,AV58,0)</f>
        <v>0</v>
      </c>
      <c r="AC58" s="420">
        <f>IF($D58=14,AW58,0)</f>
        <v>0</v>
      </c>
      <c r="AD58" s="420">
        <f>IF($D58=15,AX58,0)</f>
        <v>0</v>
      </c>
      <c r="AE58" s="420">
        <f>IF($D58=16,AY58,0)</f>
        <v>0</v>
      </c>
      <c r="AF58" s="420">
        <f>IF($D58=17,AZ58,0)</f>
        <v>0</v>
      </c>
      <c r="AG58" s="420">
        <f>IF($D58=18,BA58,0)</f>
        <v>0</v>
      </c>
      <c r="AH58" s="420">
        <f>IF($D58=19,BB58,0)</f>
        <v>0</v>
      </c>
      <c r="AI58" s="420">
        <f>IF($D58=20,BC58,0)</f>
        <v>0</v>
      </c>
      <c r="AJ58" s="421">
        <v>0.65</v>
      </c>
      <c r="AK58" s="421">
        <v>0.6</v>
      </c>
      <c r="AL58" s="421">
        <v>0.56000000000000005</v>
      </c>
      <c r="AM58" s="421">
        <v>0.53</v>
      </c>
      <c r="AN58" s="421">
        <v>0.5</v>
      </c>
      <c r="AO58" s="421">
        <v>0.48</v>
      </c>
      <c r="AP58" s="421">
        <v>0.46</v>
      </c>
      <c r="AQ58" s="421">
        <v>0.44</v>
      </c>
      <c r="AR58" s="421">
        <v>0.42</v>
      </c>
      <c r="AS58" s="421">
        <v>0.4</v>
      </c>
      <c r="AT58" s="421">
        <v>0.39</v>
      </c>
      <c r="AU58" s="421">
        <v>0.38</v>
      </c>
      <c r="AV58" s="421">
        <v>0.36</v>
      </c>
      <c r="AW58" s="421">
        <v>0.35</v>
      </c>
      <c r="AX58" s="421">
        <v>0.34</v>
      </c>
      <c r="AY58" s="421">
        <v>0.33</v>
      </c>
      <c r="AZ58" s="421">
        <v>0.32</v>
      </c>
      <c r="BA58" s="421">
        <v>0.3</v>
      </c>
      <c r="BB58" s="421">
        <v>0.28999999999999998</v>
      </c>
      <c r="BC58" s="421">
        <v>0.28999999999999998</v>
      </c>
      <c r="BD58" s="682"/>
      <c r="BE58" s="44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8"/>
      <c r="BP58" s="498"/>
      <c r="BQ58" s="498"/>
      <c r="BR58" s="498"/>
      <c r="BS58" s="498"/>
      <c r="BT58" s="498"/>
      <c r="BU58" s="498"/>
      <c r="BV58" s="498"/>
      <c r="BW58" s="498"/>
      <c r="BX58" s="498"/>
      <c r="BY58" s="498"/>
      <c r="BZ58" s="498"/>
      <c r="CA58" s="448"/>
      <c r="CB58" s="448"/>
      <c r="CC58" s="448"/>
      <c r="CD58" s="448"/>
      <c r="CE58" s="448"/>
      <c r="CF58" s="448"/>
      <c r="CG58" s="448"/>
      <c r="CH58" s="448"/>
      <c r="CI58" s="448"/>
      <c r="CJ58" s="448"/>
      <c r="CK58" s="448"/>
      <c r="CL58" s="448"/>
      <c r="CM58" s="448"/>
      <c r="CN58" s="448"/>
      <c r="CO58" s="448"/>
      <c r="CP58" s="448"/>
      <c r="CQ58" s="448"/>
      <c r="CR58" s="448"/>
      <c r="CS58" s="448"/>
      <c r="CT58" s="448"/>
    </row>
    <row r="59" spans="1:98" ht="13.9" x14ac:dyDescent="0.4">
      <c r="A59" s="26" t="str">
        <f>A6_Machine_Look_Up!A59</f>
        <v>ATV with  Spot, Levee Sprayer</v>
      </c>
      <c r="B59" s="1302">
        <f>A6_Machine_Look_Up!H59</f>
        <v>80</v>
      </c>
      <c r="C59" s="405">
        <f>A6_Machine_Look_Up!I59</f>
        <v>0.25</v>
      </c>
      <c r="D59" s="468">
        <f>A6_Machine_Look_Up!J59</f>
        <v>8</v>
      </c>
      <c r="E59" s="441">
        <f>O59</f>
        <v>0.28999999999999998</v>
      </c>
      <c r="F59" s="1302">
        <f>A6_Machine_Look_Up!K59</f>
        <v>0</v>
      </c>
      <c r="G59" s="468">
        <f>A6_Machine_Look_Up!L59</f>
        <v>0</v>
      </c>
      <c r="H59" s="1123"/>
      <c r="I59" s="1123"/>
      <c r="J59" s="182">
        <f>A6_Machine_Look_Up!AG59</f>
        <v>0.28000000000000003</v>
      </c>
      <c r="K59" s="579">
        <f>A6_Machine_Look_Up!AH59</f>
        <v>1.4</v>
      </c>
      <c r="L59" s="592">
        <f>A6_Machine_Look_Up!AI59</f>
        <v>1.04</v>
      </c>
      <c r="M59" s="677">
        <f>IF(OR(D59&lt;1,D59&gt;20),1,0)</f>
        <v>0</v>
      </c>
      <c r="N59" s="447" t="str">
        <f>A6_Machine_Look_Up!AE59</f>
        <v>Vehicle</v>
      </c>
      <c r="O59" s="425">
        <f>SUM(P59:AI59)</f>
        <v>0.28999999999999998</v>
      </c>
      <c r="P59" s="420">
        <f>IF($D59=1,AJ59,0)</f>
        <v>0</v>
      </c>
      <c r="Q59" s="420">
        <f>IF($D59=2,AK59,0)</f>
        <v>0</v>
      </c>
      <c r="R59" s="420">
        <f>IF($D59=3,AL59,0)</f>
        <v>0</v>
      </c>
      <c r="S59" s="420">
        <f>IF($D59=4,AM59,0)</f>
        <v>0</v>
      </c>
      <c r="T59" s="420">
        <f>IF($D59=5,AN59,0)</f>
        <v>0</v>
      </c>
      <c r="U59" s="420">
        <f>IF($D59=6,AO59,0)</f>
        <v>0</v>
      </c>
      <c r="V59" s="420">
        <f>IF($D59=7,AP59,0)</f>
        <v>0</v>
      </c>
      <c r="W59" s="420">
        <f>IF($D59=8,AQ59,0)</f>
        <v>0.28999999999999998</v>
      </c>
      <c r="X59" s="420">
        <f>IF($D59=9,AR59,0)</f>
        <v>0</v>
      </c>
      <c r="Y59" s="420">
        <f>IF($D59=10,AS59,0)</f>
        <v>0</v>
      </c>
      <c r="Z59" s="420">
        <f>IF($D59=11,AT59,0)</f>
        <v>0</v>
      </c>
      <c r="AA59" s="420">
        <f>IF($D59=12,AU59,0)</f>
        <v>0</v>
      </c>
      <c r="AB59" s="420">
        <f>IF($D59=13,AV59,0)</f>
        <v>0</v>
      </c>
      <c r="AC59" s="420">
        <f>IF($D59=14,AW59,0)</f>
        <v>0</v>
      </c>
      <c r="AD59" s="420">
        <f>IF($D59=15,AX59,0)</f>
        <v>0</v>
      </c>
      <c r="AE59" s="420">
        <f>IF($D59=16,AY59,0)</f>
        <v>0</v>
      </c>
      <c r="AF59" s="420">
        <f>IF($D59=17,AZ59,0)</f>
        <v>0</v>
      </c>
      <c r="AG59" s="420">
        <f>IF($D59=18,BA59,0)</f>
        <v>0</v>
      </c>
      <c r="AH59" s="420">
        <f>IF($D59=19,BB59,0)</f>
        <v>0</v>
      </c>
      <c r="AI59" s="420">
        <f>IF($D59=20,BC59,0)</f>
        <v>0</v>
      </c>
      <c r="AJ59" s="421">
        <v>0.42</v>
      </c>
      <c r="AK59" s="421">
        <v>0.39</v>
      </c>
      <c r="AL59" s="421">
        <v>0.36</v>
      </c>
      <c r="AM59" s="421">
        <v>0.34</v>
      </c>
      <c r="AN59" s="421">
        <v>0.33</v>
      </c>
      <c r="AO59" s="421">
        <v>0.31</v>
      </c>
      <c r="AP59" s="421">
        <v>0.3</v>
      </c>
      <c r="AQ59" s="421">
        <v>0.28999999999999998</v>
      </c>
      <c r="AR59" s="421">
        <v>0.27</v>
      </c>
      <c r="AS59" s="421">
        <v>0.26</v>
      </c>
      <c r="AT59" s="421">
        <v>0.25</v>
      </c>
      <c r="AU59" s="421">
        <v>0.24</v>
      </c>
      <c r="AV59" s="421">
        <v>0.24</v>
      </c>
      <c r="AW59" s="421">
        <v>0.23</v>
      </c>
      <c r="AX59" s="421">
        <v>0.22</v>
      </c>
      <c r="AY59" s="421">
        <v>0.21</v>
      </c>
      <c r="AZ59" s="421">
        <v>0.2</v>
      </c>
      <c r="BA59" s="421">
        <v>0.2</v>
      </c>
      <c r="BB59" s="421">
        <v>0.19</v>
      </c>
      <c r="BC59" s="421">
        <v>0.19</v>
      </c>
      <c r="BD59" s="683"/>
      <c r="BE59" s="448"/>
      <c r="BF59" s="498"/>
      <c r="BG59" s="498"/>
      <c r="BH59" s="498"/>
      <c r="BI59" s="498"/>
      <c r="BJ59" s="498"/>
      <c r="BK59" s="498"/>
      <c r="BL59" s="498"/>
      <c r="BM59" s="498"/>
      <c r="BN59" s="498"/>
      <c r="BO59" s="498"/>
      <c r="BP59" s="498"/>
      <c r="BQ59" s="498"/>
      <c r="BR59" s="498"/>
      <c r="BS59" s="498"/>
      <c r="BT59" s="498"/>
      <c r="BU59" s="498"/>
      <c r="BV59" s="498"/>
      <c r="BW59" s="498"/>
      <c r="BX59" s="498"/>
      <c r="BY59" s="498"/>
      <c r="BZ59" s="498"/>
      <c r="CA59" s="448"/>
      <c r="CB59" s="448"/>
      <c r="CC59" s="448"/>
      <c r="CD59" s="448"/>
      <c r="CE59" s="448"/>
      <c r="CF59" s="448"/>
      <c r="CG59" s="448"/>
      <c r="CH59" s="448"/>
      <c r="CI59" s="448"/>
      <c r="CJ59" s="448"/>
      <c r="CK59" s="448"/>
      <c r="CL59" s="448"/>
      <c r="CM59" s="448"/>
      <c r="CN59" s="448"/>
      <c r="CO59" s="448"/>
      <c r="CP59" s="448"/>
      <c r="CQ59" s="448"/>
      <c r="CR59" s="448"/>
      <c r="CS59" s="448"/>
      <c r="CT59" s="448"/>
    </row>
    <row r="60" spans="1:98" ht="14.25" thickBot="1" x14ac:dyDescent="0.45">
      <c r="A60" s="27" t="str">
        <f>A6_Machine_Look_Up!A60</f>
        <v>Dry Box Spreader</v>
      </c>
      <c r="B60" s="1303">
        <f>A6_Machine_Look_Up!H60</f>
        <v>120</v>
      </c>
      <c r="C60" s="488">
        <f>A6_Machine_Look_Up!I60</f>
        <v>0.65</v>
      </c>
      <c r="D60" s="487">
        <f>A6_Machine_Look_Up!J60</f>
        <v>8</v>
      </c>
      <c r="E60" s="442">
        <f>O60</f>
        <v>0.44</v>
      </c>
      <c r="F60" s="1303">
        <f>A6_Machine_Look_Up!K60</f>
        <v>0</v>
      </c>
      <c r="G60" s="487">
        <f>A6_Machine_Look_Up!L60</f>
        <v>0</v>
      </c>
      <c r="H60" s="1124"/>
      <c r="I60" s="1124"/>
      <c r="J60" s="189">
        <f>A6_Machine_Look_Up!AG60</f>
        <v>0.11</v>
      </c>
      <c r="K60" s="791">
        <f>A6_Machine_Look_Up!AH60</f>
        <v>1.8</v>
      </c>
      <c r="L60" s="789">
        <f>A6_Machine_Look_Up!AI60</f>
        <v>1.25</v>
      </c>
      <c r="M60" s="677">
        <f>IF(OR(D60&lt;1,D60&gt;20),1,0)</f>
        <v>0</v>
      </c>
      <c r="N60" s="447" t="str">
        <f>A6_Machine_Look_Up!AE60</f>
        <v>Sprayer</v>
      </c>
      <c r="O60" s="425">
        <f>SUM(P60:AI60)</f>
        <v>0.44</v>
      </c>
      <c r="P60" s="420">
        <f>IF($D60=1,AJ60,0)</f>
        <v>0</v>
      </c>
      <c r="Q60" s="420">
        <f>IF($D60=2,AK60,0)</f>
        <v>0</v>
      </c>
      <c r="R60" s="420">
        <f>IF($D60=3,AL60,0)</f>
        <v>0</v>
      </c>
      <c r="S60" s="420">
        <f>IF($D60=4,AM60,0)</f>
        <v>0</v>
      </c>
      <c r="T60" s="420">
        <f>IF($D60=5,AN60,0)</f>
        <v>0</v>
      </c>
      <c r="U60" s="420">
        <f>IF($D60=6,AO60,0)</f>
        <v>0</v>
      </c>
      <c r="V60" s="420">
        <f>IF($D60=7,AP60,0)</f>
        <v>0</v>
      </c>
      <c r="W60" s="420">
        <f>IF($D60=8,AQ60,0)</f>
        <v>0.44</v>
      </c>
      <c r="X60" s="420">
        <f>IF($D60=9,AR60,0)</f>
        <v>0</v>
      </c>
      <c r="Y60" s="420">
        <f>IF($D60=10,AS60,0)</f>
        <v>0</v>
      </c>
      <c r="Z60" s="420">
        <f>IF($D60=11,AT60,0)</f>
        <v>0</v>
      </c>
      <c r="AA60" s="420">
        <f>IF($D60=12,AU60,0)</f>
        <v>0</v>
      </c>
      <c r="AB60" s="420">
        <f>IF($D60=13,AV60,0)</f>
        <v>0</v>
      </c>
      <c r="AC60" s="420">
        <f>IF($D60=14,AW60,0)</f>
        <v>0</v>
      </c>
      <c r="AD60" s="420">
        <f>IF($D60=15,AX60,0)</f>
        <v>0</v>
      </c>
      <c r="AE60" s="420">
        <f>IF($D60=16,AY60,0)</f>
        <v>0</v>
      </c>
      <c r="AF60" s="420">
        <f>IF($D60=17,AZ60,0)</f>
        <v>0</v>
      </c>
      <c r="AG60" s="420">
        <f>IF($D60=18,BA60,0)</f>
        <v>0</v>
      </c>
      <c r="AH60" s="420">
        <f>IF($D60=19,BB60,0)</f>
        <v>0</v>
      </c>
      <c r="AI60" s="420">
        <f>IF($D60=20,BC60,0)</f>
        <v>0</v>
      </c>
      <c r="AJ60" s="421">
        <v>0.65</v>
      </c>
      <c r="AK60" s="421">
        <v>0.6</v>
      </c>
      <c r="AL60" s="421">
        <v>0.56000000000000005</v>
      </c>
      <c r="AM60" s="421">
        <v>0.53</v>
      </c>
      <c r="AN60" s="421">
        <v>0.5</v>
      </c>
      <c r="AO60" s="421">
        <v>0.48</v>
      </c>
      <c r="AP60" s="421">
        <v>0.46</v>
      </c>
      <c r="AQ60" s="421">
        <v>0.44</v>
      </c>
      <c r="AR60" s="421">
        <v>0.42</v>
      </c>
      <c r="AS60" s="421">
        <v>0.4</v>
      </c>
      <c r="AT60" s="421">
        <v>0.39</v>
      </c>
      <c r="AU60" s="421">
        <v>0.38</v>
      </c>
      <c r="AV60" s="421">
        <v>0.36</v>
      </c>
      <c r="AW60" s="421">
        <v>0.35</v>
      </c>
      <c r="AX60" s="421">
        <v>0.34</v>
      </c>
      <c r="AY60" s="421">
        <v>0.33</v>
      </c>
      <c r="AZ60" s="421">
        <v>0.32</v>
      </c>
      <c r="BA60" s="421">
        <v>0.3</v>
      </c>
      <c r="BB60" s="421">
        <v>0.28999999999999998</v>
      </c>
      <c r="BC60" s="421">
        <v>0.28999999999999998</v>
      </c>
      <c r="BD60" s="682"/>
      <c r="BE60" s="448"/>
      <c r="BF60" s="498"/>
      <c r="BG60" s="498"/>
      <c r="BH60" s="498"/>
      <c r="BI60" s="498"/>
      <c r="BJ60" s="498"/>
      <c r="BK60" s="498"/>
      <c r="BL60" s="498"/>
      <c r="BM60" s="498"/>
      <c r="BN60" s="498"/>
      <c r="BO60" s="498"/>
      <c r="BP60" s="498"/>
      <c r="BQ60" s="498"/>
      <c r="BR60" s="498"/>
      <c r="BS60" s="498"/>
      <c r="BT60" s="498"/>
      <c r="BU60" s="498"/>
      <c r="BV60" s="498"/>
      <c r="BW60" s="498"/>
      <c r="BX60" s="498"/>
      <c r="BY60" s="498"/>
      <c r="BZ60" s="498"/>
      <c r="CA60" s="448"/>
      <c r="CB60" s="448"/>
      <c r="CC60" s="448"/>
      <c r="CD60" s="448"/>
      <c r="CE60" s="448"/>
      <c r="CF60" s="448"/>
      <c r="CG60" s="448"/>
      <c r="CH60" s="448"/>
      <c r="CI60" s="448"/>
      <c r="CJ60" s="448"/>
      <c r="CK60" s="448"/>
      <c r="CL60" s="448"/>
      <c r="CM60" s="448"/>
      <c r="CN60" s="448"/>
      <c r="CO60" s="448"/>
      <c r="CP60" s="448"/>
      <c r="CQ60" s="448"/>
      <c r="CR60" s="448"/>
      <c r="CS60" s="448"/>
      <c r="CT60" s="448"/>
    </row>
    <row r="61" spans="1:98" ht="13.9" x14ac:dyDescent="0.4">
      <c r="A61" s="352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678"/>
      <c r="N61" s="44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  <c r="AY61" s="430"/>
      <c r="AZ61" s="430"/>
      <c r="BA61" s="430"/>
      <c r="BB61" s="430"/>
      <c r="BC61" s="430"/>
      <c r="BD61" s="672"/>
      <c r="BE61" s="417"/>
      <c r="BF61" s="430"/>
      <c r="BG61" s="430"/>
      <c r="BH61" s="430"/>
      <c r="BI61" s="430"/>
      <c r="BJ61" s="430"/>
      <c r="BK61" s="430"/>
      <c r="BL61" s="430"/>
      <c r="BM61" s="430"/>
      <c r="BN61" s="430"/>
      <c r="BO61" s="430"/>
      <c r="BP61" s="430"/>
      <c r="BQ61" s="430"/>
      <c r="BR61" s="430"/>
      <c r="BS61" s="430"/>
      <c r="BT61" s="430"/>
      <c r="BU61" s="430"/>
      <c r="BV61" s="430"/>
      <c r="BW61" s="430"/>
      <c r="BX61" s="430"/>
      <c r="BY61" s="430"/>
      <c r="BZ61" s="430"/>
      <c r="CA61" s="417"/>
      <c r="CB61" s="417"/>
      <c r="CC61" s="417"/>
      <c r="CD61" s="417"/>
      <c r="CE61" s="417"/>
      <c r="CF61" s="417"/>
      <c r="CG61" s="417"/>
      <c r="CH61" s="417"/>
      <c r="CI61" s="417"/>
      <c r="CJ61" s="417"/>
      <c r="CK61" s="417"/>
      <c r="CL61" s="417"/>
      <c r="CM61" s="417"/>
      <c r="CN61" s="417"/>
      <c r="CO61" s="417"/>
      <c r="CP61" s="417"/>
      <c r="CQ61" s="417"/>
      <c r="CR61" s="417"/>
      <c r="CS61" s="417"/>
      <c r="CT61" s="417"/>
    </row>
    <row r="62" spans="1:98" ht="13.9" x14ac:dyDescent="0.4">
      <c r="A62" s="365"/>
      <c r="B62" s="412"/>
      <c r="C62" s="413"/>
      <c r="D62" s="412"/>
      <c r="E62" s="412"/>
      <c r="F62" s="412"/>
      <c r="G62" s="412"/>
      <c r="H62" s="412"/>
      <c r="I62" s="412"/>
      <c r="J62" s="412"/>
      <c r="K62" s="412"/>
      <c r="L62" s="412"/>
      <c r="M62" s="794"/>
      <c r="N62" s="44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  <c r="AY62" s="430"/>
      <c r="AZ62" s="430"/>
      <c r="BA62" s="430"/>
      <c r="BB62" s="430"/>
      <c r="BC62" s="430"/>
      <c r="BD62" s="672"/>
      <c r="BE62" s="417"/>
      <c r="BF62" s="430"/>
      <c r="BG62" s="430"/>
      <c r="BH62" s="430"/>
      <c r="BI62" s="430"/>
      <c r="BJ62" s="430"/>
      <c r="BK62" s="430"/>
      <c r="BL62" s="430"/>
      <c r="BM62" s="430"/>
      <c r="BN62" s="430"/>
      <c r="BO62" s="430"/>
      <c r="BP62" s="430"/>
      <c r="BQ62" s="430"/>
      <c r="BR62" s="430"/>
      <c r="BS62" s="430"/>
      <c r="BT62" s="430"/>
      <c r="BU62" s="430"/>
      <c r="BV62" s="430"/>
      <c r="BW62" s="430"/>
      <c r="BX62" s="430"/>
      <c r="BY62" s="430"/>
      <c r="BZ62" s="430"/>
      <c r="CA62" s="417"/>
      <c r="CB62" s="417"/>
      <c r="CC62" s="417"/>
      <c r="CD62" s="417"/>
      <c r="CE62" s="417"/>
      <c r="CF62" s="417"/>
      <c r="CG62" s="417"/>
      <c r="CH62" s="417"/>
      <c r="CI62" s="417"/>
      <c r="CJ62" s="417"/>
      <c r="CK62" s="417"/>
      <c r="CL62" s="417"/>
      <c r="CM62" s="417"/>
      <c r="CN62" s="417"/>
      <c r="CO62" s="417"/>
      <c r="CP62" s="417"/>
      <c r="CQ62" s="417"/>
      <c r="CR62" s="417"/>
      <c r="CS62" s="417"/>
      <c r="CT62" s="417"/>
    </row>
    <row r="63" spans="1:98" ht="14.25" thickBot="1" x14ac:dyDescent="0.45">
      <c r="A63" s="372" t="s">
        <v>79</v>
      </c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794"/>
      <c r="N63" s="447"/>
      <c r="O63" s="417"/>
      <c r="P63" s="417"/>
      <c r="Q63" s="417"/>
      <c r="R63" s="417"/>
      <c r="S63" s="417"/>
      <c r="T63" s="417"/>
      <c r="U63" s="417"/>
      <c r="V63" s="417"/>
      <c r="W63" s="417"/>
      <c r="X63" s="417"/>
      <c r="Y63" s="417"/>
      <c r="Z63" s="417"/>
      <c r="AA63" s="417"/>
      <c r="AB63" s="417"/>
      <c r="AC63" s="417"/>
      <c r="AD63" s="417"/>
      <c r="AE63" s="417"/>
      <c r="AF63" s="417"/>
      <c r="AG63" s="417"/>
      <c r="AH63" s="417"/>
      <c r="AI63" s="417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  <c r="AY63" s="430"/>
      <c r="AZ63" s="430"/>
      <c r="BA63" s="430"/>
      <c r="BB63" s="430"/>
      <c r="BC63" s="430"/>
      <c r="BD63" s="672"/>
      <c r="BE63" s="417"/>
      <c r="BF63" s="430"/>
      <c r="BG63" s="430"/>
      <c r="BH63" s="430"/>
      <c r="BI63" s="430"/>
      <c r="BJ63" s="430"/>
      <c r="BK63" s="430"/>
      <c r="BL63" s="430"/>
      <c r="BM63" s="430"/>
      <c r="BN63" s="430"/>
      <c r="BO63" s="430"/>
      <c r="BP63" s="430"/>
      <c r="BQ63" s="430"/>
      <c r="BR63" s="430"/>
      <c r="BS63" s="430"/>
      <c r="BT63" s="430"/>
      <c r="BU63" s="430"/>
      <c r="BV63" s="430"/>
      <c r="BW63" s="430"/>
      <c r="BX63" s="430"/>
      <c r="BY63" s="430"/>
      <c r="BZ63" s="430"/>
      <c r="CA63" s="417"/>
      <c r="CB63" s="417"/>
      <c r="CC63" s="417"/>
      <c r="CD63" s="417"/>
      <c r="CE63" s="417"/>
      <c r="CF63" s="417"/>
      <c r="CG63" s="417"/>
      <c r="CH63" s="417"/>
      <c r="CI63" s="417"/>
      <c r="CJ63" s="417"/>
      <c r="CK63" s="417"/>
      <c r="CL63" s="417"/>
      <c r="CM63" s="417"/>
      <c r="CN63" s="417"/>
      <c r="CO63" s="417"/>
      <c r="CP63" s="417"/>
      <c r="CQ63" s="417"/>
      <c r="CR63" s="417"/>
      <c r="CS63" s="417"/>
      <c r="CT63" s="417"/>
    </row>
    <row r="64" spans="1:98" ht="13.9" x14ac:dyDescent="0.4">
      <c r="A64" s="25" t="str">
        <f>A6_Machine_Look_Up!A64</f>
        <v>Cotton Picker</v>
      </c>
      <c r="B64" s="1301">
        <f>A6_Machine_Look_Up!H64</f>
        <v>200</v>
      </c>
      <c r="C64" s="485">
        <f>A6_Machine_Look_Up!I64</f>
        <v>0.7</v>
      </c>
      <c r="D64" s="486">
        <f>A6_Machine_Look_Up!J64</f>
        <v>8</v>
      </c>
      <c r="E64" s="440">
        <f t="shared" ref="E64:E74" si="69">O64</f>
        <v>0.28000000000000003</v>
      </c>
      <c r="F64" s="1301">
        <f>A6_Machine_Look_Up!K64</f>
        <v>0</v>
      </c>
      <c r="G64" s="486">
        <f>A6_Machine_Look_Up!L64</f>
        <v>0</v>
      </c>
      <c r="H64" s="1122"/>
      <c r="I64" s="1125"/>
      <c r="J64" s="584">
        <f>A6_Machine_Look_Up!AG64</f>
        <v>0.11</v>
      </c>
      <c r="K64" s="577">
        <f>A6_Machine_Look_Up!AH64</f>
        <v>1.8</v>
      </c>
      <c r="L64" s="591">
        <f>A6_Machine_Look_Up!AI64</f>
        <v>1.1100000000000001</v>
      </c>
      <c r="M64" s="677">
        <f t="shared" ref="M64:M78" si="70">IF(OR(D64&lt;1,D64&gt;20),1,0)</f>
        <v>0</v>
      </c>
      <c r="N64" s="447" t="str">
        <f>A6_Machine_Look_Up!AE64</f>
        <v>Combine, 300 hrs</v>
      </c>
      <c r="O64" s="425">
        <f t="shared" ref="O64:O78" si="71">SUM(P64:AI64)</f>
        <v>0.28000000000000003</v>
      </c>
      <c r="P64" s="420">
        <f t="shared" ref="P64:P78" si="72">IF($D64=1,AJ64,0)</f>
        <v>0</v>
      </c>
      <c r="Q64" s="420">
        <f t="shared" ref="Q64:Q78" si="73">IF($D64=2,AK64,0)</f>
        <v>0</v>
      </c>
      <c r="R64" s="420">
        <f t="shared" ref="R64:R78" si="74">IF($D64=3,AL64,0)</f>
        <v>0</v>
      </c>
      <c r="S64" s="420">
        <f t="shared" ref="S64:S78" si="75">IF($D64=4,AM64,0)</f>
        <v>0</v>
      </c>
      <c r="T64" s="420">
        <f t="shared" ref="T64:T74" si="76">IF($D64=5,AN64,0)</f>
        <v>0</v>
      </c>
      <c r="U64" s="420">
        <f t="shared" ref="U64:U74" si="77">IF($D64=6,AO64,0)</f>
        <v>0</v>
      </c>
      <c r="V64" s="420">
        <f t="shared" ref="V64:V74" si="78">IF($D64=7,AP64,0)</f>
        <v>0</v>
      </c>
      <c r="W64" s="420">
        <f t="shared" ref="W64:W74" si="79">IF($D64=8,AQ64,0)</f>
        <v>0.28000000000000003</v>
      </c>
      <c r="X64" s="420">
        <f t="shared" ref="X64:X74" si="80">IF($D64=9,AR64,0)</f>
        <v>0</v>
      </c>
      <c r="Y64" s="420">
        <f t="shared" ref="Y64:Y74" si="81">IF($D64=10,AS64,0)</f>
        <v>0</v>
      </c>
      <c r="Z64" s="420">
        <f t="shared" ref="Z64:Z74" si="82">IF($D64=11,AT64,0)</f>
        <v>0</v>
      </c>
      <c r="AA64" s="420">
        <f t="shared" ref="AA64:AA74" si="83">IF($D64=12,AU64,0)</f>
        <v>0</v>
      </c>
      <c r="AB64" s="420">
        <f t="shared" ref="AB64:AB74" si="84">IF($D64=13,AV64,0)</f>
        <v>0</v>
      </c>
      <c r="AC64" s="420">
        <f t="shared" ref="AC64:AC74" si="85">IF($D64=14,AW64,0)</f>
        <v>0</v>
      </c>
      <c r="AD64" s="420">
        <f t="shared" ref="AD64:AD74" si="86">IF($D64=15,AX64,0)</f>
        <v>0</v>
      </c>
      <c r="AE64" s="420">
        <f t="shared" ref="AE64:AE74" si="87">IF($D64=16,AY64,0)</f>
        <v>0</v>
      </c>
      <c r="AF64" s="420">
        <f t="shared" ref="AF64:AF74" si="88">IF($D64=17,AZ64,0)</f>
        <v>0</v>
      </c>
      <c r="AG64" s="420">
        <f t="shared" ref="AG64:AG74" si="89">IF($D64=18,BA64,0)</f>
        <v>0</v>
      </c>
      <c r="AH64" s="420">
        <f t="shared" ref="AH64:AH74" si="90">IF($D64=19,BB64,0)</f>
        <v>0</v>
      </c>
      <c r="AI64" s="420">
        <f t="shared" ref="AI64:AI74" si="91">IF($D64=20,BC64,0)</f>
        <v>0</v>
      </c>
      <c r="AJ64" s="497">
        <v>0.69</v>
      </c>
      <c r="AK64" s="497">
        <v>0.57999999999999996</v>
      </c>
      <c r="AL64" s="497">
        <v>0.5</v>
      </c>
      <c r="AM64" s="497">
        <v>0.44</v>
      </c>
      <c r="AN64" s="497">
        <v>0.39</v>
      </c>
      <c r="AO64" s="497">
        <v>0.35</v>
      </c>
      <c r="AP64" s="497">
        <v>0.31</v>
      </c>
      <c r="AQ64" s="497">
        <v>0.28000000000000003</v>
      </c>
      <c r="AR64" s="497">
        <v>0.25</v>
      </c>
      <c r="AS64" s="497">
        <v>0.23</v>
      </c>
      <c r="AT64" s="497">
        <v>0.2</v>
      </c>
      <c r="AU64" s="497">
        <v>0.18</v>
      </c>
      <c r="AV64" s="497">
        <v>0.16</v>
      </c>
      <c r="AW64" s="497">
        <v>0.14000000000000001</v>
      </c>
      <c r="AX64" s="497">
        <v>0.13</v>
      </c>
      <c r="AY64" s="497">
        <v>0.11</v>
      </c>
      <c r="AZ64" s="497">
        <v>0.1</v>
      </c>
      <c r="BA64" s="497">
        <v>0.09</v>
      </c>
      <c r="BB64" s="497">
        <v>0.08</v>
      </c>
      <c r="BC64" s="497">
        <v>7.0000000000000007E-2</v>
      </c>
      <c r="BD64" s="683"/>
      <c r="BE64" s="448"/>
      <c r="BF64" s="498"/>
      <c r="BG64" s="498"/>
      <c r="BH64" s="498"/>
      <c r="BI64" s="498"/>
      <c r="BJ64" s="498"/>
      <c r="BK64" s="498"/>
      <c r="BL64" s="498"/>
      <c r="BM64" s="498"/>
      <c r="BN64" s="498"/>
      <c r="BO64" s="498"/>
      <c r="BP64" s="498"/>
      <c r="BQ64" s="498"/>
      <c r="BR64" s="498"/>
      <c r="BS64" s="498"/>
      <c r="BT64" s="498"/>
      <c r="BU64" s="498"/>
      <c r="BV64" s="498"/>
      <c r="BW64" s="498"/>
      <c r="BX64" s="498"/>
      <c r="BY64" s="498"/>
      <c r="BZ64" s="498"/>
      <c r="CA64" s="448"/>
      <c r="CB64" s="448"/>
      <c r="CC64" s="448"/>
      <c r="CD64" s="448"/>
      <c r="CE64" s="448"/>
      <c r="CF64" s="448"/>
      <c r="CG64" s="448"/>
      <c r="CH64" s="448"/>
      <c r="CI64" s="448"/>
      <c r="CJ64" s="448"/>
      <c r="CK64" s="448"/>
      <c r="CL64" s="448"/>
      <c r="CM64" s="448"/>
      <c r="CN64" s="448"/>
      <c r="CO64" s="448"/>
      <c r="CP64" s="448"/>
      <c r="CQ64" s="448"/>
      <c r="CR64" s="448"/>
      <c r="CS64" s="448"/>
      <c r="CT64" s="448"/>
    </row>
    <row r="65" spans="1:98" ht="13.9" x14ac:dyDescent="0.4">
      <c r="A65" s="26" t="str">
        <f>A6_Machine_Look_Up!A65</f>
        <v>Boll Buggy with Tractor</v>
      </c>
      <c r="B65" s="1302">
        <f>A6_Machine_Look_Up!H65</f>
        <v>200</v>
      </c>
      <c r="C65" s="405">
        <f>A6_Machine_Look_Up!I65</f>
        <v>0.7</v>
      </c>
      <c r="D65" s="468">
        <f>A6_Machine_Look_Up!J65</f>
        <v>8</v>
      </c>
      <c r="E65" s="441">
        <f t="shared" si="69"/>
        <v>0.4</v>
      </c>
      <c r="F65" s="491">
        <f>A6_Machine_Look_Up!K65</f>
        <v>600</v>
      </c>
      <c r="G65" s="492">
        <f>A6_Machine_Look_Up!L65</f>
        <v>8</v>
      </c>
      <c r="H65" s="450">
        <f>BF65</f>
        <v>0.36</v>
      </c>
      <c r="I65" s="443">
        <f>A6_Machine_Look_Up!G65</f>
        <v>195</v>
      </c>
      <c r="J65" s="182">
        <f>A6_Machine_Look_Up!AG65</f>
        <v>0.19</v>
      </c>
      <c r="K65" s="579">
        <f>A6_Machine_Look_Up!AH65</f>
        <v>1.3</v>
      </c>
      <c r="L65" s="792">
        <f>A6_Machine_Look_Up!AI65</f>
        <v>1.1100000000000001</v>
      </c>
      <c r="M65" s="677">
        <f t="shared" si="70"/>
        <v>0</v>
      </c>
      <c r="N65" s="447" t="str">
        <f>A6_Machine_Look_Up!AE65</f>
        <v>Others</v>
      </c>
      <c r="O65" s="425">
        <f t="shared" si="71"/>
        <v>0.4</v>
      </c>
      <c r="P65" s="420">
        <f t="shared" si="72"/>
        <v>0</v>
      </c>
      <c r="Q65" s="420">
        <f t="shared" si="73"/>
        <v>0</v>
      </c>
      <c r="R65" s="420">
        <f t="shared" si="74"/>
        <v>0</v>
      </c>
      <c r="S65" s="420">
        <f t="shared" si="75"/>
        <v>0</v>
      </c>
      <c r="T65" s="420">
        <f t="shared" si="76"/>
        <v>0</v>
      </c>
      <c r="U65" s="420">
        <f t="shared" si="77"/>
        <v>0</v>
      </c>
      <c r="V65" s="420">
        <f t="shared" si="78"/>
        <v>0</v>
      </c>
      <c r="W65" s="420">
        <f t="shared" si="79"/>
        <v>0.4</v>
      </c>
      <c r="X65" s="420">
        <f t="shared" si="80"/>
        <v>0</v>
      </c>
      <c r="Y65" s="420">
        <f t="shared" si="81"/>
        <v>0</v>
      </c>
      <c r="Z65" s="420">
        <f t="shared" si="82"/>
        <v>0</v>
      </c>
      <c r="AA65" s="420">
        <f t="shared" si="83"/>
        <v>0</v>
      </c>
      <c r="AB65" s="420">
        <f t="shared" si="84"/>
        <v>0</v>
      </c>
      <c r="AC65" s="420">
        <f t="shared" si="85"/>
        <v>0</v>
      </c>
      <c r="AD65" s="420">
        <f t="shared" si="86"/>
        <v>0</v>
      </c>
      <c r="AE65" s="420">
        <f t="shared" si="87"/>
        <v>0</v>
      </c>
      <c r="AF65" s="420">
        <f t="shared" si="88"/>
        <v>0</v>
      </c>
      <c r="AG65" s="420">
        <f t="shared" si="89"/>
        <v>0</v>
      </c>
      <c r="AH65" s="420">
        <f t="shared" si="90"/>
        <v>0</v>
      </c>
      <c r="AI65" s="420">
        <f t="shared" si="91"/>
        <v>0</v>
      </c>
      <c r="AJ65" s="421">
        <v>0.69</v>
      </c>
      <c r="AK65" s="421">
        <v>0.62</v>
      </c>
      <c r="AL65" s="421">
        <v>0.56000000000000005</v>
      </c>
      <c r="AM65" s="421">
        <v>0.52</v>
      </c>
      <c r="AN65" s="421">
        <v>0.48</v>
      </c>
      <c r="AO65" s="421">
        <v>0.45</v>
      </c>
      <c r="AP65" s="421">
        <v>0.42</v>
      </c>
      <c r="AQ65" s="421">
        <v>0.4</v>
      </c>
      <c r="AR65" s="421">
        <v>0.37</v>
      </c>
      <c r="AS65" s="421">
        <v>0.35</v>
      </c>
      <c r="AT65" s="421">
        <v>0.33</v>
      </c>
      <c r="AU65" s="421">
        <v>0.31</v>
      </c>
      <c r="AV65" s="421">
        <v>0.28999999999999998</v>
      </c>
      <c r="AW65" s="421">
        <v>0.28000000000000003</v>
      </c>
      <c r="AX65" s="421">
        <v>0.26</v>
      </c>
      <c r="AY65" s="421">
        <v>0.25</v>
      </c>
      <c r="AZ65" s="421">
        <v>0.24</v>
      </c>
      <c r="BA65" s="421">
        <v>0.22</v>
      </c>
      <c r="BB65" s="421">
        <v>0.21</v>
      </c>
      <c r="BC65" s="421">
        <v>0.2</v>
      </c>
      <c r="BD65" s="681">
        <f>IF(OR(G65&lt;1,G65&gt;20),1,0)</f>
        <v>0</v>
      </c>
      <c r="BE65" s="417" t="s">
        <v>331</v>
      </c>
      <c r="BF65" s="425">
        <f>SUM(BG65:BZ65)</f>
        <v>0.36</v>
      </c>
      <c r="BG65" s="420">
        <f>IF($G65=1,CA65,0)</f>
        <v>0</v>
      </c>
      <c r="BH65" s="420">
        <f>IF($G65=2,CB65,0)</f>
        <v>0</v>
      </c>
      <c r="BI65" s="420">
        <f>IF($G65=3,CC65,0)</f>
        <v>0</v>
      </c>
      <c r="BJ65" s="420">
        <f>IF($G65=4,CD65,0)</f>
        <v>0</v>
      </c>
      <c r="BK65" s="420">
        <f>IF($G65=5,CE65,0)</f>
        <v>0</v>
      </c>
      <c r="BL65" s="420">
        <f>IF($G65=6,CF65,0)</f>
        <v>0</v>
      </c>
      <c r="BM65" s="420">
        <f>IF($G65=7,CG65,0)</f>
        <v>0</v>
      </c>
      <c r="BN65" s="420">
        <f>IF($G65=8,CH65,0)</f>
        <v>0.36</v>
      </c>
      <c r="BO65" s="420">
        <f>IF($G65=9,CI65,0)</f>
        <v>0</v>
      </c>
      <c r="BP65" s="420">
        <f>IF($G65=10,CJ65,0)</f>
        <v>0</v>
      </c>
      <c r="BQ65" s="420">
        <f>IF($G65=11,CK65,0)</f>
        <v>0</v>
      </c>
      <c r="BR65" s="420">
        <f>IF($G65=12,CL65,0)</f>
        <v>0</v>
      </c>
      <c r="BS65" s="420">
        <f>IF($G65=13,CM65,0)</f>
        <v>0</v>
      </c>
      <c r="BT65" s="420">
        <f>IF($G65=14,CN65,0)</f>
        <v>0</v>
      </c>
      <c r="BU65" s="420">
        <f>IF($G65=15,CO65,0)</f>
        <v>0</v>
      </c>
      <c r="BV65" s="420">
        <f>IF($G65=16,CP65,0)</f>
        <v>0</v>
      </c>
      <c r="BW65" s="420">
        <f>IF($G65=17,CQ65,0)</f>
        <v>0</v>
      </c>
      <c r="BX65" s="420">
        <f>IF($G65=18,CR65,0)</f>
        <v>0</v>
      </c>
      <c r="BY65" s="420">
        <f>IF($G65=19,CS65,0)</f>
        <v>0</v>
      </c>
      <c r="BZ65" s="420">
        <f>IF($G65=20,CT65,0)</f>
        <v>0</v>
      </c>
      <c r="CA65" s="421">
        <v>0.67</v>
      </c>
      <c r="CB65" s="421">
        <v>0.59</v>
      </c>
      <c r="CC65" s="421">
        <v>0.54</v>
      </c>
      <c r="CD65" s="421">
        <v>0.49</v>
      </c>
      <c r="CE65" s="421">
        <v>0.45</v>
      </c>
      <c r="CF65" s="421">
        <v>0.42</v>
      </c>
      <c r="CG65" s="421">
        <v>0.39</v>
      </c>
      <c r="CH65" s="421">
        <v>0.36</v>
      </c>
      <c r="CI65" s="421">
        <v>0.34</v>
      </c>
      <c r="CJ65" s="421">
        <v>0.32</v>
      </c>
      <c r="CK65" s="421">
        <v>0.3</v>
      </c>
      <c r="CL65" s="421">
        <v>0.28000000000000003</v>
      </c>
      <c r="CM65" s="421">
        <v>0.26</v>
      </c>
      <c r="CN65" s="421">
        <v>0.24</v>
      </c>
      <c r="CO65" s="421">
        <v>0.23</v>
      </c>
      <c r="CP65" s="421">
        <v>0.21</v>
      </c>
      <c r="CQ65" s="421">
        <v>0.2</v>
      </c>
      <c r="CR65" s="421">
        <v>0.19</v>
      </c>
      <c r="CS65" s="421">
        <v>0.18</v>
      </c>
      <c r="CT65" s="421">
        <v>0.17</v>
      </c>
    </row>
    <row r="66" spans="1:98" ht="13.9" x14ac:dyDescent="0.4">
      <c r="A66" s="27" t="str">
        <f>A6_Machine_Look_Up!A66</f>
        <v>Module Builder with Tractor</v>
      </c>
      <c r="B66" s="1304">
        <f>A6_Machine_Look_Up!H66</f>
        <v>200</v>
      </c>
      <c r="C66" s="1915">
        <f>A6_Machine_Look_Up!I66</f>
        <v>0.7</v>
      </c>
      <c r="D66" s="494">
        <f>A6_Machine_Look_Up!J66</f>
        <v>8</v>
      </c>
      <c r="E66" s="724">
        <f t="shared" si="69"/>
        <v>0.4</v>
      </c>
      <c r="F66" s="495">
        <f>A6_Machine_Look_Up!K66</f>
        <v>600</v>
      </c>
      <c r="G66" s="496">
        <f>A6_Machine_Look_Up!L66</f>
        <v>8</v>
      </c>
      <c r="H66" s="452">
        <f>BF66</f>
        <v>0.36</v>
      </c>
      <c r="I66" s="453">
        <f>A6_Machine_Look_Up!G66</f>
        <v>195</v>
      </c>
      <c r="J66" s="585">
        <f>A6_Machine_Look_Up!AG66</f>
        <v>0.19</v>
      </c>
      <c r="K66" s="580">
        <f>A6_Machine_Look_Up!AH66</f>
        <v>1.3</v>
      </c>
      <c r="L66" s="793">
        <f>A6_Machine_Look_Up!AI66</f>
        <v>3.33</v>
      </c>
      <c r="M66" s="677">
        <f t="shared" si="70"/>
        <v>0</v>
      </c>
      <c r="N66" s="447" t="str">
        <f>A6_Machine_Look_Up!AE66</f>
        <v>Others</v>
      </c>
      <c r="O66" s="425">
        <f t="shared" si="71"/>
        <v>0.4</v>
      </c>
      <c r="P66" s="420">
        <f t="shared" si="72"/>
        <v>0</v>
      </c>
      <c r="Q66" s="420">
        <f t="shared" si="73"/>
        <v>0</v>
      </c>
      <c r="R66" s="420">
        <f t="shared" si="74"/>
        <v>0</v>
      </c>
      <c r="S66" s="420">
        <f t="shared" si="75"/>
        <v>0</v>
      </c>
      <c r="T66" s="420">
        <f t="shared" si="76"/>
        <v>0</v>
      </c>
      <c r="U66" s="420">
        <f t="shared" si="77"/>
        <v>0</v>
      </c>
      <c r="V66" s="420">
        <f t="shared" si="78"/>
        <v>0</v>
      </c>
      <c r="W66" s="420">
        <f t="shared" si="79"/>
        <v>0.4</v>
      </c>
      <c r="X66" s="420">
        <f t="shared" si="80"/>
        <v>0</v>
      </c>
      <c r="Y66" s="420">
        <f t="shared" si="81"/>
        <v>0</v>
      </c>
      <c r="Z66" s="420">
        <f t="shared" si="82"/>
        <v>0</v>
      </c>
      <c r="AA66" s="420">
        <f t="shared" si="83"/>
        <v>0</v>
      </c>
      <c r="AB66" s="420">
        <f t="shared" si="84"/>
        <v>0</v>
      </c>
      <c r="AC66" s="420">
        <f t="shared" si="85"/>
        <v>0</v>
      </c>
      <c r="AD66" s="420">
        <f t="shared" si="86"/>
        <v>0</v>
      </c>
      <c r="AE66" s="420">
        <f t="shared" si="87"/>
        <v>0</v>
      </c>
      <c r="AF66" s="420">
        <f t="shared" si="88"/>
        <v>0</v>
      </c>
      <c r="AG66" s="420">
        <f t="shared" si="89"/>
        <v>0</v>
      </c>
      <c r="AH66" s="420">
        <f t="shared" si="90"/>
        <v>0</v>
      </c>
      <c r="AI66" s="420">
        <f t="shared" si="91"/>
        <v>0</v>
      </c>
      <c r="AJ66" s="421">
        <v>0.69</v>
      </c>
      <c r="AK66" s="421">
        <v>0.62</v>
      </c>
      <c r="AL66" s="421">
        <v>0.56000000000000005</v>
      </c>
      <c r="AM66" s="421">
        <v>0.52</v>
      </c>
      <c r="AN66" s="421">
        <v>0.48</v>
      </c>
      <c r="AO66" s="421">
        <v>0.45</v>
      </c>
      <c r="AP66" s="421">
        <v>0.42</v>
      </c>
      <c r="AQ66" s="421">
        <v>0.4</v>
      </c>
      <c r="AR66" s="421">
        <v>0.37</v>
      </c>
      <c r="AS66" s="421">
        <v>0.35</v>
      </c>
      <c r="AT66" s="421">
        <v>0.33</v>
      </c>
      <c r="AU66" s="421">
        <v>0.31</v>
      </c>
      <c r="AV66" s="421">
        <v>0.28999999999999998</v>
      </c>
      <c r="AW66" s="421">
        <v>0.28000000000000003</v>
      </c>
      <c r="AX66" s="421">
        <v>0.26</v>
      </c>
      <c r="AY66" s="421">
        <v>0.25</v>
      </c>
      <c r="AZ66" s="421">
        <v>0.24</v>
      </c>
      <c r="BA66" s="421">
        <v>0.22</v>
      </c>
      <c r="BB66" s="421">
        <v>0.21</v>
      </c>
      <c r="BC66" s="421">
        <v>0.2</v>
      </c>
      <c r="BD66" s="681">
        <f>IF(OR(G66&lt;1,G66&gt;20),1,0)</f>
        <v>0</v>
      </c>
      <c r="BE66" s="417" t="s">
        <v>331</v>
      </c>
      <c r="BF66" s="425">
        <f>SUM(BG66:BZ66)</f>
        <v>0.36</v>
      </c>
      <c r="BG66" s="420">
        <f>IF($G66=1,CA66,0)</f>
        <v>0</v>
      </c>
      <c r="BH66" s="420">
        <f>IF($G66=2,CB66,0)</f>
        <v>0</v>
      </c>
      <c r="BI66" s="420">
        <f>IF($G66=3,CC66,0)</f>
        <v>0</v>
      </c>
      <c r="BJ66" s="420">
        <f>IF($G66=4,CD66,0)</f>
        <v>0</v>
      </c>
      <c r="BK66" s="420">
        <f>IF($G66=5,CE66,0)</f>
        <v>0</v>
      </c>
      <c r="BL66" s="420">
        <f>IF($G66=6,CF66,0)</f>
        <v>0</v>
      </c>
      <c r="BM66" s="420">
        <f>IF($G66=7,CG66,0)</f>
        <v>0</v>
      </c>
      <c r="BN66" s="420">
        <f>IF($G66=8,CH66,0)</f>
        <v>0.36</v>
      </c>
      <c r="BO66" s="420">
        <f>IF($G66=9,CI66,0)</f>
        <v>0</v>
      </c>
      <c r="BP66" s="420">
        <f>IF($G66=10,CJ66,0)</f>
        <v>0</v>
      </c>
      <c r="BQ66" s="420">
        <f>IF($G66=11,CK66,0)</f>
        <v>0</v>
      </c>
      <c r="BR66" s="420">
        <f>IF($G66=12,CL66,0)</f>
        <v>0</v>
      </c>
      <c r="BS66" s="420">
        <f>IF($G66=13,CM66,0)</f>
        <v>0</v>
      </c>
      <c r="BT66" s="420">
        <f>IF($G66=14,CN66,0)</f>
        <v>0</v>
      </c>
      <c r="BU66" s="420">
        <f>IF($G66=15,CO66,0)</f>
        <v>0</v>
      </c>
      <c r="BV66" s="420">
        <f>IF($G66=16,CP66,0)</f>
        <v>0</v>
      </c>
      <c r="BW66" s="420">
        <f>IF($G66=17,CQ66,0)</f>
        <v>0</v>
      </c>
      <c r="BX66" s="420">
        <f>IF($G66=18,CR66,0)</f>
        <v>0</v>
      </c>
      <c r="BY66" s="420">
        <f>IF($G66=19,CS66,0)</f>
        <v>0</v>
      </c>
      <c r="BZ66" s="420">
        <f>IF($G66=20,CT66,0)</f>
        <v>0</v>
      </c>
      <c r="CA66" s="421">
        <v>0.67</v>
      </c>
      <c r="CB66" s="421">
        <v>0.59</v>
      </c>
      <c r="CC66" s="421">
        <v>0.54</v>
      </c>
      <c r="CD66" s="421">
        <v>0.49</v>
      </c>
      <c r="CE66" s="421">
        <v>0.45</v>
      </c>
      <c r="CF66" s="421">
        <v>0.42</v>
      </c>
      <c r="CG66" s="421">
        <v>0.39</v>
      </c>
      <c r="CH66" s="421">
        <v>0.36</v>
      </c>
      <c r="CI66" s="421">
        <v>0.34</v>
      </c>
      <c r="CJ66" s="421">
        <v>0.32</v>
      </c>
      <c r="CK66" s="421">
        <v>0.3</v>
      </c>
      <c r="CL66" s="421">
        <v>0.28000000000000003</v>
      </c>
      <c r="CM66" s="421">
        <v>0.26</v>
      </c>
      <c r="CN66" s="421">
        <v>0.24</v>
      </c>
      <c r="CO66" s="421">
        <v>0.23</v>
      </c>
      <c r="CP66" s="421">
        <v>0.21</v>
      </c>
      <c r="CQ66" s="421">
        <v>0.2</v>
      </c>
      <c r="CR66" s="421">
        <v>0.19</v>
      </c>
      <c r="CS66" s="421">
        <v>0.18</v>
      </c>
      <c r="CT66" s="421">
        <v>0.17</v>
      </c>
    </row>
    <row r="67" spans="1:98" ht="13.9" x14ac:dyDescent="0.4">
      <c r="A67" s="11" t="str">
        <f>A6_Machine_Look_Up!A67</f>
        <v>Cotton Picker: Module-Building</v>
      </c>
      <c r="B67" s="1302">
        <f>A6_Machine_Look_Up!H67</f>
        <v>200</v>
      </c>
      <c r="C67" s="405">
        <f>A6_Machine_Look_Up!I67</f>
        <v>0.85</v>
      </c>
      <c r="D67" s="468">
        <f>A6_Machine_Look_Up!J67</f>
        <v>8</v>
      </c>
      <c r="E67" s="441">
        <f t="shared" si="69"/>
        <v>0.28000000000000003</v>
      </c>
      <c r="F67" s="1302">
        <f>A6_Machine_Look_Up!K67</f>
        <v>0</v>
      </c>
      <c r="G67" s="468">
        <f>A6_Machine_Look_Up!L67</f>
        <v>0</v>
      </c>
      <c r="H67" s="1123"/>
      <c r="I67" s="1126"/>
      <c r="J67" s="182">
        <f>A6_Machine_Look_Up!AG67</f>
        <v>0.11</v>
      </c>
      <c r="K67" s="579">
        <f>A6_Machine_Look_Up!AH67</f>
        <v>1.8</v>
      </c>
      <c r="L67" s="592">
        <f>A6_Machine_Look_Up!AI67</f>
        <v>1.1100000000000001</v>
      </c>
      <c r="M67" s="677">
        <f>IF(OR(D67&lt;1,D67&gt;20),1,0)</f>
        <v>0</v>
      </c>
      <c r="N67" s="447" t="str">
        <f>A6_Machine_Look_Up!AE67</f>
        <v>Combine, 300 hrs</v>
      </c>
      <c r="O67" s="425">
        <f>SUM(P67:AI67)</f>
        <v>0.28000000000000003</v>
      </c>
      <c r="P67" s="420">
        <f>IF($D67=1,AJ67,0)</f>
        <v>0</v>
      </c>
      <c r="Q67" s="420">
        <f>IF($D67=2,AK67,0)</f>
        <v>0</v>
      </c>
      <c r="R67" s="420">
        <f>IF($D67=3,AL67,0)</f>
        <v>0</v>
      </c>
      <c r="S67" s="420">
        <f>IF($D67=4,AM67,0)</f>
        <v>0</v>
      </c>
      <c r="T67" s="420">
        <f>IF($D67=5,AN67,0)</f>
        <v>0</v>
      </c>
      <c r="U67" s="420">
        <f>IF($D67=6,AO67,0)</f>
        <v>0</v>
      </c>
      <c r="V67" s="420">
        <f>IF($D67=7,AP67,0)</f>
        <v>0</v>
      </c>
      <c r="W67" s="420">
        <f>IF($D67=8,AQ67,0)</f>
        <v>0.28000000000000003</v>
      </c>
      <c r="X67" s="420">
        <f>IF($D67=9,AR67,0)</f>
        <v>0</v>
      </c>
      <c r="Y67" s="420">
        <f>IF($D67=10,AS67,0)</f>
        <v>0</v>
      </c>
      <c r="Z67" s="420">
        <f>IF($D67=11,AT67,0)</f>
        <v>0</v>
      </c>
      <c r="AA67" s="420">
        <f>IF($D67=12,AU67,0)</f>
        <v>0</v>
      </c>
      <c r="AB67" s="420">
        <f>IF($D67=13,AV67,0)</f>
        <v>0</v>
      </c>
      <c r="AC67" s="420">
        <f>IF($D67=14,AW67,0)</f>
        <v>0</v>
      </c>
      <c r="AD67" s="420">
        <f>IF($D67=15,AX67,0)</f>
        <v>0</v>
      </c>
      <c r="AE67" s="420">
        <f>IF($D67=16,AY67,0)</f>
        <v>0</v>
      </c>
      <c r="AF67" s="420">
        <f>IF($D67=17,AZ67,0)</f>
        <v>0</v>
      </c>
      <c r="AG67" s="420">
        <f>IF($D67=18,BA67,0)</f>
        <v>0</v>
      </c>
      <c r="AH67" s="420">
        <f>IF($D67=19,BB67,0)</f>
        <v>0</v>
      </c>
      <c r="AI67" s="420">
        <f>IF($D67=20,BC67,0)</f>
        <v>0</v>
      </c>
      <c r="AJ67" s="497">
        <v>0.69</v>
      </c>
      <c r="AK67" s="497">
        <v>0.57999999999999996</v>
      </c>
      <c r="AL67" s="497">
        <v>0.5</v>
      </c>
      <c r="AM67" s="497">
        <v>0.44</v>
      </c>
      <c r="AN67" s="497">
        <v>0.39</v>
      </c>
      <c r="AO67" s="497">
        <v>0.35</v>
      </c>
      <c r="AP67" s="497">
        <v>0.31</v>
      </c>
      <c r="AQ67" s="497">
        <v>0.28000000000000003</v>
      </c>
      <c r="AR67" s="497">
        <v>0.25</v>
      </c>
      <c r="AS67" s="497">
        <v>0.23</v>
      </c>
      <c r="AT67" s="497">
        <v>0.2</v>
      </c>
      <c r="AU67" s="497">
        <v>0.18</v>
      </c>
      <c r="AV67" s="497">
        <v>0.16</v>
      </c>
      <c r="AW67" s="497">
        <v>0.14000000000000001</v>
      </c>
      <c r="AX67" s="497">
        <v>0.13</v>
      </c>
      <c r="AY67" s="497">
        <v>0.11</v>
      </c>
      <c r="AZ67" s="497">
        <v>0.1</v>
      </c>
      <c r="BA67" s="497">
        <v>0.09</v>
      </c>
      <c r="BB67" s="497">
        <v>0.08</v>
      </c>
      <c r="BC67" s="497">
        <v>7.0000000000000007E-2</v>
      </c>
      <c r="BD67" s="683"/>
      <c r="BE67" s="448"/>
      <c r="BF67" s="498"/>
      <c r="BG67" s="498"/>
      <c r="BH67" s="498"/>
      <c r="BI67" s="498"/>
      <c r="BJ67" s="498"/>
      <c r="BK67" s="498"/>
      <c r="BL67" s="498"/>
      <c r="BM67" s="498"/>
      <c r="BN67" s="498"/>
      <c r="BO67" s="498"/>
      <c r="BP67" s="498"/>
      <c r="BQ67" s="498"/>
      <c r="BR67" s="498"/>
      <c r="BS67" s="498"/>
      <c r="BT67" s="498"/>
      <c r="BU67" s="498"/>
      <c r="BV67" s="498"/>
      <c r="BW67" s="498"/>
      <c r="BX67" s="498"/>
      <c r="BY67" s="498"/>
      <c r="BZ67" s="498"/>
      <c r="CA67" s="448"/>
      <c r="CB67" s="448"/>
      <c r="CC67" s="448"/>
      <c r="CD67" s="448"/>
      <c r="CE67" s="448"/>
      <c r="CF67" s="448"/>
      <c r="CG67" s="448"/>
      <c r="CH67" s="448"/>
      <c r="CI67" s="448"/>
      <c r="CJ67" s="448"/>
      <c r="CK67" s="448"/>
      <c r="CL67" s="448"/>
      <c r="CM67" s="448"/>
      <c r="CN67" s="448"/>
      <c r="CO67" s="448"/>
      <c r="CP67" s="448"/>
      <c r="CQ67" s="448"/>
      <c r="CR67" s="448"/>
      <c r="CS67" s="448"/>
      <c r="CT67" s="448"/>
    </row>
    <row r="68" spans="1:98" ht="13.9" x14ac:dyDescent="0.4">
      <c r="A68" s="231" t="str">
        <f>A6_Machine_Look_Up!A68</f>
        <v>Module Handler with Tractor</v>
      </c>
      <c r="B68" s="1304">
        <f>A6_Machine_Look_Up!H68</f>
        <v>10</v>
      </c>
      <c r="C68" s="1915">
        <f>A6_Machine_Look_Up!I68</f>
        <v>0.9</v>
      </c>
      <c r="D68" s="494">
        <f>A6_Machine_Look_Up!J68</f>
        <v>8</v>
      </c>
      <c r="E68" s="724">
        <f>O68</f>
        <v>0.4</v>
      </c>
      <c r="F68" s="491">
        <f>A6_Machine_Look_Up!K68</f>
        <v>600</v>
      </c>
      <c r="G68" s="492">
        <f>A6_Machine_Look_Up!L68</f>
        <v>8</v>
      </c>
      <c r="H68" s="450">
        <f>BF68</f>
        <v>0.36</v>
      </c>
      <c r="I68" s="443">
        <f>A6_Machine_Look_Up!G68</f>
        <v>195</v>
      </c>
      <c r="J68" s="182">
        <f>A6_Machine_Look_Up!AG68</f>
        <v>0.19</v>
      </c>
      <c r="K68" s="579">
        <f>A6_Machine_Look_Up!AH68</f>
        <v>1.3</v>
      </c>
      <c r="L68" s="592">
        <f>A6_Machine_Look_Up!AI68</f>
        <v>1.1100000000000001</v>
      </c>
      <c r="M68" s="677">
        <f>IF(OR(D68&lt;1,D68&gt;20),1,0)</f>
        <v>0</v>
      </c>
      <c r="N68" s="447" t="str">
        <f>A6_Machine_Look_Up!AE68</f>
        <v>Others</v>
      </c>
      <c r="O68" s="425">
        <f>SUM(P68:AI68)</f>
        <v>0.4</v>
      </c>
      <c r="P68" s="420">
        <f>IF($D68=1,AJ68,0)</f>
        <v>0</v>
      </c>
      <c r="Q68" s="420">
        <f>IF($D68=2,AK68,0)</f>
        <v>0</v>
      </c>
      <c r="R68" s="420">
        <f>IF($D68=3,AL68,0)</f>
        <v>0</v>
      </c>
      <c r="S68" s="420">
        <f>IF($D68=4,AM68,0)</f>
        <v>0</v>
      </c>
      <c r="T68" s="420">
        <f>IF($D68=5,AN68,0)</f>
        <v>0</v>
      </c>
      <c r="U68" s="420">
        <f>IF($D68=6,AO68,0)</f>
        <v>0</v>
      </c>
      <c r="V68" s="420">
        <f>IF($D68=7,AP68,0)</f>
        <v>0</v>
      </c>
      <c r="W68" s="420">
        <f>IF($D68=8,AQ68,0)</f>
        <v>0.4</v>
      </c>
      <c r="X68" s="420">
        <f>IF($D68=9,AR68,0)</f>
        <v>0</v>
      </c>
      <c r="Y68" s="420">
        <f>IF($D68=10,AS68,0)</f>
        <v>0</v>
      </c>
      <c r="Z68" s="420">
        <f>IF($D68=11,AT68,0)</f>
        <v>0</v>
      </c>
      <c r="AA68" s="420">
        <f>IF($D68=12,AU68,0)</f>
        <v>0</v>
      </c>
      <c r="AB68" s="420">
        <f>IF($D68=13,AV68,0)</f>
        <v>0</v>
      </c>
      <c r="AC68" s="420">
        <f>IF($D68=14,AW68,0)</f>
        <v>0</v>
      </c>
      <c r="AD68" s="420">
        <f>IF($D68=15,AX68,0)</f>
        <v>0</v>
      </c>
      <c r="AE68" s="420">
        <f>IF($D68=16,AY68,0)</f>
        <v>0</v>
      </c>
      <c r="AF68" s="420">
        <f>IF($D68=17,AZ68,0)</f>
        <v>0</v>
      </c>
      <c r="AG68" s="420">
        <f>IF($D68=18,BA68,0)</f>
        <v>0</v>
      </c>
      <c r="AH68" s="420">
        <f>IF($D68=19,BB68,0)</f>
        <v>0</v>
      </c>
      <c r="AI68" s="420">
        <f>IF($D68=20,BC68,0)</f>
        <v>0</v>
      </c>
      <c r="AJ68" s="421">
        <v>0.69</v>
      </c>
      <c r="AK68" s="421">
        <v>0.62</v>
      </c>
      <c r="AL68" s="421">
        <v>0.56000000000000005</v>
      </c>
      <c r="AM68" s="421">
        <v>0.52</v>
      </c>
      <c r="AN68" s="421">
        <v>0.48</v>
      </c>
      <c r="AO68" s="421">
        <v>0.45</v>
      </c>
      <c r="AP68" s="421">
        <v>0.42</v>
      </c>
      <c r="AQ68" s="421">
        <v>0.4</v>
      </c>
      <c r="AR68" s="421">
        <v>0.37</v>
      </c>
      <c r="AS68" s="421">
        <v>0.35</v>
      </c>
      <c r="AT68" s="421">
        <v>0.33</v>
      </c>
      <c r="AU68" s="421">
        <v>0.31</v>
      </c>
      <c r="AV68" s="421">
        <v>0.28999999999999998</v>
      </c>
      <c r="AW68" s="421">
        <v>0.28000000000000003</v>
      </c>
      <c r="AX68" s="421">
        <v>0.26</v>
      </c>
      <c r="AY68" s="421">
        <v>0.25</v>
      </c>
      <c r="AZ68" s="421">
        <v>0.24</v>
      </c>
      <c r="BA68" s="421">
        <v>0.22</v>
      </c>
      <c r="BB68" s="421">
        <v>0.21</v>
      </c>
      <c r="BC68" s="421">
        <v>0.2</v>
      </c>
      <c r="BD68" s="681">
        <f>IF(OR(G68&lt;1,G68&gt;20),1,0)</f>
        <v>0</v>
      </c>
      <c r="BE68" s="417" t="s">
        <v>331</v>
      </c>
      <c r="BF68" s="425">
        <f>SUM(BG68:BZ68)</f>
        <v>0.36</v>
      </c>
      <c r="BG68" s="420">
        <f>IF($G68=1,CA68,0)</f>
        <v>0</v>
      </c>
      <c r="BH68" s="420">
        <f>IF($G68=2,CB68,0)</f>
        <v>0</v>
      </c>
      <c r="BI68" s="420">
        <f>IF($G68=3,CC68,0)</f>
        <v>0</v>
      </c>
      <c r="BJ68" s="420">
        <f>IF($G68=4,CD68,0)</f>
        <v>0</v>
      </c>
      <c r="BK68" s="420">
        <f>IF($G68=5,CE68,0)</f>
        <v>0</v>
      </c>
      <c r="BL68" s="420">
        <f>IF($G68=6,CF68,0)</f>
        <v>0</v>
      </c>
      <c r="BM68" s="420">
        <f>IF($G68=7,CG68,0)</f>
        <v>0</v>
      </c>
      <c r="BN68" s="420">
        <f>IF($G68=8,CH68,0)</f>
        <v>0.36</v>
      </c>
      <c r="BO68" s="420">
        <f>IF($G68=9,CI68,0)</f>
        <v>0</v>
      </c>
      <c r="BP68" s="420">
        <f>IF($G68=10,CJ68,0)</f>
        <v>0</v>
      </c>
      <c r="BQ68" s="420">
        <f>IF($G68=11,CK68,0)</f>
        <v>0</v>
      </c>
      <c r="BR68" s="420">
        <f>IF($G68=12,CL68,0)</f>
        <v>0</v>
      </c>
      <c r="BS68" s="420">
        <f>IF($G68=13,CM68,0)</f>
        <v>0</v>
      </c>
      <c r="BT68" s="420">
        <f>IF($G68=14,CN68,0)</f>
        <v>0</v>
      </c>
      <c r="BU68" s="420">
        <f>IF($G68=15,CO68,0)</f>
        <v>0</v>
      </c>
      <c r="BV68" s="420">
        <f>IF($G68=16,CP68,0)</f>
        <v>0</v>
      </c>
      <c r="BW68" s="420">
        <f>IF($G68=17,CQ68,0)</f>
        <v>0</v>
      </c>
      <c r="BX68" s="420">
        <f>IF($G68=18,CR68,0)</f>
        <v>0</v>
      </c>
      <c r="BY68" s="420">
        <f>IF($G68=19,CS68,0)</f>
        <v>0</v>
      </c>
      <c r="BZ68" s="420">
        <f>IF($G68=20,CT68,0)</f>
        <v>0</v>
      </c>
      <c r="CA68" s="421">
        <v>0.67</v>
      </c>
      <c r="CB68" s="421">
        <v>0.59</v>
      </c>
      <c r="CC68" s="421">
        <v>0.54</v>
      </c>
      <c r="CD68" s="421">
        <v>0.49</v>
      </c>
      <c r="CE68" s="421">
        <v>0.45</v>
      </c>
      <c r="CF68" s="421">
        <v>0.42</v>
      </c>
      <c r="CG68" s="421">
        <v>0.39</v>
      </c>
      <c r="CH68" s="421">
        <v>0.36</v>
      </c>
      <c r="CI68" s="421">
        <v>0.34</v>
      </c>
      <c r="CJ68" s="421">
        <v>0.32</v>
      </c>
      <c r="CK68" s="421">
        <v>0.3</v>
      </c>
      <c r="CL68" s="421">
        <v>0.28000000000000003</v>
      </c>
      <c r="CM68" s="421">
        <v>0.26</v>
      </c>
      <c r="CN68" s="421">
        <v>0.24</v>
      </c>
      <c r="CO68" s="421">
        <v>0.23</v>
      </c>
      <c r="CP68" s="421">
        <v>0.21</v>
      </c>
      <c r="CQ68" s="421">
        <v>0.2</v>
      </c>
      <c r="CR68" s="421">
        <v>0.19</v>
      </c>
      <c r="CS68" s="421">
        <v>0.18</v>
      </c>
      <c r="CT68" s="421">
        <v>0.17</v>
      </c>
    </row>
    <row r="69" spans="1:98" ht="13.9" x14ac:dyDescent="0.4">
      <c r="A69" s="26" t="str">
        <f>A6_Machine_Look_Up!A69</f>
        <v>Combine</v>
      </c>
      <c r="B69" s="1302">
        <f>A6_Machine_Look_Up!H69</f>
        <v>300</v>
      </c>
      <c r="C69" s="405">
        <f>A6_Machine_Look_Up!I69</f>
        <v>0.7</v>
      </c>
      <c r="D69" s="468">
        <f>A6_Machine_Look_Up!J69</f>
        <v>8</v>
      </c>
      <c r="E69" s="441">
        <f t="shared" si="69"/>
        <v>0.28000000000000003</v>
      </c>
      <c r="F69" s="1302">
        <f>A6_Machine_Look_Up!K69</f>
        <v>0</v>
      </c>
      <c r="G69" s="468">
        <f>A6_Machine_Look_Up!L69</f>
        <v>0</v>
      </c>
      <c r="H69" s="1123"/>
      <c r="I69" s="1126"/>
      <c r="J69" s="586">
        <f>A6_Machine_Look_Up!AG69</f>
        <v>0.04</v>
      </c>
      <c r="K69" s="581">
        <f>A6_Machine_Look_Up!AH69</f>
        <v>2.1</v>
      </c>
      <c r="L69" s="594">
        <f>A6_Machine_Look_Up!AI69</f>
        <v>1.1100000000000001</v>
      </c>
      <c r="M69" s="677">
        <f t="shared" si="70"/>
        <v>0</v>
      </c>
      <c r="N69" s="447" t="str">
        <f>A6_Machine_Look_Up!AE69</f>
        <v>Combine, 300 hrs</v>
      </c>
      <c r="O69" s="425">
        <f t="shared" si="71"/>
        <v>0.28000000000000003</v>
      </c>
      <c r="P69" s="420">
        <f t="shared" si="72"/>
        <v>0</v>
      </c>
      <c r="Q69" s="420">
        <f t="shared" si="73"/>
        <v>0</v>
      </c>
      <c r="R69" s="420">
        <f t="shared" si="74"/>
        <v>0</v>
      </c>
      <c r="S69" s="420">
        <f t="shared" si="75"/>
        <v>0</v>
      </c>
      <c r="T69" s="420">
        <f t="shared" si="76"/>
        <v>0</v>
      </c>
      <c r="U69" s="420">
        <f t="shared" si="77"/>
        <v>0</v>
      </c>
      <c r="V69" s="420">
        <f t="shared" si="78"/>
        <v>0</v>
      </c>
      <c r="W69" s="420">
        <f t="shared" si="79"/>
        <v>0.28000000000000003</v>
      </c>
      <c r="X69" s="420">
        <f t="shared" si="80"/>
        <v>0</v>
      </c>
      <c r="Y69" s="420">
        <f t="shared" si="81"/>
        <v>0</v>
      </c>
      <c r="Z69" s="420">
        <f t="shared" si="82"/>
        <v>0</v>
      </c>
      <c r="AA69" s="420">
        <f t="shared" si="83"/>
        <v>0</v>
      </c>
      <c r="AB69" s="420">
        <f t="shared" si="84"/>
        <v>0</v>
      </c>
      <c r="AC69" s="420">
        <f t="shared" si="85"/>
        <v>0</v>
      </c>
      <c r="AD69" s="420">
        <f t="shared" si="86"/>
        <v>0</v>
      </c>
      <c r="AE69" s="420">
        <f t="shared" si="87"/>
        <v>0</v>
      </c>
      <c r="AF69" s="420">
        <f t="shared" si="88"/>
        <v>0</v>
      </c>
      <c r="AG69" s="420">
        <f t="shared" si="89"/>
        <v>0</v>
      </c>
      <c r="AH69" s="420">
        <f t="shared" si="90"/>
        <v>0</v>
      </c>
      <c r="AI69" s="420">
        <f t="shared" si="91"/>
        <v>0</v>
      </c>
      <c r="AJ69" s="497">
        <v>0.69</v>
      </c>
      <c r="AK69" s="497">
        <v>0.57999999999999996</v>
      </c>
      <c r="AL69" s="497">
        <v>0.5</v>
      </c>
      <c r="AM69" s="497">
        <v>0.44</v>
      </c>
      <c r="AN69" s="497">
        <v>0.39</v>
      </c>
      <c r="AO69" s="497">
        <v>0.35</v>
      </c>
      <c r="AP69" s="497">
        <v>0.31</v>
      </c>
      <c r="AQ69" s="497">
        <v>0.28000000000000003</v>
      </c>
      <c r="AR69" s="497">
        <v>0.25</v>
      </c>
      <c r="AS69" s="497">
        <v>0.23</v>
      </c>
      <c r="AT69" s="497">
        <v>0.2</v>
      </c>
      <c r="AU69" s="497">
        <v>0.18</v>
      </c>
      <c r="AV69" s="497">
        <v>0.16</v>
      </c>
      <c r="AW69" s="497">
        <v>0.14000000000000001</v>
      </c>
      <c r="AX69" s="497">
        <v>0.13</v>
      </c>
      <c r="AY69" s="497">
        <v>0.11</v>
      </c>
      <c r="AZ69" s="497">
        <v>0.1</v>
      </c>
      <c r="BA69" s="497">
        <v>0.09</v>
      </c>
      <c r="BB69" s="497">
        <v>0.08</v>
      </c>
      <c r="BC69" s="497">
        <v>7.0000000000000007E-2</v>
      </c>
      <c r="BD69" s="683"/>
      <c r="BE69" s="448"/>
      <c r="BF69" s="498"/>
      <c r="BG69" s="498"/>
      <c r="BH69" s="498"/>
      <c r="BI69" s="498"/>
      <c r="BJ69" s="498"/>
      <c r="BK69" s="498"/>
      <c r="BL69" s="498"/>
      <c r="BM69" s="498"/>
      <c r="BN69" s="498"/>
      <c r="BO69" s="498"/>
      <c r="BP69" s="498"/>
      <c r="BQ69" s="498"/>
      <c r="BR69" s="498"/>
      <c r="BS69" s="498"/>
      <c r="BT69" s="498"/>
      <c r="BU69" s="498"/>
      <c r="BV69" s="498"/>
      <c r="BW69" s="498"/>
      <c r="BX69" s="498"/>
      <c r="BY69" s="498"/>
      <c r="BZ69" s="498"/>
      <c r="CA69" s="448"/>
      <c r="CB69" s="448"/>
      <c r="CC69" s="448"/>
      <c r="CD69" s="448"/>
      <c r="CE69" s="448"/>
      <c r="CF69" s="448"/>
      <c r="CG69" s="448"/>
      <c r="CH69" s="448"/>
      <c r="CI69" s="448"/>
      <c r="CJ69" s="448"/>
      <c r="CK69" s="448"/>
      <c r="CL69" s="448"/>
      <c r="CM69" s="448"/>
      <c r="CN69" s="448"/>
      <c r="CO69" s="448"/>
      <c r="CP69" s="448"/>
      <c r="CQ69" s="448"/>
      <c r="CR69" s="448"/>
      <c r="CS69" s="448"/>
      <c r="CT69" s="448"/>
    </row>
    <row r="70" spans="1:98" ht="13.9" x14ac:dyDescent="0.4">
      <c r="A70" s="26" t="str">
        <f>A6_Machine_Look_Up!A70</f>
        <v>Corn Head</v>
      </c>
      <c r="B70" s="1302">
        <f>A6_Machine_Look_Up!H70</f>
        <v>300</v>
      </c>
      <c r="C70" s="405">
        <f>A6_Machine_Look_Up!I70</f>
        <v>0.7</v>
      </c>
      <c r="D70" s="468">
        <f>A6_Machine_Look_Up!J70</f>
        <v>8</v>
      </c>
      <c r="E70" s="441">
        <f t="shared" si="69"/>
        <v>0.28000000000000003</v>
      </c>
      <c r="F70" s="1302">
        <f>A6_Machine_Look_Up!K70</f>
        <v>0</v>
      </c>
      <c r="G70" s="468">
        <f>A6_Machine_Look_Up!L70</f>
        <v>0</v>
      </c>
      <c r="H70" s="1123"/>
      <c r="I70" s="1126"/>
      <c r="J70" s="182">
        <f>A6_Machine_Look_Up!AG70</f>
        <v>0.12</v>
      </c>
      <c r="K70" s="579">
        <f>A6_Machine_Look_Up!AH70</f>
        <v>2.2999999999999998</v>
      </c>
      <c r="L70" s="595">
        <f>A6_Machine_Look_Up!AI70</f>
        <v>0</v>
      </c>
      <c r="M70" s="677">
        <f t="shared" si="70"/>
        <v>0</v>
      </c>
      <c r="N70" s="447" t="str">
        <f>A6_Machine_Look_Up!AE70</f>
        <v>Combine, 300 hrs</v>
      </c>
      <c r="O70" s="425">
        <f t="shared" si="71"/>
        <v>0.28000000000000003</v>
      </c>
      <c r="P70" s="420">
        <f t="shared" si="72"/>
        <v>0</v>
      </c>
      <c r="Q70" s="420">
        <f t="shared" si="73"/>
        <v>0</v>
      </c>
      <c r="R70" s="420">
        <f t="shared" si="74"/>
        <v>0</v>
      </c>
      <c r="S70" s="420">
        <f t="shared" si="75"/>
        <v>0</v>
      </c>
      <c r="T70" s="420">
        <f t="shared" si="76"/>
        <v>0</v>
      </c>
      <c r="U70" s="420">
        <f t="shared" si="77"/>
        <v>0</v>
      </c>
      <c r="V70" s="420">
        <f t="shared" si="78"/>
        <v>0</v>
      </c>
      <c r="W70" s="420">
        <f t="shared" si="79"/>
        <v>0.28000000000000003</v>
      </c>
      <c r="X70" s="420">
        <f t="shared" si="80"/>
        <v>0</v>
      </c>
      <c r="Y70" s="420">
        <f t="shared" si="81"/>
        <v>0</v>
      </c>
      <c r="Z70" s="420">
        <f t="shared" si="82"/>
        <v>0</v>
      </c>
      <c r="AA70" s="420">
        <f t="shared" si="83"/>
        <v>0</v>
      </c>
      <c r="AB70" s="420">
        <f t="shared" si="84"/>
        <v>0</v>
      </c>
      <c r="AC70" s="420">
        <f t="shared" si="85"/>
        <v>0</v>
      </c>
      <c r="AD70" s="420">
        <f t="shared" si="86"/>
        <v>0</v>
      </c>
      <c r="AE70" s="420">
        <f t="shared" si="87"/>
        <v>0</v>
      </c>
      <c r="AF70" s="420">
        <f t="shared" si="88"/>
        <v>0</v>
      </c>
      <c r="AG70" s="420">
        <f t="shared" si="89"/>
        <v>0</v>
      </c>
      <c r="AH70" s="420">
        <f t="shared" si="90"/>
        <v>0</v>
      </c>
      <c r="AI70" s="420">
        <f t="shared" si="91"/>
        <v>0</v>
      </c>
      <c r="AJ70" s="497">
        <v>0.69</v>
      </c>
      <c r="AK70" s="497">
        <v>0.57999999999999996</v>
      </c>
      <c r="AL70" s="497">
        <v>0.5</v>
      </c>
      <c r="AM70" s="497">
        <v>0.44</v>
      </c>
      <c r="AN70" s="497">
        <v>0.39</v>
      </c>
      <c r="AO70" s="497">
        <v>0.35</v>
      </c>
      <c r="AP70" s="497">
        <v>0.31</v>
      </c>
      <c r="AQ70" s="497">
        <v>0.28000000000000003</v>
      </c>
      <c r="AR70" s="497">
        <v>0.25</v>
      </c>
      <c r="AS70" s="497">
        <v>0.23</v>
      </c>
      <c r="AT70" s="497">
        <v>0.2</v>
      </c>
      <c r="AU70" s="497">
        <v>0.18</v>
      </c>
      <c r="AV70" s="497">
        <v>0.16</v>
      </c>
      <c r="AW70" s="497">
        <v>0.14000000000000001</v>
      </c>
      <c r="AX70" s="497">
        <v>0.13</v>
      </c>
      <c r="AY70" s="497">
        <v>0.11</v>
      </c>
      <c r="AZ70" s="497">
        <v>0.1</v>
      </c>
      <c r="BA70" s="497">
        <v>0.09</v>
      </c>
      <c r="BB70" s="497">
        <v>0.08</v>
      </c>
      <c r="BC70" s="497">
        <v>7.0000000000000007E-2</v>
      </c>
      <c r="BD70" s="683"/>
      <c r="BE70" s="448"/>
      <c r="BF70" s="498"/>
      <c r="BG70" s="498"/>
      <c r="BH70" s="498"/>
      <c r="BI70" s="498"/>
      <c r="BJ70" s="498"/>
      <c r="BK70" s="498"/>
      <c r="BL70" s="498"/>
      <c r="BM70" s="498"/>
      <c r="BN70" s="498"/>
      <c r="BO70" s="498"/>
      <c r="BP70" s="498"/>
      <c r="BQ70" s="498"/>
      <c r="BR70" s="498"/>
      <c r="BS70" s="498"/>
      <c r="BT70" s="498"/>
      <c r="BU70" s="498"/>
      <c r="BV70" s="498"/>
      <c r="BW70" s="498"/>
      <c r="BX70" s="498"/>
      <c r="BY70" s="498"/>
      <c r="BZ70" s="498"/>
      <c r="CA70" s="448"/>
      <c r="CB70" s="448"/>
      <c r="CC70" s="448"/>
      <c r="CD70" s="448"/>
      <c r="CE70" s="448"/>
      <c r="CF70" s="448"/>
      <c r="CG70" s="448"/>
      <c r="CH70" s="448"/>
      <c r="CI70" s="448"/>
      <c r="CJ70" s="448"/>
      <c r="CK70" s="448"/>
      <c r="CL70" s="448"/>
      <c r="CM70" s="448"/>
      <c r="CN70" s="448"/>
      <c r="CO70" s="448"/>
      <c r="CP70" s="448"/>
      <c r="CQ70" s="448"/>
      <c r="CR70" s="448"/>
      <c r="CS70" s="448"/>
      <c r="CT70" s="448"/>
    </row>
    <row r="71" spans="1:98" ht="13.9" x14ac:dyDescent="0.4">
      <c r="A71" s="26" t="str">
        <f>A6_Machine_Look_Up!A71</f>
        <v>Soybean Head</v>
      </c>
      <c r="B71" s="1302">
        <f>A6_Machine_Look_Up!H71</f>
        <v>300</v>
      </c>
      <c r="C71" s="405">
        <f>A6_Machine_Look_Up!I71</f>
        <v>0.7</v>
      </c>
      <c r="D71" s="468">
        <f>A6_Machine_Look_Up!J71</f>
        <v>8</v>
      </c>
      <c r="E71" s="441">
        <f t="shared" si="69"/>
        <v>0.28000000000000003</v>
      </c>
      <c r="F71" s="1302">
        <f>A6_Machine_Look_Up!K71</f>
        <v>0</v>
      </c>
      <c r="G71" s="468">
        <f>A6_Machine_Look_Up!L71</f>
        <v>0</v>
      </c>
      <c r="H71" s="1123"/>
      <c r="I71" s="1126"/>
      <c r="J71" s="182">
        <f>A6_Machine_Look_Up!AG71</f>
        <v>0.12</v>
      </c>
      <c r="K71" s="579">
        <f>A6_Machine_Look_Up!AH71</f>
        <v>2.2999999999999998</v>
      </c>
      <c r="L71" s="595">
        <f>A6_Machine_Look_Up!AI71</f>
        <v>0</v>
      </c>
      <c r="M71" s="677">
        <f t="shared" si="70"/>
        <v>0</v>
      </c>
      <c r="N71" s="447" t="str">
        <f>A6_Machine_Look_Up!AE71</f>
        <v>Combine, 300 hrs</v>
      </c>
      <c r="O71" s="425">
        <f t="shared" si="71"/>
        <v>0.28000000000000003</v>
      </c>
      <c r="P71" s="420">
        <f t="shared" si="72"/>
        <v>0</v>
      </c>
      <c r="Q71" s="420">
        <f t="shared" si="73"/>
        <v>0</v>
      </c>
      <c r="R71" s="420">
        <f t="shared" si="74"/>
        <v>0</v>
      </c>
      <c r="S71" s="420">
        <f t="shared" si="75"/>
        <v>0</v>
      </c>
      <c r="T71" s="420">
        <f t="shared" si="76"/>
        <v>0</v>
      </c>
      <c r="U71" s="420">
        <f t="shared" si="77"/>
        <v>0</v>
      </c>
      <c r="V71" s="420">
        <f t="shared" si="78"/>
        <v>0</v>
      </c>
      <c r="W71" s="420">
        <f t="shared" si="79"/>
        <v>0.28000000000000003</v>
      </c>
      <c r="X71" s="420">
        <f t="shared" si="80"/>
        <v>0</v>
      </c>
      <c r="Y71" s="420">
        <f t="shared" si="81"/>
        <v>0</v>
      </c>
      <c r="Z71" s="420">
        <f t="shared" si="82"/>
        <v>0</v>
      </c>
      <c r="AA71" s="420">
        <f t="shared" si="83"/>
        <v>0</v>
      </c>
      <c r="AB71" s="420">
        <f t="shared" si="84"/>
        <v>0</v>
      </c>
      <c r="AC71" s="420">
        <f t="shared" si="85"/>
        <v>0</v>
      </c>
      <c r="AD71" s="420">
        <f t="shared" si="86"/>
        <v>0</v>
      </c>
      <c r="AE71" s="420">
        <f t="shared" si="87"/>
        <v>0</v>
      </c>
      <c r="AF71" s="420">
        <f t="shared" si="88"/>
        <v>0</v>
      </c>
      <c r="AG71" s="420">
        <f t="shared" si="89"/>
        <v>0</v>
      </c>
      <c r="AH71" s="420">
        <f t="shared" si="90"/>
        <v>0</v>
      </c>
      <c r="AI71" s="420">
        <f t="shared" si="91"/>
        <v>0</v>
      </c>
      <c r="AJ71" s="497">
        <v>0.69</v>
      </c>
      <c r="AK71" s="497">
        <v>0.57999999999999996</v>
      </c>
      <c r="AL71" s="497">
        <v>0.5</v>
      </c>
      <c r="AM71" s="497">
        <v>0.44</v>
      </c>
      <c r="AN71" s="497">
        <v>0.39</v>
      </c>
      <c r="AO71" s="497">
        <v>0.35</v>
      </c>
      <c r="AP71" s="497">
        <v>0.31</v>
      </c>
      <c r="AQ71" s="497">
        <v>0.28000000000000003</v>
      </c>
      <c r="AR71" s="497">
        <v>0.25</v>
      </c>
      <c r="AS71" s="497">
        <v>0.23</v>
      </c>
      <c r="AT71" s="497">
        <v>0.2</v>
      </c>
      <c r="AU71" s="497">
        <v>0.18</v>
      </c>
      <c r="AV71" s="497">
        <v>0.16</v>
      </c>
      <c r="AW71" s="497">
        <v>0.14000000000000001</v>
      </c>
      <c r="AX71" s="497">
        <v>0.13</v>
      </c>
      <c r="AY71" s="497">
        <v>0.11</v>
      </c>
      <c r="AZ71" s="497">
        <v>0.1</v>
      </c>
      <c r="BA71" s="497">
        <v>0.09</v>
      </c>
      <c r="BB71" s="497">
        <v>0.08</v>
      </c>
      <c r="BC71" s="497">
        <v>7.0000000000000007E-2</v>
      </c>
      <c r="BD71" s="683"/>
      <c r="BE71" s="448"/>
      <c r="BF71" s="498"/>
      <c r="BG71" s="498"/>
      <c r="BH71" s="498"/>
      <c r="BI71" s="498"/>
      <c r="BJ71" s="498"/>
      <c r="BK71" s="498"/>
      <c r="BL71" s="498"/>
      <c r="BM71" s="498"/>
      <c r="BN71" s="498"/>
      <c r="BO71" s="498"/>
      <c r="BP71" s="498"/>
      <c r="BQ71" s="498"/>
      <c r="BR71" s="498"/>
      <c r="BS71" s="498"/>
      <c r="BT71" s="498"/>
      <c r="BU71" s="498"/>
      <c r="BV71" s="498"/>
      <c r="BW71" s="498"/>
      <c r="BX71" s="498"/>
      <c r="BY71" s="498"/>
      <c r="BZ71" s="498"/>
      <c r="CA71" s="448"/>
      <c r="CB71" s="448"/>
      <c r="CC71" s="448"/>
      <c r="CD71" s="448"/>
      <c r="CE71" s="448"/>
      <c r="CF71" s="448"/>
      <c r="CG71" s="448"/>
      <c r="CH71" s="448"/>
      <c r="CI71" s="448"/>
      <c r="CJ71" s="448"/>
      <c r="CK71" s="448"/>
      <c r="CL71" s="448"/>
      <c r="CM71" s="448"/>
      <c r="CN71" s="448"/>
      <c r="CO71" s="448"/>
      <c r="CP71" s="448"/>
      <c r="CQ71" s="448"/>
      <c r="CR71" s="448"/>
      <c r="CS71" s="448"/>
      <c r="CT71" s="448"/>
    </row>
    <row r="72" spans="1:98" ht="13.9" x14ac:dyDescent="0.4">
      <c r="A72" s="26" t="str">
        <f>A6_Machine_Look_Up!A72</f>
        <v>Rice Head</v>
      </c>
      <c r="B72" s="1302">
        <f>A6_Machine_Look_Up!H72</f>
        <v>300</v>
      </c>
      <c r="C72" s="405">
        <f>A6_Machine_Look_Up!I72</f>
        <v>0.7</v>
      </c>
      <c r="D72" s="468">
        <f>A6_Machine_Look_Up!J72</f>
        <v>8</v>
      </c>
      <c r="E72" s="441">
        <f t="shared" si="69"/>
        <v>0.28000000000000003</v>
      </c>
      <c r="F72" s="1302">
        <f>A6_Machine_Look_Up!K72</f>
        <v>0</v>
      </c>
      <c r="G72" s="468">
        <f>A6_Machine_Look_Up!L72</f>
        <v>0</v>
      </c>
      <c r="H72" s="1123"/>
      <c r="I72" s="1126"/>
      <c r="J72" s="182">
        <f>A6_Machine_Look_Up!AG72</f>
        <v>0.12</v>
      </c>
      <c r="K72" s="579">
        <f>A6_Machine_Look_Up!AH72</f>
        <v>2.2999999999999998</v>
      </c>
      <c r="L72" s="595">
        <f>A6_Machine_Look_Up!AI72</f>
        <v>0</v>
      </c>
      <c r="M72" s="677">
        <f t="shared" si="70"/>
        <v>0</v>
      </c>
      <c r="N72" s="447" t="str">
        <f>A6_Machine_Look_Up!AE72</f>
        <v>Combine, 300 hrs</v>
      </c>
      <c r="O72" s="425">
        <f t="shared" si="71"/>
        <v>0.28000000000000003</v>
      </c>
      <c r="P72" s="420">
        <f t="shared" si="72"/>
        <v>0</v>
      </c>
      <c r="Q72" s="420">
        <f t="shared" si="73"/>
        <v>0</v>
      </c>
      <c r="R72" s="420">
        <f t="shared" si="74"/>
        <v>0</v>
      </c>
      <c r="S72" s="420">
        <f t="shared" si="75"/>
        <v>0</v>
      </c>
      <c r="T72" s="420">
        <f t="shared" si="76"/>
        <v>0</v>
      </c>
      <c r="U72" s="420">
        <f t="shared" si="77"/>
        <v>0</v>
      </c>
      <c r="V72" s="420">
        <f t="shared" si="78"/>
        <v>0</v>
      </c>
      <c r="W72" s="420">
        <f t="shared" si="79"/>
        <v>0.28000000000000003</v>
      </c>
      <c r="X72" s="420">
        <f t="shared" si="80"/>
        <v>0</v>
      </c>
      <c r="Y72" s="420">
        <f t="shared" si="81"/>
        <v>0</v>
      </c>
      <c r="Z72" s="420">
        <f t="shared" si="82"/>
        <v>0</v>
      </c>
      <c r="AA72" s="420">
        <f t="shared" si="83"/>
        <v>0</v>
      </c>
      <c r="AB72" s="420">
        <f t="shared" si="84"/>
        <v>0</v>
      </c>
      <c r="AC72" s="420">
        <f t="shared" si="85"/>
        <v>0</v>
      </c>
      <c r="AD72" s="420">
        <f t="shared" si="86"/>
        <v>0</v>
      </c>
      <c r="AE72" s="420">
        <f t="shared" si="87"/>
        <v>0</v>
      </c>
      <c r="AF72" s="420">
        <f t="shared" si="88"/>
        <v>0</v>
      </c>
      <c r="AG72" s="420">
        <f t="shared" si="89"/>
        <v>0</v>
      </c>
      <c r="AH72" s="420">
        <f t="shared" si="90"/>
        <v>0</v>
      </c>
      <c r="AI72" s="420">
        <f t="shared" si="91"/>
        <v>0</v>
      </c>
      <c r="AJ72" s="497">
        <v>0.69</v>
      </c>
      <c r="AK72" s="497">
        <v>0.57999999999999996</v>
      </c>
      <c r="AL72" s="497">
        <v>0.5</v>
      </c>
      <c r="AM72" s="497">
        <v>0.44</v>
      </c>
      <c r="AN72" s="497">
        <v>0.39</v>
      </c>
      <c r="AO72" s="497">
        <v>0.35</v>
      </c>
      <c r="AP72" s="497">
        <v>0.31</v>
      </c>
      <c r="AQ72" s="497">
        <v>0.28000000000000003</v>
      </c>
      <c r="AR72" s="497">
        <v>0.25</v>
      </c>
      <c r="AS72" s="497">
        <v>0.23</v>
      </c>
      <c r="AT72" s="497">
        <v>0.2</v>
      </c>
      <c r="AU72" s="497">
        <v>0.18</v>
      </c>
      <c r="AV72" s="497">
        <v>0.16</v>
      </c>
      <c r="AW72" s="497">
        <v>0.14000000000000001</v>
      </c>
      <c r="AX72" s="497">
        <v>0.13</v>
      </c>
      <c r="AY72" s="497">
        <v>0.11</v>
      </c>
      <c r="AZ72" s="497">
        <v>0.1</v>
      </c>
      <c r="BA72" s="497">
        <v>0.09</v>
      </c>
      <c r="BB72" s="497">
        <v>0.08</v>
      </c>
      <c r="BC72" s="497">
        <v>7.0000000000000007E-2</v>
      </c>
      <c r="BD72" s="683"/>
      <c r="BE72" s="448"/>
      <c r="BF72" s="498"/>
      <c r="BG72" s="498"/>
      <c r="BH72" s="498"/>
      <c r="BI72" s="498"/>
      <c r="BJ72" s="498"/>
      <c r="BK72" s="498"/>
      <c r="BL72" s="498"/>
      <c r="BM72" s="498"/>
      <c r="BN72" s="498"/>
      <c r="BO72" s="498"/>
      <c r="BP72" s="498"/>
      <c r="BQ72" s="498"/>
      <c r="BR72" s="498"/>
      <c r="BS72" s="498"/>
      <c r="BT72" s="498"/>
      <c r="BU72" s="498"/>
      <c r="BV72" s="498"/>
      <c r="BW72" s="498"/>
      <c r="BX72" s="498"/>
      <c r="BY72" s="498"/>
      <c r="BZ72" s="498"/>
      <c r="CA72" s="448"/>
      <c r="CB72" s="448"/>
      <c r="CC72" s="448"/>
      <c r="CD72" s="448"/>
      <c r="CE72" s="448"/>
      <c r="CF72" s="448"/>
      <c r="CG72" s="448"/>
      <c r="CH72" s="448"/>
      <c r="CI72" s="448"/>
      <c r="CJ72" s="448"/>
      <c r="CK72" s="448"/>
      <c r="CL72" s="448"/>
      <c r="CM72" s="448"/>
      <c r="CN72" s="448"/>
      <c r="CO72" s="448"/>
      <c r="CP72" s="448"/>
      <c r="CQ72" s="448"/>
      <c r="CR72" s="448"/>
      <c r="CS72" s="448"/>
      <c r="CT72" s="448"/>
    </row>
    <row r="73" spans="1:98" ht="13.9" x14ac:dyDescent="0.4">
      <c r="A73" s="11" t="str">
        <f>A6_Machine_Look_Up!A73</f>
        <v>Wheat/Sorghum Head</v>
      </c>
      <c r="B73" s="1302">
        <f>A6_Machine_Look_Up!H73</f>
        <v>300</v>
      </c>
      <c r="C73" s="405">
        <f>A6_Machine_Look_Up!I73</f>
        <v>0.7</v>
      </c>
      <c r="D73" s="468">
        <f>A6_Machine_Look_Up!J73</f>
        <v>8</v>
      </c>
      <c r="E73" s="441">
        <f t="shared" si="69"/>
        <v>0.28000000000000003</v>
      </c>
      <c r="F73" s="1302">
        <f>A6_Machine_Look_Up!K73</f>
        <v>0</v>
      </c>
      <c r="G73" s="468">
        <f>A6_Machine_Look_Up!L73</f>
        <v>0</v>
      </c>
      <c r="H73" s="1123"/>
      <c r="I73" s="1126"/>
      <c r="J73" s="182">
        <f>A6_Machine_Look_Up!AG73</f>
        <v>0.12</v>
      </c>
      <c r="K73" s="579">
        <f>A6_Machine_Look_Up!AH73</f>
        <v>2.2999999999999998</v>
      </c>
      <c r="L73" s="595">
        <f>A6_Machine_Look_Up!AI73</f>
        <v>0</v>
      </c>
      <c r="M73" s="677">
        <f t="shared" si="70"/>
        <v>0</v>
      </c>
      <c r="N73" s="447" t="str">
        <f>A6_Machine_Look_Up!AE73</f>
        <v>Combine, 300 hrs</v>
      </c>
      <c r="O73" s="425">
        <f t="shared" si="71"/>
        <v>0.28000000000000003</v>
      </c>
      <c r="P73" s="420">
        <f t="shared" si="72"/>
        <v>0</v>
      </c>
      <c r="Q73" s="420">
        <f t="shared" si="73"/>
        <v>0</v>
      </c>
      <c r="R73" s="420">
        <f t="shared" si="74"/>
        <v>0</v>
      </c>
      <c r="S73" s="420">
        <f t="shared" si="75"/>
        <v>0</v>
      </c>
      <c r="T73" s="420">
        <f t="shared" si="76"/>
        <v>0</v>
      </c>
      <c r="U73" s="420">
        <f t="shared" si="77"/>
        <v>0</v>
      </c>
      <c r="V73" s="420">
        <f t="shared" si="78"/>
        <v>0</v>
      </c>
      <c r="W73" s="420">
        <f t="shared" si="79"/>
        <v>0.28000000000000003</v>
      </c>
      <c r="X73" s="420">
        <f t="shared" si="80"/>
        <v>0</v>
      </c>
      <c r="Y73" s="420">
        <f t="shared" si="81"/>
        <v>0</v>
      </c>
      <c r="Z73" s="420">
        <f t="shared" si="82"/>
        <v>0</v>
      </c>
      <c r="AA73" s="420">
        <f t="shared" si="83"/>
        <v>0</v>
      </c>
      <c r="AB73" s="420">
        <f t="shared" si="84"/>
        <v>0</v>
      </c>
      <c r="AC73" s="420">
        <f t="shared" si="85"/>
        <v>0</v>
      </c>
      <c r="AD73" s="420">
        <f t="shared" si="86"/>
        <v>0</v>
      </c>
      <c r="AE73" s="420">
        <f t="shared" si="87"/>
        <v>0</v>
      </c>
      <c r="AF73" s="420">
        <f t="shared" si="88"/>
        <v>0</v>
      </c>
      <c r="AG73" s="420">
        <f t="shared" si="89"/>
        <v>0</v>
      </c>
      <c r="AH73" s="420">
        <f t="shared" si="90"/>
        <v>0</v>
      </c>
      <c r="AI73" s="420">
        <f t="shared" si="91"/>
        <v>0</v>
      </c>
      <c r="AJ73" s="497">
        <v>0.69</v>
      </c>
      <c r="AK73" s="497">
        <v>0.57999999999999996</v>
      </c>
      <c r="AL73" s="497">
        <v>0.5</v>
      </c>
      <c r="AM73" s="497">
        <v>0.44</v>
      </c>
      <c r="AN73" s="497">
        <v>0.39</v>
      </c>
      <c r="AO73" s="497">
        <v>0.35</v>
      </c>
      <c r="AP73" s="497">
        <v>0.31</v>
      </c>
      <c r="AQ73" s="497">
        <v>0.28000000000000003</v>
      </c>
      <c r="AR73" s="497">
        <v>0.25</v>
      </c>
      <c r="AS73" s="497">
        <v>0.23</v>
      </c>
      <c r="AT73" s="497">
        <v>0.2</v>
      </c>
      <c r="AU73" s="497">
        <v>0.18</v>
      </c>
      <c r="AV73" s="497">
        <v>0.16</v>
      </c>
      <c r="AW73" s="497">
        <v>0.14000000000000001</v>
      </c>
      <c r="AX73" s="497">
        <v>0.13</v>
      </c>
      <c r="AY73" s="497">
        <v>0.11</v>
      </c>
      <c r="AZ73" s="497">
        <v>0.1</v>
      </c>
      <c r="BA73" s="497">
        <v>0.09</v>
      </c>
      <c r="BB73" s="497">
        <v>0.08</v>
      </c>
      <c r="BC73" s="497">
        <v>7.0000000000000007E-2</v>
      </c>
      <c r="BD73" s="683"/>
      <c r="BE73" s="448"/>
      <c r="BF73" s="498"/>
      <c r="BG73" s="498"/>
      <c r="BH73" s="498"/>
      <c r="BI73" s="498"/>
      <c r="BJ73" s="498"/>
      <c r="BK73" s="498"/>
      <c r="BL73" s="498"/>
      <c r="BM73" s="498"/>
      <c r="BN73" s="498"/>
      <c r="BO73" s="498"/>
      <c r="BP73" s="498"/>
      <c r="BQ73" s="498"/>
      <c r="BR73" s="498"/>
      <c r="BS73" s="498"/>
      <c r="BT73" s="498"/>
      <c r="BU73" s="498"/>
      <c r="BV73" s="498"/>
      <c r="BW73" s="498"/>
      <c r="BX73" s="498"/>
      <c r="BY73" s="498"/>
      <c r="BZ73" s="498"/>
      <c r="CA73" s="448"/>
      <c r="CB73" s="448"/>
      <c r="CC73" s="448"/>
      <c r="CD73" s="448"/>
      <c r="CE73" s="448"/>
      <c r="CF73" s="448"/>
      <c r="CG73" s="448"/>
      <c r="CH73" s="448"/>
      <c r="CI73" s="448"/>
      <c r="CJ73" s="448"/>
      <c r="CK73" s="448"/>
      <c r="CL73" s="448"/>
      <c r="CM73" s="448"/>
      <c r="CN73" s="448"/>
      <c r="CO73" s="448"/>
      <c r="CP73" s="448"/>
      <c r="CQ73" s="448"/>
      <c r="CR73" s="448"/>
      <c r="CS73" s="448"/>
      <c r="CT73" s="448"/>
    </row>
    <row r="74" spans="1:98" ht="13.9" x14ac:dyDescent="0.4">
      <c r="A74" s="27" t="str">
        <f>A6_Machine_Look_Up!A74</f>
        <v>Grain Cart with Tractor</v>
      </c>
      <c r="B74" s="1304">
        <f>A6_Machine_Look_Up!H74</f>
        <v>300</v>
      </c>
      <c r="C74" s="1915">
        <f>A6_Machine_Look_Up!I74</f>
        <v>0.7</v>
      </c>
      <c r="D74" s="494">
        <f>A6_Machine_Look_Up!J74</f>
        <v>8</v>
      </c>
      <c r="E74" s="724">
        <f t="shared" si="69"/>
        <v>0.4</v>
      </c>
      <c r="F74" s="495">
        <f>A6_Machine_Look_Up!K74</f>
        <v>600</v>
      </c>
      <c r="G74" s="496">
        <f>A6_Machine_Look_Up!L74</f>
        <v>8</v>
      </c>
      <c r="H74" s="452">
        <f>BF74</f>
        <v>0.36</v>
      </c>
      <c r="I74" s="453">
        <f>A6_Machine_Look_Up!G74</f>
        <v>195</v>
      </c>
      <c r="J74" s="585">
        <f>A6_Machine_Look_Up!AG74</f>
        <v>0.19</v>
      </c>
      <c r="K74" s="580">
        <f>A6_Machine_Look_Up!AH74</f>
        <v>1.3</v>
      </c>
      <c r="L74" s="793">
        <f>A6_Machine_Look_Up!AI74</f>
        <v>1.1100000000000001</v>
      </c>
      <c r="M74" s="677">
        <f t="shared" si="70"/>
        <v>0</v>
      </c>
      <c r="N74" s="447" t="str">
        <f>A6_Machine_Look_Up!AE74</f>
        <v>Others</v>
      </c>
      <c r="O74" s="425">
        <f t="shared" si="71"/>
        <v>0.4</v>
      </c>
      <c r="P74" s="420">
        <f t="shared" si="72"/>
        <v>0</v>
      </c>
      <c r="Q74" s="420">
        <f t="shared" si="73"/>
        <v>0</v>
      </c>
      <c r="R74" s="420">
        <f t="shared" si="74"/>
        <v>0</v>
      </c>
      <c r="S74" s="420">
        <f t="shared" si="75"/>
        <v>0</v>
      </c>
      <c r="T74" s="420">
        <f t="shared" si="76"/>
        <v>0</v>
      </c>
      <c r="U74" s="420">
        <f t="shared" si="77"/>
        <v>0</v>
      </c>
      <c r="V74" s="420">
        <f t="shared" si="78"/>
        <v>0</v>
      </c>
      <c r="W74" s="420">
        <f t="shared" si="79"/>
        <v>0.4</v>
      </c>
      <c r="X74" s="420">
        <f t="shared" si="80"/>
        <v>0</v>
      </c>
      <c r="Y74" s="420">
        <f t="shared" si="81"/>
        <v>0</v>
      </c>
      <c r="Z74" s="420">
        <f t="shared" si="82"/>
        <v>0</v>
      </c>
      <c r="AA74" s="420">
        <f t="shared" si="83"/>
        <v>0</v>
      </c>
      <c r="AB74" s="420">
        <f t="shared" si="84"/>
        <v>0</v>
      </c>
      <c r="AC74" s="420">
        <f t="shared" si="85"/>
        <v>0</v>
      </c>
      <c r="AD74" s="420">
        <f t="shared" si="86"/>
        <v>0</v>
      </c>
      <c r="AE74" s="420">
        <f t="shared" si="87"/>
        <v>0</v>
      </c>
      <c r="AF74" s="420">
        <f t="shared" si="88"/>
        <v>0</v>
      </c>
      <c r="AG74" s="420">
        <f t="shared" si="89"/>
        <v>0</v>
      </c>
      <c r="AH74" s="420">
        <f t="shared" si="90"/>
        <v>0</v>
      </c>
      <c r="AI74" s="420">
        <f t="shared" si="91"/>
        <v>0</v>
      </c>
      <c r="AJ74" s="421">
        <v>0.69</v>
      </c>
      <c r="AK74" s="421">
        <v>0.62</v>
      </c>
      <c r="AL74" s="421">
        <v>0.56000000000000005</v>
      </c>
      <c r="AM74" s="421">
        <v>0.52</v>
      </c>
      <c r="AN74" s="421">
        <v>0.48</v>
      </c>
      <c r="AO74" s="421">
        <v>0.45</v>
      </c>
      <c r="AP74" s="421">
        <v>0.42</v>
      </c>
      <c r="AQ74" s="421">
        <v>0.4</v>
      </c>
      <c r="AR74" s="421">
        <v>0.37</v>
      </c>
      <c r="AS74" s="421">
        <v>0.35</v>
      </c>
      <c r="AT74" s="421">
        <v>0.33</v>
      </c>
      <c r="AU74" s="421">
        <v>0.31</v>
      </c>
      <c r="AV74" s="421">
        <v>0.28999999999999998</v>
      </c>
      <c r="AW74" s="421">
        <v>0.28000000000000003</v>
      </c>
      <c r="AX74" s="421">
        <v>0.26</v>
      </c>
      <c r="AY74" s="421">
        <v>0.25</v>
      </c>
      <c r="AZ74" s="421">
        <v>0.24</v>
      </c>
      <c r="BA74" s="421">
        <v>0.22</v>
      </c>
      <c r="BB74" s="421">
        <v>0.21</v>
      </c>
      <c r="BC74" s="421">
        <v>0.2</v>
      </c>
      <c r="BD74" s="681">
        <f>IF(OR(G74&lt;1,G74&gt;20),1,0)</f>
        <v>0</v>
      </c>
      <c r="BE74" s="417" t="s">
        <v>331</v>
      </c>
      <c r="BF74" s="425">
        <f>SUM(BG74:BZ74)</f>
        <v>0.36</v>
      </c>
      <c r="BG74" s="420">
        <f>IF($G74=1,CA74,0)</f>
        <v>0</v>
      </c>
      <c r="BH74" s="420">
        <f>IF($G74=2,CB74,0)</f>
        <v>0</v>
      </c>
      <c r="BI74" s="420">
        <f>IF($G74=3,CC74,0)</f>
        <v>0</v>
      </c>
      <c r="BJ74" s="420">
        <f>IF($G74=4,CD74,0)</f>
        <v>0</v>
      </c>
      <c r="BK74" s="420">
        <f>IF($G74=5,CE74,0)</f>
        <v>0</v>
      </c>
      <c r="BL74" s="420">
        <f>IF($G74=6,CF74,0)</f>
        <v>0</v>
      </c>
      <c r="BM74" s="420">
        <f>IF($G74=7,CG74,0)</f>
        <v>0</v>
      </c>
      <c r="BN74" s="420">
        <f>IF($G74=8,CH74,0)</f>
        <v>0.36</v>
      </c>
      <c r="BO74" s="420">
        <f>IF($G74=9,CI74,0)</f>
        <v>0</v>
      </c>
      <c r="BP74" s="420">
        <f>IF($G74=10,CJ74,0)</f>
        <v>0</v>
      </c>
      <c r="BQ74" s="420">
        <f>IF($G74=11,CK74,0)</f>
        <v>0</v>
      </c>
      <c r="BR74" s="420">
        <f>IF($G74=12,CL74,0)</f>
        <v>0</v>
      </c>
      <c r="BS74" s="420">
        <f>IF($G74=13,CM74,0)</f>
        <v>0</v>
      </c>
      <c r="BT74" s="420">
        <f>IF($G74=14,CN74,0)</f>
        <v>0</v>
      </c>
      <c r="BU74" s="420">
        <f>IF($G74=15,CO74,0)</f>
        <v>0</v>
      </c>
      <c r="BV74" s="420">
        <f>IF($G74=16,CP74,0)</f>
        <v>0</v>
      </c>
      <c r="BW74" s="420">
        <f>IF($G74=17,CQ74,0)</f>
        <v>0</v>
      </c>
      <c r="BX74" s="420">
        <f>IF($G74=18,CR74,0)</f>
        <v>0</v>
      </c>
      <c r="BY74" s="420">
        <f>IF($G74=19,CS74,0)</f>
        <v>0</v>
      </c>
      <c r="BZ74" s="420">
        <f>IF($G74=20,CT74,0)</f>
        <v>0</v>
      </c>
      <c r="CA74" s="421">
        <v>0.67</v>
      </c>
      <c r="CB74" s="421">
        <v>0.59</v>
      </c>
      <c r="CC74" s="421">
        <v>0.54</v>
      </c>
      <c r="CD74" s="421">
        <v>0.49</v>
      </c>
      <c r="CE74" s="421">
        <v>0.45</v>
      </c>
      <c r="CF74" s="421">
        <v>0.42</v>
      </c>
      <c r="CG74" s="421">
        <v>0.39</v>
      </c>
      <c r="CH74" s="421">
        <v>0.36</v>
      </c>
      <c r="CI74" s="421">
        <v>0.34</v>
      </c>
      <c r="CJ74" s="421">
        <v>0.32</v>
      </c>
      <c r="CK74" s="421">
        <v>0.3</v>
      </c>
      <c r="CL74" s="421">
        <v>0.28000000000000003</v>
      </c>
      <c r="CM74" s="421">
        <v>0.26</v>
      </c>
      <c r="CN74" s="421">
        <v>0.24</v>
      </c>
      <c r="CO74" s="421">
        <v>0.23</v>
      </c>
      <c r="CP74" s="421">
        <v>0.21</v>
      </c>
      <c r="CQ74" s="421">
        <v>0.2</v>
      </c>
      <c r="CR74" s="421">
        <v>0.19</v>
      </c>
      <c r="CS74" s="421">
        <v>0.18</v>
      </c>
      <c r="CT74" s="421">
        <v>0.17</v>
      </c>
    </row>
    <row r="75" spans="1:98" ht="13.9" x14ac:dyDescent="0.4">
      <c r="A75" s="11" t="str">
        <f>A6_Machine_Look_Up!A75</f>
        <v>Other Harvest</v>
      </c>
      <c r="B75" s="1302">
        <f>A6_Machine_Look_Up!H75</f>
        <v>200</v>
      </c>
      <c r="C75" s="405">
        <f>A6_Machine_Look_Up!I75</f>
        <v>0.65</v>
      </c>
      <c r="D75" s="468">
        <f>A6_Machine_Look_Up!J75</f>
        <v>8</v>
      </c>
      <c r="E75" s="441">
        <f t="shared" ref="E75:E81" si="92">O75</f>
        <v>0.28000000000000003</v>
      </c>
      <c r="F75" s="1302">
        <f>A6_Machine_Look_Up!K75</f>
        <v>0</v>
      </c>
      <c r="G75" s="468">
        <f>A6_Machine_Look_Up!L75</f>
        <v>0</v>
      </c>
      <c r="H75" s="1123"/>
      <c r="I75" s="1126"/>
      <c r="J75" s="182">
        <f>A6_Machine_Look_Up!AG75</f>
        <v>0.04</v>
      </c>
      <c r="K75" s="579">
        <f>A6_Machine_Look_Up!AH75</f>
        <v>2.1</v>
      </c>
      <c r="L75" s="595">
        <f>A6_Machine_Look_Up!AI75</f>
        <v>1.1100000000000001</v>
      </c>
      <c r="M75" s="677">
        <f t="shared" si="70"/>
        <v>0</v>
      </c>
      <c r="N75" s="447" t="str">
        <f>A6_Machine_Look_Up!AE75</f>
        <v>Combine, 300 hrs</v>
      </c>
      <c r="O75" s="425">
        <f t="shared" si="71"/>
        <v>0.28000000000000003</v>
      </c>
      <c r="P75" s="420">
        <f t="shared" si="72"/>
        <v>0</v>
      </c>
      <c r="Q75" s="420">
        <f t="shared" si="73"/>
        <v>0</v>
      </c>
      <c r="R75" s="420">
        <f t="shared" si="74"/>
        <v>0</v>
      </c>
      <c r="S75" s="420">
        <f t="shared" si="75"/>
        <v>0</v>
      </c>
      <c r="T75" s="420">
        <f t="shared" ref="T75:T81" si="93">IF($D75=5,AN75,0)</f>
        <v>0</v>
      </c>
      <c r="U75" s="420">
        <f t="shared" ref="U75:U81" si="94">IF($D75=6,AO75,0)</f>
        <v>0</v>
      </c>
      <c r="V75" s="420">
        <f t="shared" ref="V75:V81" si="95">IF($D75=7,AP75,0)</f>
        <v>0</v>
      </c>
      <c r="W75" s="420">
        <f t="shared" ref="W75:W81" si="96">IF($D75=8,AQ75,0)</f>
        <v>0.28000000000000003</v>
      </c>
      <c r="X75" s="420">
        <f t="shared" ref="X75:X81" si="97">IF($D75=9,AR75,0)</f>
        <v>0</v>
      </c>
      <c r="Y75" s="420">
        <f t="shared" ref="Y75:Y81" si="98">IF($D75=10,AS75,0)</f>
        <v>0</v>
      </c>
      <c r="Z75" s="420">
        <f t="shared" ref="Z75:Z81" si="99">IF($D75=11,AT75,0)</f>
        <v>0</v>
      </c>
      <c r="AA75" s="420">
        <f t="shared" ref="AA75:AA81" si="100">IF($D75=12,AU75,0)</f>
        <v>0</v>
      </c>
      <c r="AB75" s="420">
        <f t="shared" ref="AB75:AB81" si="101">IF($D75=13,AV75,0)</f>
        <v>0</v>
      </c>
      <c r="AC75" s="420">
        <f t="shared" ref="AC75:AC81" si="102">IF($D75=14,AW75,0)</f>
        <v>0</v>
      </c>
      <c r="AD75" s="420">
        <f t="shared" ref="AD75:AD81" si="103">IF($D75=15,AX75,0)</f>
        <v>0</v>
      </c>
      <c r="AE75" s="420">
        <f t="shared" ref="AE75:AE81" si="104">IF($D75=16,AY75,0)</f>
        <v>0</v>
      </c>
      <c r="AF75" s="420">
        <f t="shared" ref="AF75:AF81" si="105">IF($D75=17,AZ75,0)</f>
        <v>0</v>
      </c>
      <c r="AG75" s="420">
        <f t="shared" ref="AG75:AG81" si="106">IF($D75=18,BA75,0)</f>
        <v>0</v>
      </c>
      <c r="AH75" s="420">
        <f t="shared" ref="AH75:AH81" si="107">IF($D75=19,BB75,0)</f>
        <v>0</v>
      </c>
      <c r="AI75" s="420">
        <f t="shared" ref="AI75:AI81" si="108">IF($D75=20,BC75,0)</f>
        <v>0</v>
      </c>
      <c r="AJ75" s="497">
        <v>0.69</v>
      </c>
      <c r="AK75" s="497">
        <v>0.57999999999999996</v>
      </c>
      <c r="AL75" s="497">
        <v>0.5</v>
      </c>
      <c r="AM75" s="497">
        <v>0.44</v>
      </c>
      <c r="AN75" s="497">
        <v>0.39</v>
      </c>
      <c r="AO75" s="497">
        <v>0.35</v>
      </c>
      <c r="AP75" s="497">
        <v>0.31</v>
      </c>
      <c r="AQ75" s="497">
        <v>0.28000000000000003</v>
      </c>
      <c r="AR75" s="497">
        <v>0.25</v>
      </c>
      <c r="AS75" s="497">
        <v>0.23</v>
      </c>
      <c r="AT75" s="497">
        <v>0.2</v>
      </c>
      <c r="AU75" s="497">
        <v>0.18</v>
      </c>
      <c r="AV75" s="497">
        <v>0.16</v>
      </c>
      <c r="AW75" s="497">
        <v>0.14000000000000001</v>
      </c>
      <c r="AX75" s="497">
        <v>0.13</v>
      </c>
      <c r="AY75" s="497">
        <v>0.11</v>
      </c>
      <c r="AZ75" s="497">
        <v>0.1</v>
      </c>
      <c r="BA75" s="497">
        <v>0.09</v>
      </c>
      <c r="BB75" s="497">
        <v>0.08</v>
      </c>
      <c r="BC75" s="497">
        <v>7.0000000000000007E-2</v>
      </c>
      <c r="BD75" s="683"/>
      <c r="BE75" s="448"/>
      <c r="BF75" s="498"/>
      <c r="BG75" s="498"/>
      <c r="BH75" s="498"/>
      <c r="BI75" s="498"/>
      <c r="BJ75" s="498"/>
      <c r="BK75" s="498"/>
      <c r="BL75" s="498"/>
      <c r="BM75" s="498"/>
      <c r="BN75" s="498"/>
      <c r="BO75" s="498"/>
      <c r="BP75" s="498"/>
      <c r="BQ75" s="498"/>
      <c r="BR75" s="498"/>
      <c r="BS75" s="498"/>
      <c r="BT75" s="498"/>
      <c r="BU75" s="498"/>
      <c r="BV75" s="498"/>
      <c r="BW75" s="498"/>
      <c r="BX75" s="498"/>
      <c r="BY75" s="498"/>
      <c r="BZ75" s="498"/>
      <c r="CA75" s="448"/>
      <c r="CB75" s="448"/>
      <c r="CC75" s="448"/>
      <c r="CD75" s="448"/>
      <c r="CE75" s="448"/>
      <c r="CF75" s="448"/>
      <c r="CG75" s="448"/>
      <c r="CH75" s="448"/>
      <c r="CI75" s="448"/>
      <c r="CJ75" s="448"/>
      <c r="CK75" s="448"/>
      <c r="CL75" s="448"/>
      <c r="CM75" s="448"/>
      <c r="CN75" s="448"/>
      <c r="CO75" s="448"/>
      <c r="CP75" s="448"/>
      <c r="CQ75" s="448"/>
      <c r="CR75" s="448"/>
      <c r="CS75" s="448"/>
      <c r="CT75" s="448"/>
    </row>
    <row r="76" spans="1:98" ht="13.9" x14ac:dyDescent="0.4">
      <c r="A76" s="11" t="str">
        <f>A6_Machine_Look_Up!A76</f>
        <v>Peanut Harvester, with Tractor</v>
      </c>
      <c r="B76" s="1302">
        <f>A6_Machine_Look_Up!H76</f>
        <v>200</v>
      </c>
      <c r="C76" s="405">
        <f>A6_Machine_Look_Up!I76</f>
        <v>0.65</v>
      </c>
      <c r="D76" s="468">
        <f>A6_Machine_Look_Up!J76</f>
        <v>8</v>
      </c>
      <c r="E76" s="441">
        <f t="shared" si="92"/>
        <v>0.28000000000000003</v>
      </c>
      <c r="F76" s="491">
        <f>A6_Machine_Look_Up!K76</f>
        <v>600</v>
      </c>
      <c r="G76" s="492">
        <f>A6_Machine_Look_Up!L76</f>
        <v>8</v>
      </c>
      <c r="H76" s="450">
        <f>BF76</f>
        <v>0.36</v>
      </c>
      <c r="I76" s="443">
        <f>A6_Machine_Look_Up!G76</f>
        <v>230</v>
      </c>
      <c r="J76" s="182">
        <f>A6_Machine_Look_Up!AG76</f>
        <v>0.04</v>
      </c>
      <c r="K76" s="579">
        <f>A6_Machine_Look_Up!AH76</f>
        <v>2.1</v>
      </c>
      <c r="L76" s="595">
        <f>A6_Machine_Look_Up!AI76</f>
        <v>1.1100000000000001</v>
      </c>
      <c r="M76" s="677">
        <f t="shared" si="70"/>
        <v>0</v>
      </c>
      <c r="N76" s="447" t="str">
        <f>A6_Machine_Look_Up!AE76</f>
        <v>Combine, 300 hrs</v>
      </c>
      <c r="O76" s="425">
        <f t="shared" si="71"/>
        <v>0.28000000000000003</v>
      </c>
      <c r="P76" s="420">
        <f t="shared" si="72"/>
        <v>0</v>
      </c>
      <c r="Q76" s="420">
        <f t="shared" si="73"/>
        <v>0</v>
      </c>
      <c r="R76" s="420">
        <f t="shared" si="74"/>
        <v>0</v>
      </c>
      <c r="S76" s="420">
        <f t="shared" si="75"/>
        <v>0</v>
      </c>
      <c r="T76" s="420">
        <f t="shared" si="93"/>
        <v>0</v>
      </c>
      <c r="U76" s="420">
        <f t="shared" si="94"/>
        <v>0</v>
      </c>
      <c r="V76" s="420">
        <f t="shared" si="95"/>
        <v>0</v>
      </c>
      <c r="W76" s="420">
        <f t="shared" si="96"/>
        <v>0.28000000000000003</v>
      </c>
      <c r="X76" s="420">
        <f t="shared" si="97"/>
        <v>0</v>
      </c>
      <c r="Y76" s="420">
        <f t="shared" si="98"/>
        <v>0</v>
      </c>
      <c r="Z76" s="420">
        <f t="shared" si="99"/>
        <v>0</v>
      </c>
      <c r="AA76" s="420">
        <f t="shared" si="100"/>
        <v>0</v>
      </c>
      <c r="AB76" s="420">
        <f t="shared" si="101"/>
        <v>0</v>
      </c>
      <c r="AC76" s="420">
        <f t="shared" si="102"/>
        <v>0</v>
      </c>
      <c r="AD76" s="420">
        <f t="shared" si="103"/>
        <v>0</v>
      </c>
      <c r="AE76" s="420">
        <f t="shared" si="104"/>
        <v>0</v>
      </c>
      <c r="AF76" s="420">
        <f t="shared" si="105"/>
        <v>0</v>
      </c>
      <c r="AG76" s="420">
        <f t="shared" si="106"/>
        <v>0</v>
      </c>
      <c r="AH76" s="420">
        <f t="shared" si="107"/>
        <v>0</v>
      </c>
      <c r="AI76" s="420">
        <f t="shared" si="108"/>
        <v>0</v>
      </c>
      <c r="AJ76" s="497">
        <v>0.69</v>
      </c>
      <c r="AK76" s="497">
        <v>0.57999999999999996</v>
      </c>
      <c r="AL76" s="497">
        <v>0.5</v>
      </c>
      <c r="AM76" s="497">
        <v>0.44</v>
      </c>
      <c r="AN76" s="497">
        <v>0.39</v>
      </c>
      <c r="AO76" s="497">
        <v>0.35</v>
      </c>
      <c r="AP76" s="497">
        <v>0.31</v>
      </c>
      <c r="AQ76" s="497">
        <v>0.28000000000000003</v>
      </c>
      <c r="AR76" s="497">
        <v>0.25</v>
      </c>
      <c r="AS76" s="497">
        <v>0.23</v>
      </c>
      <c r="AT76" s="497">
        <v>0.2</v>
      </c>
      <c r="AU76" s="497">
        <v>0.18</v>
      </c>
      <c r="AV76" s="497">
        <v>0.16</v>
      </c>
      <c r="AW76" s="497">
        <v>0.14000000000000001</v>
      </c>
      <c r="AX76" s="497">
        <v>0.13</v>
      </c>
      <c r="AY76" s="497">
        <v>0.11</v>
      </c>
      <c r="AZ76" s="497">
        <v>0.1</v>
      </c>
      <c r="BA76" s="497">
        <v>0.09</v>
      </c>
      <c r="BB76" s="497">
        <v>0.08</v>
      </c>
      <c r="BC76" s="497">
        <v>7.0000000000000007E-2</v>
      </c>
      <c r="BD76" s="681">
        <f>IF(OR(G76&lt;1,G76&gt;20),1,0)</f>
        <v>0</v>
      </c>
      <c r="BE76" s="417" t="s">
        <v>331</v>
      </c>
      <c r="BF76" s="425">
        <f>SUM(BG76:BZ76)</f>
        <v>0.36</v>
      </c>
      <c r="BG76" s="420">
        <f>IF($G76=1,CA76,0)</f>
        <v>0</v>
      </c>
      <c r="BH76" s="420">
        <f>IF($G76=2,CB76,0)</f>
        <v>0</v>
      </c>
      <c r="BI76" s="420">
        <f>IF($G76=3,CC76,0)</f>
        <v>0</v>
      </c>
      <c r="BJ76" s="420">
        <f>IF($G76=4,CD76,0)</f>
        <v>0</v>
      </c>
      <c r="BK76" s="420">
        <f>IF($G76=5,CE76,0)</f>
        <v>0</v>
      </c>
      <c r="BL76" s="420">
        <f>IF($G76=6,CF76,0)</f>
        <v>0</v>
      </c>
      <c r="BM76" s="420">
        <f>IF($G76=7,CG76,0)</f>
        <v>0</v>
      </c>
      <c r="BN76" s="420">
        <f>IF($G76=8,CH76,0)</f>
        <v>0.36</v>
      </c>
      <c r="BO76" s="420">
        <f>IF($G76=9,CI76,0)</f>
        <v>0</v>
      </c>
      <c r="BP76" s="420">
        <f>IF($G76=10,CJ76,0)</f>
        <v>0</v>
      </c>
      <c r="BQ76" s="420">
        <f>IF($G76=11,CK76,0)</f>
        <v>0</v>
      </c>
      <c r="BR76" s="420">
        <f>IF($G76=12,CL76,0)</f>
        <v>0</v>
      </c>
      <c r="BS76" s="420">
        <f>IF($G76=13,CM76,0)</f>
        <v>0</v>
      </c>
      <c r="BT76" s="420">
        <f>IF($G76=14,CN76,0)</f>
        <v>0</v>
      </c>
      <c r="BU76" s="420">
        <f>IF($G76=15,CO76,0)</f>
        <v>0</v>
      </c>
      <c r="BV76" s="420">
        <f>IF($G76=16,CP76,0)</f>
        <v>0</v>
      </c>
      <c r="BW76" s="420">
        <f>IF($G76=17,CQ76,0)</f>
        <v>0</v>
      </c>
      <c r="BX76" s="420">
        <f>IF($G76=18,CR76,0)</f>
        <v>0</v>
      </c>
      <c r="BY76" s="420">
        <f>IF($G76=19,CS76,0)</f>
        <v>0</v>
      </c>
      <c r="BZ76" s="420">
        <f>IF($G76=20,CT76,0)</f>
        <v>0</v>
      </c>
      <c r="CA76" s="421">
        <v>0.67</v>
      </c>
      <c r="CB76" s="421">
        <v>0.59</v>
      </c>
      <c r="CC76" s="421">
        <v>0.54</v>
      </c>
      <c r="CD76" s="421">
        <v>0.49</v>
      </c>
      <c r="CE76" s="421">
        <v>0.45</v>
      </c>
      <c r="CF76" s="421">
        <v>0.42</v>
      </c>
      <c r="CG76" s="421">
        <v>0.39</v>
      </c>
      <c r="CH76" s="421">
        <v>0.36</v>
      </c>
      <c r="CI76" s="421">
        <v>0.34</v>
      </c>
      <c r="CJ76" s="421">
        <v>0.32</v>
      </c>
      <c r="CK76" s="421">
        <v>0.3</v>
      </c>
      <c r="CL76" s="421">
        <v>0.28000000000000003</v>
      </c>
      <c r="CM76" s="421">
        <v>0.26</v>
      </c>
      <c r="CN76" s="421">
        <v>0.24</v>
      </c>
      <c r="CO76" s="421">
        <v>0.23</v>
      </c>
      <c r="CP76" s="421">
        <v>0.21</v>
      </c>
      <c r="CQ76" s="421">
        <v>0.2</v>
      </c>
      <c r="CR76" s="421">
        <v>0.19</v>
      </c>
      <c r="CS76" s="421">
        <v>0.18</v>
      </c>
      <c r="CT76" s="421">
        <v>0.17</v>
      </c>
    </row>
    <row r="77" spans="1:98" ht="13.9" x14ac:dyDescent="0.4">
      <c r="A77" s="11" t="str">
        <f>A6_Machine_Look_Up!A77</f>
        <v>Peanut Dump Cart with Tractor</v>
      </c>
      <c r="B77" s="1302">
        <f>A6_Machine_Look_Up!H77</f>
        <v>200</v>
      </c>
      <c r="C77" s="405">
        <f>A6_Machine_Look_Up!I77</f>
        <v>0.65</v>
      </c>
      <c r="D77" s="468">
        <f>A6_Machine_Look_Up!J77</f>
        <v>8</v>
      </c>
      <c r="E77" s="441">
        <f t="shared" si="92"/>
        <v>0.4</v>
      </c>
      <c r="F77" s="491">
        <f>A6_Machine_Look_Up!K77</f>
        <v>600</v>
      </c>
      <c r="G77" s="492">
        <f>A6_Machine_Look_Up!L77</f>
        <v>8</v>
      </c>
      <c r="H77" s="450">
        <f>BF77</f>
        <v>0.36</v>
      </c>
      <c r="I77" s="443">
        <f>A6_Machine_Look_Up!G77</f>
        <v>195</v>
      </c>
      <c r="J77" s="182">
        <f>A6_Machine_Look_Up!AG77</f>
        <v>0.19</v>
      </c>
      <c r="K77" s="579">
        <f>A6_Machine_Look_Up!AH77</f>
        <v>1.3</v>
      </c>
      <c r="L77" s="1128">
        <f>A6_Machine_Look_Up!AI77</f>
        <v>1.1100000000000001</v>
      </c>
      <c r="M77" s="677">
        <f t="shared" si="70"/>
        <v>0</v>
      </c>
      <c r="N77" s="447" t="str">
        <f>A6_Machine_Look_Up!AE77</f>
        <v>Others</v>
      </c>
      <c r="O77" s="425">
        <f t="shared" si="71"/>
        <v>0.4</v>
      </c>
      <c r="P77" s="420">
        <f t="shared" si="72"/>
        <v>0</v>
      </c>
      <c r="Q77" s="420">
        <f t="shared" si="73"/>
        <v>0</v>
      </c>
      <c r="R77" s="420">
        <f t="shared" si="74"/>
        <v>0</v>
      </c>
      <c r="S77" s="420">
        <f t="shared" si="75"/>
        <v>0</v>
      </c>
      <c r="T77" s="420">
        <f t="shared" si="93"/>
        <v>0</v>
      </c>
      <c r="U77" s="420">
        <f t="shared" si="94"/>
        <v>0</v>
      </c>
      <c r="V77" s="420">
        <f t="shared" si="95"/>
        <v>0</v>
      </c>
      <c r="W77" s="420">
        <f t="shared" si="96"/>
        <v>0.4</v>
      </c>
      <c r="X77" s="420">
        <f t="shared" si="97"/>
        <v>0</v>
      </c>
      <c r="Y77" s="420">
        <f t="shared" si="98"/>
        <v>0</v>
      </c>
      <c r="Z77" s="420">
        <f t="shared" si="99"/>
        <v>0</v>
      </c>
      <c r="AA77" s="420">
        <f t="shared" si="100"/>
        <v>0</v>
      </c>
      <c r="AB77" s="420">
        <f t="shared" si="101"/>
        <v>0</v>
      </c>
      <c r="AC77" s="420">
        <f t="shared" si="102"/>
        <v>0</v>
      </c>
      <c r="AD77" s="420">
        <f t="shared" si="103"/>
        <v>0</v>
      </c>
      <c r="AE77" s="420">
        <f t="shared" si="104"/>
        <v>0</v>
      </c>
      <c r="AF77" s="420">
        <f t="shared" si="105"/>
        <v>0</v>
      </c>
      <c r="AG77" s="420">
        <f t="shared" si="106"/>
        <v>0</v>
      </c>
      <c r="AH77" s="420">
        <f t="shared" si="107"/>
        <v>0</v>
      </c>
      <c r="AI77" s="420">
        <f t="shared" si="108"/>
        <v>0</v>
      </c>
      <c r="AJ77" s="421">
        <v>0.69</v>
      </c>
      <c r="AK77" s="421">
        <v>0.62</v>
      </c>
      <c r="AL77" s="421">
        <v>0.56000000000000005</v>
      </c>
      <c r="AM77" s="421">
        <v>0.52</v>
      </c>
      <c r="AN77" s="421">
        <v>0.48</v>
      </c>
      <c r="AO77" s="421">
        <v>0.45</v>
      </c>
      <c r="AP77" s="421">
        <v>0.42</v>
      </c>
      <c r="AQ77" s="421">
        <v>0.4</v>
      </c>
      <c r="AR77" s="421">
        <v>0.37</v>
      </c>
      <c r="AS77" s="421">
        <v>0.35</v>
      </c>
      <c r="AT77" s="421">
        <v>0.33</v>
      </c>
      <c r="AU77" s="421">
        <v>0.31</v>
      </c>
      <c r="AV77" s="421">
        <v>0.28999999999999998</v>
      </c>
      <c r="AW77" s="421">
        <v>0.28000000000000003</v>
      </c>
      <c r="AX77" s="421">
        <v>0.26</v>
      </c>
      <c r="AY77" s="421">
        <v>0.25</v>
      </c>
      <c r="AZ77" s="421">
        <v>0.24</v>
      </c>
      <c r="BA77" s="421">
        <v>0.22</v>
      </c>
      <c r="BB77" s="421">
        <v>0.21</v>
      </c>
      <c r="BC77" s="421">
        <v>0.2</v>
      </c>
      <c r="BD77" s="681">
        <f>IF(OR(G77&lt;1,G77&gt;20),1,0)</f>
        <v>0</v>
      </c>
      <c r="BE77" s="417" t="s">
        <v>331</v>
      </c>
      <c r="BF77" s="425">
        <f>SUM(BG77:BZ77)</f>
        <v>0.36</v>
      </c>
      <c r="BG77" s="420">
        <f>IF($G77=1,CA77,0)</f>
        <v>0</v>
      </c>
      <c r="BH77" s="420">
        <f>IF($G77=2,CB77,0)</f>
        <v>0</v>
      </c>
      <c r="BI77" s="420">
        <f>IF($G77=3,CC77,0)</f>
        <v>0</v>
      </c>
      <c r="BJ77" s="420">
        <f>IF($G77=4,CD77,0)</f>
        <v>0</v>
      </c>
      <c r="BK77" s="420">
        <f>IF($G77=5,CE77,0)</f>
        <v>0</v>
      </c>
      <c r="BL77" s="420">
        <f>IF($G77=6,CF77,0)</f>
        <v>0</v>
      </c>
      <c r="BM77" s="420">
        <f>IF($G77=7,CG77,0)</f>
        <v>0</v>
      </c>
      <c r="BN77" s="420">
        <f>IF($G77=8,CH77,0)</f>
        <v>0.36</v>
      </c>
      <c r="BO77" s="420">
        <f>IF($G77=9,CI77,0)</f>
        <v>0</v>
      </c>
      <c r="BP77" s="420">
        <f>IF($G77=10,CJ77,0)</f>
        <v>0</v>
      </c>
      <c r="BQ77" s="420">
        <f>IF($G77=11,CK77,0)</f>
        <v>0</v>
      </c>
      <c r="BR77" s="420">
        <f>IF($G77=12,CL77,0)</f>
        <v>0</v>
      </c>
      <c r="BS77" s="420">
        <f>IF($G77=13,CM77,0)</f>
        <v>0</v>
      </c>
      <c r="BT77" s="420">
        <f>IF($G77=14,CN77,0)</f>
        <v>0</v>
      </c>
      <c r="BU77" s="420">
        <f>IF($G77=15,CO77,0)</f>
        <v>0</v>
      </c>
      <c r="BV77" s="420">
        <f>IF($G77=16,CP77,0)</f>
        <v>0</v>
      </c>
      <c r="BW77" s="420">
        <f>IF($G77=17,CQ77,0)</f>
        <v>0</v>
      </c>
      <c r="BX77" s="420">
        <f>IF($G77=18,CR77,0)</f>
        <v>0</v>
      </c>
      <c r="BY77" s="420">
        <f>IF($G77=19,CS77,0)</f>
        <v>0</v>
      </c>
      <c r="BZ77" s="420">
        <f>IF($G77=20,CT77,0)</f>
        <v>0</v>
      </c>
      <c r="CA77" s="421">
        <v>0.67</v>
      </c>
      <c r="CB77" s="421">
        <v>0.59</v>
      </c>
      <c r="CC77" s="421">
        <v>0.54</v>
      </c>
      <c r="CD77" s="421">
        <v>0.49</v>
      </c>
      <c r="CE77" s="421">
        <v>0.45</v>
      </c>
      <c r="CF77" s="421">
        <v>0.42</v>
      </c>
      <c r="CG77" s="421">
        <v>0.39</v>
      </c>
      <c r="CH77" s="421">
        <v>0.36</v>
      </c>
      <c r="CI77" s="421">
        <v>0.34</v>
      </c>
      <c r="CJ77" s="421">
        <v>0.32</v>
      </c>
      <c r="CK77" s="421">
        <v>0.3</v>
      </c>
      <c r="CL77" s="421">
        <v>0.28000000000000003</v>
      </c>
      <c r="CM77" s="421">
        <v>0.26</v>
      </c>
      <c r="CN77" s="421">
        <v>0.24</v>
      </c>
      <c r="CO77" s="421">
        <v>0.23</v>
      </c>
      <c r="CP77" s="421">
        <v>0.21</v>
      </c>
      <c r="CQ77" s="421">
        <v>0.2</v>
      </c>
      <c r="CR77" s="421">
        <v>0.19</v>
      </c>
      <c r="CS77" s="421">
        <v>0.18</v>
      </c>
      <c r="CT77" s="421">
        <v>0.17</v>
      </c>
    </row>
    <row r="78" spans="1:98" ht="13.9" x14ac:dyDescent="0.4">
      <c r="A78" s="742" t="str">
        <f>A6_Machine_Look_Up!A78</f>
        <v>Peanut Wagon, 28 ft., with Tractor</v>
      </c>
      <c r="B78" s="1304">
        <f>A6_Machine_Look_Up!H78</f>
        <v>200</v>
      </c>
      <c r="C78" s="1915">
        <f>A6_Machine_Look_Up!I78</f>
        <v>0.65</v>
      </c>
      <c r="D78" s="494">
        <f>A6_Machine_Look_Up!J78</f>
        <v>8</v>
      </c>
      <c r="E78" s="724">
        <f t="shared" si="92"/>
        <v>0.4</v>
      </c>
      <c r="F78" s="495">
        <f>A6_Machine_Look_Up!K78</f>
        <v>600</v>
      </c>
      <c r="G78" s="496">
        <f>A6_Machine_Look_Up!L78</f>
        <v>8</v>
      </c>
      <c r="H78" s="452">
        <f>BF78</f>
        <v>0.36</v>
      </c>
      <c r="I78" s="453">
        <f>A6_Machine_Look_Up!G78</f>
        <v>195</v>
      </c>
      <c r="J78" s="585">
        <f>A6_Machine_Look_Up!AG78</f>
        <v>0.19</v>
      </c>
      <c r="K78" s="580">
        <f>A6_Machine_Look_Up!AH78</f>
        <v>1.3</v>
      </c>
      <c r="L78" s="1129">
        <f>A6_Machine_Look_Up!AI78</f>
        <v>1.1100000000000001</v>
      </c>
      <c r="M78" s="677">
        <f t="shared" si="70"/>
        <v>0</v>
      </c>
      <c r="N78" s="447" t="str">
        <f>A6_Machine_Look_Up!AE78</f>
        <v>Others</v>
      </c>
      <c r="O78" s="425">
        <f t="shared" si="71"/>
        <v>0.4</v>
      </c>
      <c r="P78" s="420">
        <f t="shared" si="72"/>
        <v>0</v>
      </c>
      <c r="Q78" s="420">
        <f t="shared" si="73"/>
        <v>0</v>
      </c>
      <c r="R78" s="420">
        <f t="shared" si="74"/>
        <v>0</v>
      </c>
      <c r="S78" s="420">
        <f t="shared" si="75"/>
        <v>0</v>
      </c>
      <c r="T78" s="420">
        <f t="shared" si="93"/>
        <v>0</v>
      </c>
      <c r="U78" s="420">
        <f t="shared" si="94"/>
        <v>0</v>
      </c>
      <c r="V78" s="420">
        <f t="shared" si="95"/>
        <v>0</v>
      </c>
      <c r="W78" s="420">
        <f t="shared" si="96"/>
        <v>0.4</v>
      </c>
      <c r="X78" s="420">
        <f t="shared" si="97"/>
        <v>0</v>
      </c>
      <c r="Y78" s="420">
        <f t="shared" si="98"/>
        <v>0</v>
      </c>
      <c r="Z78" s="420">
        <f t="shared" si="99"/>
        <v>0</v>
      </c>
      <c r="AA78" s="420">
        <f t="shared" si="100"/>
        <v>0</v>
      </c>
      <c r="AB78" s="420">
        <f t="shared" si="101"/>
        <v>0</v>
      </c>
      <c r="AC78" s="420">
        <f t="shared" si="102"/>
        <v>0</v>
      </c>
      <c r="AD78" s="420">
        <f t="shared" si="103"/>
        <v>0</v>
      </c>
      <c r="AE78" s="420">
        <f t="shared" si="104"/>
        <v>0</v>
      </c>
      <c r="AF78" s="420">
        <f t="shared" si="105"/>
        <v>0</v>
      </c>
      <c r="AG78" s="420">
        <f t="shared" si="106"/>
        <v>0</v>
      </c>
      <c r="AH78" s="420">
        <f t="shared" si="107"/>
        <v>0</v>
      </c>
      <c r="AI78" s="420">
        <f t="shared" si="108"/>
        <v>0</v>
      </c>
      <c r="AJ78" s="421">
        <v>0.69</v>
      </c>
      <c r="AK78" s="421">
        <v>0.62</v>
      </c>
      <c r="AL78" s="421">
        <v>0.56000000000000005</v>
      </c>
      <c r="AM78" s="421">
        <v>0.52</v>
      </c>
      <c r="AN78" s="421">
        <v>0.48</v>
      </c>
      <c r="AO78" s="421">
        <v>0.45</v>
      </c>
      <c r="AP78" s="421">
        <v>0.42</v>
      </c>
      <c r="AQ78" s="421">
        <v>0.4</v>
      </c>
      <c r="AR78" s="421">
        <v>0.37</v>
      </c>
      <c r="AS78" s="421">
        <v>0.35</v>
      </c>
      <c r="AT78" s="421">
        <v>0.33</v>
      </c>
      <c r="AU78" s="421">
        <v>0.31</v>
      </c>
      <c r="AV78" s="421">
        <v>0.28999999999999998</v>
      </c>
      <c r="AW78" s="421">
        <v>0.28000000000000003</v>
      </c>
      <c r="AX78" s="421">
        <v>0.26</v>
      </c>
      <c r="AY78" s="421">
        <v>0.25</v>
      </c>
      <c r="AZ78" s="421">
        <v>0.24</v>
      </c>
      <c r="BA78" s="421">
        <v>0.22</v>
      </c>
      <c r="BB78" s="421">
        <v>0.21</v>
      </c>
      <c r="BC78" s="421">
        <v>0.2</v>
      </c>
      <c r="BD78" s="681">
        <f>IF(OR(G78&lt;1,G78&gt;20),1,0)</f>
        <v>0</v>
      </c>
      <c r="BE78" s="417" t="s">
        <v>331</v>
      </c>
      <c r="BF78" s="425">
        <f>SUM(BG78:BZ78)</f>
        <v>0.36</v>
      </c>
      <c r="BG78" s="420">
        <f>IF($G78=1,CA78,0)</f>
        <v>0</v>
      </c>
      <c r="BH78" s="420">
        <f>IF($G78=2,CB78,0)</f>
        <v>0</v>
      </c>
      <c r="BI78" s="420">
        <f>IF($G78=3,CC78,0)</f>
        <v>0</v>
      </c>
      <c r="BJ78" s="420">
        <f>IF($G78=4,CD78,0)</f>
        <v>0</v>
      </c>
      <c r="BK78" s="420">
        <f>IF($G78=5,CE78,0)</f>
        <v>0</v>
      </c>
      <c r="BL78" s="420">
        <f>IF($G78=6,CF78,0)</f>
        <v>0</v>
      </c>
      <c r="BM78" s="420">
        <f>IF($G78=7,CG78,0)</f>
        <v>0</v>
      </c>
      <c r="BN78" s="420">
        <f>IF($G78=8,CH78,0)</f>
        <v>0.36</v>
      </c>
      <c r="BO78" s="420">
        <f>IF($G78=9,CI78,0)</f>
        <v>0</v>
      </c>
      <c r="BP78" s="420">
        <f>IF($G78=10,CJ78,0)</f>
        <v>0</v>
      </c>
      <c r="BQ78" s="420">
        <f>IF($G78=11,CK78,0)</f>
        <v>0</v>
      </c>
      <c r="BR78" s="420">
        <f>IF($G78=12,CL78,0)</f>
        <v>0</v>
      </c>
      <c r="BS78" s="420">
        <f>IF($G78=13,CM78,0)</f>
        <v>0</v>
      </c>
      <c r="BT78" s="420">
        <f>IF($G78=14,CN78,0)</f>
        <v>0</v>
      </c>
      <c r="BU78" s="420">
        <f>IF($G78=15,CO78,0)</f>
        <v>0</v>
      </c>
      <c r="BV78" s="420">
        <f>IF($G78=16,CP78,0)</f>
        <v>0</v>
      </c>
      <c r="BW78" s="420">
        <f>IF($G78=17,CQ78,0)</f>
        <v>0</v>
      </c>
      <c r="BX78" s="420">
        <f>IF($G78=18,CR78,0)</f>
        <v>0</v>
      </c>
      <c r="BY78" s="420">
        <f>IF($G78=19,CS78,0)</f>
        <v>0</v>
      </c>
      <c r="BZ78" s="420">
        <f>IF($G78=20,CT78,0)</f>
        <v>0</v>
      </c>
      <c r="CA78" s="421">
        <v>0.67</v>
      </c>
      <c r="CB78" s="421">
        <v>0.59</v>
      </c>
      <c r="CC78" s="421">
        <v>0.54</v>
      </c>
      <c r="CD78" s="421">
        <v>0.49</v>
      </c>
      <c r="CE78" s="421">
        <v>0.45</v>
      </c>
      <c r="CF78" s="421">
        <v>0.42</v>
      </c>
      <c r="CG78" s="421">
        <v>0.39</v>
      </c>
      <c r="CH78" s="421">
        <v>0.36</v>
      </c>
      <c r="CI78" s="421">
        <v>0.34</v>
      </c>
      <c r="CJ78" s="421">
        <v>0.32</v>
      </c>
      <c r="CK78" s="421">
        <v>0.3</v>
      </c>
      <c r="CL78" s="421">
        <v>0.28000000000000003</v>
      </c>
      <c r="CM78" s="421">
        <v>0.26</v>
      </c>
      <c r="CN78" s="421">
        <v>0.24</v>
      </c>
      <c r="CO78" s="421">
        <v>0.23</v>
      </c>
      <c r="CP78" s="421">
        <v>0.21</v>
      </c>
      <c r="CQ78" s="421">
        <v>0.2</v>
      </c>
      <c r="CR78" s="421">
        <v>0.19</v>
      </c>
      <c r="CS78" s="421">
        <v>0.18</v>
      </c>
      <c r="CT78" s="421">
        <v>0.17</v>
      </c>
    </row>
    <row r="79" spans="1:98" ht="13.9" x14ac:dyDescent="0.4">
      <c r="A79" s="11" t="str">
        <f>A6_Machine_Look_Up!A79</f>
        <v>Other Harvest</v>
      </c>
      <c r="B79" s="1302">
        <f>A6_Machine_Look_Up!H79</f>
        <v>200</v>
      </c>
      <c r="C79" s="405">
        <f>A6_Machine_Look_Up!I79</f>
        <v>0.7</v>
      </c>
      <c r="D79" s="468">
        <f>A6_Machine_Look_Up!J79</f>
        <v>8</v>
      </c>
      <c r="E79" s="441">
        <f t="shared" si="92"/>
        <v>0.28000000000000003</v>
      </c>
      <c r="F79" s="1302">
        <f>A6_Machine_Look_Up!K79</f>
        <v>0</v>
      </c>
      <c r="G79" s="468">
        <f>A6_Machine_Look_Up!L79</f>
        <v>0</v>
      </c>
      <c r="H79" s="1123"/>
      <c r="I79" s="1126"/>
      <c r="J79" s="182">
        <f>A6_Machine_Look_Up!AG79</f>
        <v>0.11</v>
      </c>
      <c r="K79" s="579">
        <f>A6_Machine_Look_Up!AH79</f>
        <v>1.8</v>
      </c>
      <c r="L79" s="592">
        <f>A6_Machine_Look_Up!AI79</f>
        <v>1.1100000000000001</v>
      </c>
      <c r="M79" s="677">
        <f>IF(OR(D79&lt;1,D79&gt;20),1,0)</f>
        <v>0</v>
      </c>
      <c r="N79" s="447" t="str">
        <f>A6_Machine_Look_Up!AE79</f>
        <v>Combine, 300 hrs</v>
      </c>
      <c r="O79" s="425">
        <f>SUM(P79:AI79)</f>
        <v>0.28000000000000003</v>
      </c>
      <c r="P79" s="420">
        <f>IF($D79=1,AJ79,0)</f>
        <v>0</v>
      </c>
      <c r="Q79" s="420">
        <f>IF($D79=2,AK79,0)</f>
        <v>0</v>
      </c>
      <c r="R79" s="420">
        <f>IF($D79=3,AL79,0)</f>
        <v>0</v>
      </c>
      <c r="S79" s="420">
        <f>IF($D79=4,AM79,0)</f>
        <v>0</v>
      </c>
      <c r="T79" s="420">
        <f t="shared" si="93"/>
        <v>0</v>
      </c>
      <c r="U79" s="420">
        <f t="shared" si="94"/>
        <v>0</v>
      </c>
      <c r="V79" s="420">
        <f t="shared" si="95"/>
        <v>0</v>
      </c>
      <c r="W79" s="420">
        <f t="shared" si="96"/>
        <v>0.28000000000000003</v>
      </c>
      <c r="X79" s="420">
        <f t="shared" si="97"/>
        <v>0</v>
      </c>
      <c r="Y79" s="420">
        <f t="shared" si="98"/>
        <v>0</v>
      </c>
      <c r="Z79" s="420">
        <f t="shared" si="99"/>
        <v>0</v>
      </c>
      <c r="AA79" s="420">
        <f t="shared" si="100"/>
        <v>0</v>
      </c>
      <c r="AB79" s="420">
        <f t="shared" si="101"/>
        <v>0</v>
      </c>
      <c r="AC79" s="420">
        <f t="shared" si="102"/>
        <v>0</v>
      </c>
      <c r="AD79" s="420">
        <f t="shared" si="103"/>
        <v>0</v>
      </c>
      <c r="AE79" s="420">
        <f t="shared" si="104"/>
        <v>0</v>
      </c>
      <c r="AF79" s="420">
        <f t="shared" si="105"/>
        <v>0</v>
      </c>
      <c r="AG79" s="420">
        <f t="shared" si="106"/>
        <v>0</v>
      </c>
      <c r="AH79" s="420">
        <f t="shared" si="107"/>
        <v>0</v>
      </c>
      <c r="AI79" s="420">
        <f t="shared" si="108"/>
        <v>0</v>
      </c>
      <c r="AJ79" s="497">
        <v>0.69</v>
      </c>
      <c r="AK79" s="497">
        <v>0.57999999999999996</v>
      </c>
      <c r="AL79" s="497">
        <v>0.5</v>
      </c>
      <c r="AM79" s="497">
        <v>0.44</v>
      </c>
      <c r="AN79" s="497">
        <v>0.39</v>
      </c>
      <c r="AO79" s="497">
        <v>0.35</v>
      </c>
      <c r="AP79" s="497">
        <v>0.31</v>
      </c>
      <c r="AQ79" s="497">
        <v>0.28000000000000003</v>
      </c>
      <c r="AR79" s="497">
        <v>0.25</v>
      </c>
      <c r="AS79" s="497">
        <v>0.23</v>
      </c>
      <c r="AT79" s="497">
        <v>0.2</v>
      </c>
      <c r="AU79" s="497">
        <v>0.18</v>
      </c>
      <c r="AV79" s="497">
        <v>0.16</v>
      </c>
      <c r="AW79" s="497">
        <v>0.14000000000000001</v>
      </c>
      <c r="AX79" s="497">
        <v>0.13</v>
      </c>
      <c r="AY79" s="497">
        <v>0.11</v>
      </c>
      <c r="AZ79" s="497">
        <v>0.1</v>
      </c>
      <c r="BA79" s="497">
        <v>0.09</v>
      </c>
      <c r="BB79" s="497">
        <v>0.08</v>
      </c>
      <c r="BC79" s="497">
        <v>7.0000000000000007E-2</v>
      </c>
      <c r="BD79" s="683"/>
      <c r="BE79" s="448"/>
      <c r="BF79" s="498"/>
      <c r="BG79" s="498"/>
      <c r="BH79" s="498"/>
      <c r="BI79" s="498"/>
      <c r="BJ79" s="498"/>
      <c r="BK79" s="498"/>
      <c r="BL79" s="498"/>
      <c r="BM79" s="498"/>
      <c r="BN79" s="498"/>
      <c r="BO79" s="498"/>
      <c r="BP79" s="498"/>
      <c r="BQ79" s="498"/>
      <c r="BR79" s="498"/>
      <c r="BS79" s="498"/>
      <c r="BT79" s="498"/>
      <c r="BU79" s="498"/>
      <c r="BV79" s="498"/>
      <c r="BW79" s="498"/>
      <c r="BX79" s="498"/>
      <c r="BY79" s="498"/>
      <c r="BZ79" s="498"/>
      <c r="CA79" s="448"/>
      <c r="CB79" s="448"/>
      <c r="CC79" s="448"/>
      <c r="CD79" s="448"/>
      <c r="CE79" s="448"/>
      <c r="CF79" s="448"/>
      <c r="CG79" s="448"/>
      <c r="CH79" s="448"/>
      <c r="CI79" s="448"/>
      <c r="CJ79" s="448"/>
      <c r="CK79" s="448"/>
      <c r="CL79" s="448"/>
      <c r="CM79" s="448"/>
      <c r="CN79" s="448"/>
      <c r="CO79" s="448"/>
      <c r="CP79" s="448"/>
      <c r="CQ79" s="448"/>
      <c r="CR79" s="448"/>
      <c r="CS79" s="448"/>
      <c r="CT79" s="448"/>
    </row>
    <row r="80" spans="1:98" ht="13.9" x14ac:dyDescent="0.4">
      <c r="A80" s="11" t="str">
        <f>A6_Machine_Look_Up!A80</f>
        <v>Other Harvest</v>
      </c>
      <c r="B80" s="1302">
        <f>A6_Machine_Look_Up!H80</f>
        <v>200</v>
      </c>
      <c r="C80" s="405">
        <f>A6_Machine_Look_Up!I80</f>
        <v>0.7</v>
      </c>
      <c r="D80" s="468">
        <f>A6_Machine_Look_Up!J80</f>
        <v>8</v>
      </c>
      <c r="E80" s="441">
        <f t="shared" si="92"/>
        <v>0.4</v>
      </c>
      <c r="F80" s="491">
        <f>A6_Machine_Look_Up!K80</f>
        <v>600</v>
      </c>
      <c r="G80" s="492">
        <f>A6_Machine_Look_Up!L80</f>
        <v>8</v>
      </c>
      <c r="H80" s="450">
        <f>BF80</f>
        <v>0.36</v>
      </c>
      <c r="I80" s="443">
        <f>A6_Machine_Look_Up!G80</f>
        <v>195</v>
      </c>
      <c r="J80" s="182">
        <f>A6_Machine_Look_Up!AG80</f>
        <v>0.19</v>
      </c>
      <c r="K80" s="579">
        <f>A6_Machine_Look_Up!AH80</f>
        <v>1.3</v>
      </c>
      <c r="L80" s="792">
        <f>A6_Machine_Look_Up!AI80</f>
        <v>1.1100000000000001</v>
      </c>
      <c r="M80" s="677">
        <f>IF(OR(D80&lt;1,D80&gt;20),1,0)</f>
        <v>0</v>
      </c>
      <c r="N80" s="447" t="str">
        <f>A6_Machine_Look_Up!AE80</f>
        <v>Others</v>
      </c>
      <c r="O80" s="425">
        <f>SUM(P80:AI80)</f>
        <v>0.4</v>
      </c>
      <c r="P80" s="420">
        <f>IF($D80=1,AJ80,0)</f>
        <v>0</v>
      </c>
      <c r="Q80" s="420">
        <f>IF($D80=2,AK80,0)</f>
        <v>0</v>
      </c>
      <c r="R80" s="420">
        <f>IF($D80=3,AL80,0)</f>
        <v>0</v>
      </c>
      <c r="S80" s="420">
        <f>IF($D80=4,AM80,0)</f>
        <v>0</v>
      </c>
      <c r="T80" s="420">
        <f t="shared" si="93"/>
        <v>0</v>
      </c>
      <c r="U80" s="420">
        <f t="shared" si="94"/>
        <v>0</v>
      </c>
      <c r="V80" s="420">
        <f t="shared" si="95"/>
        <v>0</v>
      </c>
      <c r="W80" s="420">
        <f t="shared" si="96"/>
        <v>0.4</v>
      </c>
      <c r="X80" s="420">
        <f t="shared" si="97"/>
        <v>0</v>
      </c>
      <c r="Y80" s="420">
        <f t="shared" si="98"/>
        <v>0</v>
      </c>
      <c r="Z80" s="420">
        <f t="shared" si="99"/>
        <v>0</v>
      </c>
      <c r="AA80" s="420">
        <f t="shared" si="100"/>
        <v>0</v>
      </c>
      <c r="AB80" s="420">
        <f t="shared" si="101"/>
        <v>0</v>
      </c>
      <c r="AC80" s="420">
        <f t="shared" si="102"/>
        <v>0</v>
      </c>
      <c r="AD80" s="420">
        <f t="shared" si="103"/>
        <v>0</v>
      </c>
      <c r="AE80" s="420">
        <f t="shared" si="104"/>
        <v>0</v>
      </c>
      <c r="AF80" s="420">
        <f t="shared" si="105"/>
        <v>0</v>
      </c>
      <c r="AG80" s="420">
        <f t="shared" si="106"/>
        <v>0</v>
      </c>
      <c r="AH80" s="420">
        <f t="shared" si="107"/>
        <v>0</v>
      </c>
      <c r="AI80" s="420">
        <f t="shared" si="108"/>
        <v>0</v>
      </c>
      <c r="AJ80" s="421">
        <v>0.69</v>
      </c>
      <c r="AK80" s="421">
        <v>0.62</v>
      </c>
      <c r="AL80" s="421">
        <v>0.56000000000000005</v>
      </c>
      <c r="AM80" s="421">
        <v>0.52</v>
      </c>
      <c r="AN80" s="421">
        <v>0.48</v>
      </c>
      <c r="AO80" s="421">
        <v>0.45</v>
      </c>
      <c r="AP80" s="421">
        <v>0.42</v>
      </c>
      <c r="AQ80" s="421">
        <v>0.4</v>
      </c>
      <c r="AR80" s="421">
        <v>0.37</v>
      </c>
      <c r="AS80" s="421">
        <v>0.35</v>
      </c>
      <c r="AT80" s="421">
        <v>0.33</v>
      </c>
      <c r="AU80" s="421">
        <v>0.31</v>
      </c>
      <c r="AV80" s="421">
        <v>0.28999999999999998</v>
      </c>
      <c r="AW80" s="421">
        <v>0.28000000000000003</v>
      </c>
      <c r="AX80" s="421">
        <v>0.26</v>
      </c>
      <c r="AY80" s="421">
        <v>0.25</v>
      </c>
      <c r="AZ80" s="421">
        <v>0.24</v>
      </c>
      <c r="BA80" s="421">
        <v>0.22</v>
      </c>
      <c r="BB80" s="421">
        <v>0.21</v>
      </c>
      <c r="BC80" s="421">
        <v>0.2</v>
      </c>
      <c r="BD80" s="681">
        <f>IF(OR(G80&lt;1,G80&gt;20),1,0)</f>
        <v>0</v>
      </c>
      <c r="BE80" s="417" t="s">
        <v>331</v>
      </c>
      <c r="BF80" s="425">
        <f>SUM(BG80:BZ80)</f>
        <v>0.36</v>
      </c>
      <c r="BG80" s="420">
        <f>IF($G80=1,CA80,0)</f>
        <v>0</v>
      </c>
      <c r="BH80" s="420">
        <f>IF($G80=2,CB80,0)</f>
        <v>0</v>
      </c>
      <c r="BI80" s="420">
        <f>IF($G80=3,CC80,0)</f>
        <v>0</v>
      </c>
      <c r="BJ80" s="420">
        <f>IF($G80=4,CD80,0)</f>
        <v>0</v>
      </c>
      <c r="BK80" s="420">
        <f>IF($G80=5,CE80,0)</f>
        <v>0</v>
      </c>
      <c r="BL80" s="420">
        <f>IF($G80=6,CF80,0)</f>
        <v>0</v>
      </c>
      <c r="BM80" s="420">
        <f>IF($G80=7,CG80,0)</f>
        <v>0</v>
      </c>
      <c r="BN80" s="420">
        <f>IF($G80=8,CH80,0)</f>
        <v>0.36</v>
      </c>
      <c r="BO80" s="420">
        <f>IF($G80=9,CI80,0)</f>
        <v>0</v>
      </c>
      <c r="BP80" s="420">
        <f>IF($G80=10,CJ80,0)</f>
        <v>0</v>
      </c>
      <c r="BQ80" s="420">
        <f>IF($G80=11,CK80,0)</f>
        <v>0</v>
      </c>
      <c r="BR80" s="420">
        <f>IF($G80=12,CL80,0)</f>
        <v>0</v>
      </c>
      <c r="BS80" s="420">
        <f>IF($G80=13,CM80,0)</f>
        <v>0</v>
      </c>
      <c r="BT80" s="420">
        <f>IF($G80=14,CN80,0)</f>
        <v>0</v>
      </c>
      <c r="BU80" s="420">
        <f>IF($G80=15,CO80,0)</f>
        <v>0</v>
      </c>
      <c r="BV80" s="420">
        <f>IF($G80=16,CP80,0)</f>
        <v>0</v>
      </c>
      <c r="BW80" s="420">
        <f>IF($G80=17,CQ80,0)</f>
        <v>0</v>
      </c>
      <c r="BX80" s="420">
        <f>IF($G80=18,CR80,0)</f>
        <v>0</v>
      </c>
      <c r="BY80" s="420">
        <f>IF($G80=19,CS80,0)</f>
        <v>0</v>
      </c>
      <c r="BZ80" s="420">
        <f>IF($G80=20,CT80,0)</f>
        <v>0</v>
      </c>
      <c r="CA80" s="421">
        <v>0.67</v>
      </c>
      <c r="CB80" s="421">
        <v>0.59</v>
      </c>
      <c r="CC80" s="421">
        <v>0.54</v>
      </c>
      <c r="CD80" s="421">
        <v>0.49</v>
      </c>
      <c r="CE80" s="421">
        <v>0.45</v>
      </c>
      <c r="CF80" s="421">
        <v>0.42</v>
      </c>
      <c r="CG80" s="421">
        <v>0.39</v>
      </c>
      <c r="CH80" s="421">
        <v>0.36</v>
      </c>
      <c r="CI80" s="421">
        <v>0.34</v>
      </c>
      <c r="CJ80" s="421">
        <v>0.32</v>
      </c>
      <c r="CK80" s="421">
        <v>0.3</v>
      </c>
      <c r="CL80" s="421">
        <v>0.28000000000000003</v>
      </c>
      <c r="CM80" s="421">
        <v>0.26</v>
      </c>
      <c r="CN80" s="421">
        <v>0.24</v>
      </c>
      <c r="CO80" s="421">
        <v>0.23</v>
      </c>
      <c r="CP80" s="421">
        <v>0.21</v>
      </c>
      <c r="CQ80" s="421">
        <v>0.2</v>
      </c>
      <c r="CR80" s="421">
        <v>0.19</v>
      </c>
      <c r="CS80" s="421">
        <v>0.18</v>
      </c>
      <c r="CT80" s="421">
        <v>0.17</v>
      </c>
    </row>
    <row r="81" spans="1:98" ht="14.25" thickBot="1" x14ac:dyDescent="0.45">
      <c r="A81" s="11" t="str">
        <f>A6_Machine_Look_Up!A81</f>
        <v>Other Harvest</v>
      </c>
      <c r="B81" s="1303">
        <f>A6_Machine_Look_Up!H81</f>
        <v>200</v>
      </c>
      <c r="C81" s="488">
        <f>A6_Machine_Look_Up!I81</f>
        <v>0.7</v>
      </c>
      <c r="D81" s="487">
        <f>A6_Machine_Look_Up!J81</f>
        <v>8</v>
      </c>
      <c r="E81" s="442">
        <f t="shared" si="92"/>
        <v>0.4</v>
      </c>
      <c r="F81" s="493">
        <f>A6_Machine_Look_Up!K81</f>
        <v>600</v>
      </c>
      <c r="G81" s="188">
        <f>A6_Machine_Look_Up!L81</f>
        <v>8</v>
      </c>
      <c r="H81" s="536">
        <f>BF81</f>
        <v>0.36</v>
      </c>
      <c r="I81" s="444">
        <f>A6_Machine_Look_Up!G81</f>
        <v>195</v>
      </c>
      <c r="J81" s="189">
        <f>A6_Machine_Look_Up!AG81</f>
        <v>0.19</v>
      </c>
      <c r="K81" s="583">
        <f>A6_Machine_Look_Up!AH81</f>
        <v>1.3</v>
      </c>
      <c r="L81" s="1130">
        <f>A6_Machine_Look_Up!AI81</f>
        <v>1.1100000000000001</v>
      </c>
      <c r="M81" s="677">
        <f>IF(OR(D81&lt;1,D81&gt;20),1,0)</f>
        <v>0</v>
      </c>
      <c r="N81" s="447" t="str">
        <f>A6_Machine_Look_Up!AE81</f>
        <v>Others</v>
      </c>
      <c r="O81" s="425">
        <f>SUM(P81:AI81)</f>
        <v>0.4</v>
      </c>
      <c r="P81" s="420">
        <f>IF($D81=1,AJ81,0)</f>
        <v>0</v>
      </c>
      <c r="Q81" s="420">
        <f>IF($D81=2,AK81,0)</f>
        <v>0</v>
      </c>
      <c r="R81" s="420">
        <f>IF($D81=3,AL81,0)</f>
        <v>0</v>
      </c>
      <c r="S81" s="420">
        <f>IF($D81=4,AM81,0)</f>
        <v>0</v>
      </c>
      <c r="T81" s="420">
        <f t="shared" si="93"/>
        <v>0</v>
      </c>
      <c r="U81" s="420">
        <f t="shared" si="94"/>
        <v>0</v>
      </c>
      <c r="V81" s="420">
        <f t="shared" si="95"/>
        <v>0</v>
      </c>
      <c r="W81" s="420">
        <f t="shared" si="96"/>
        <v>0.4</v>
      </c>
      <c r="X81" s="420">
        <f t="shared" si="97"/>
        <v>0</v>
      </c>
      <c r="Y81" s="420">
        <f t="shared" si="98"/>
        <v>0</v>
      </c>
      <c r="Z81" s="420">
        <f t="shared" si="99"/>
        <v>0</v>
      </c>
      <c r="AA81" s="420">
        <f t="shared" si="100"/>
        <v>0</v>
      </c>
      <c r="AB81" s="420">
        <f t="shared" si="101"/>
        <v>0</v>
      </c>
      <c r="AC81" s="420">
        <f t="shared" si="102"/>
        <v>0</v>
      </c>
      <c r="AD81" s="420">
        <f t="shared" si="103"/>
        <v>0</v>
      </c>
      <c r="AE81" s="420">
        <f t="shared" si="104"/>
        <v>0</v>
      </c>
      <c r="AF81" s="420">
        <f t="shared" si="105"/>
        <v>0</v>
      </c>
      <c r="AG81" s="420">
        <f t="shared" si="106"/>
        <v>0</v>
      </c>
      <c r="AH81" s="420">
        <f t="shared" si="107"/>
        <v>0</v>
      </c>
      <c r="AI81" s="420">
        <f t="shared" si="108"/>
        <v>0</v>
      </c>
      <c r="AJ81" s="421">
        <v>0.69</v>
      </c>
      <c r="AK81" s="421">
        <v>0.62</v>
      </c>
      <c r="AL81" s="421">
        <v>0.56000000000000005</v>
      </c>
      <c r="AM81" s="421">
        <v>0.52</v>
      </c>
      <c r="AN81" s="421">
        <v>0.48</v>
      </c>
      <c r="AO81" s="421">
        <v>0.45</v>
      </c>
      <c r="AP81" s="421">
        <v>0.42</v>
      </c>
      <c r="AQ81" s="421">
        <v>0.4</v>
      </c>
      <c r="AR81" s="421">
        <v>0.37</v>
      </c>
      <c r="AS81" s="421">
        <v>0.35</v>
      </c>
      <c r="AT81" s="421">
        <v>0.33</v>
      </c>
      <c r="AU81" s="421">
        <v>0.31</v>
      </c>
      <c r="AV81" s="421">
        <v>0.28999999999999998</v>
      </c>
      <c r="AW81" s="421">
        <v>0.28000000000000003</v>
      </c>
      <c r="AX81" s="421">
        <v>0.26</v>
      </c>
      <c r="AY81" s="421">
        <v>0.25</v>
      </c>
      <c r="AZ81" s="421">
        <v>0.24</v>
      </c>
      <c r="BA81" s="421">
        <v>0.22</v>
      </c>
      <c r="BB81" s="421">
        <v>0.21</v>
      </c>
      <c r="BC81" s="421">
        <v>0.2</v>
      </c>
      <c r="BD81" s="681">
        <f>IF(OR(G81&lt;1,G81&gt;20),1,0)</f>
        <v>0</v>
      </c>
      <c r="BE81" s="417" t="s">
        <v>331</v>
      </c>
      <c r="BF81" s="425">
        <f>SUM(BG81:BZ81)</f>
        <v>0.36</v>
      </c>
      <c r="BG81" s="420">
        <f>IF($G81=1,CA81,0)</f>
        <v>0</v>
      </c>
      <c r="BH81" s="420">
        <f>IF($G81=2,CB81,0)</f>
        <v>0</v>
      </c>
      <c r="BI81" s="420">
        <f>IF($G81=3,CC81,0)</f>
        <v>0</v>
      </c>
      <c r="BJ81" s="420">
        <f>IF($G81=4,CD81,0)</f>
        <v>0</v>
      </c>
      <c r="BK81" s="420">
        <f>IF($G81=5,CE81,0)</f>
        <v>0</v>
      </c>
      <c r="BL81" s="420">
        <f>IF($G81=6,CF81,0)</f>
        <v>0</v>
      </c>
      <c r="BM81" s="420">
        <f>IF($G81=7,CG81,0)</f>
        <v>0</v>
      </c>
      <c r="BN81" s="420">
        <f>IF($G81=8,CH81,0)</f>
        <v>0.36</v>
      </c>
      <c r="BO81" s="420">
        <f>IF($G81=9,CI81,0)</f>
        <v>0</v>
      </c>
      <c r="BP81" s="420">
        <f>IF($G81=10,CJ81,0)</f>
        <v>0</v>
      </c>
      <c r="BQ81" s="420">
        <f>IF($G81=11,CK81,0)</f>
        <v>0</v>
      </c>
      <c r="BR81" s="420">
        <f>IF($G81=12,CL81,0)</f>
        <v>0</v>
      </c>
      <c r="BS81" s="420">
        <f>IF($G81=13,CM81,0)</f>
        <v>0</v>
      </c>
      <c r="BT81" s="420">
        <f>IF($G81=14,CN81,0)</f>
        <v>0</v>
      </c>
      <c r="BU81" s="420">
        <f>IF($G81=15,CO81,0)</f>
        <v>0</v>
      </c>
      <c r="BV81" s="420">
        <f>IF($G81=16,CP81,0)</f>
        <v>0</v>
      </c>
      <c r="BW81" s="420">
        <f>IF($G81=17,CQ81,0)</f>
        <v>0</v>
      </c>
      <c r="BX81" s="420">
        <f>IF($G81=18,CR81,0)</f>
        <v>0</v>
      </c>
      <c r="BY81" s="420">
        <f>IF($G81=19,CS81,0)</f>
        <v>0</v>
      </c>
      <c r="BZ81" s="420">
        <f>IF($G81=20,CT81,0)</f>
        <v>0</v>
      </c>
      <c r="CA81" s="421">
        <v>0.67</v>
      </c>
      <c r="CB81" s="421">
        <v>0.59</v>
      </c>
      <c r="CC81" s="421">
        <v>0.54</v>
      </c>
      <c r="CD81" s="421">
        <v>0.49</v>
      </c>
      <c r="CE81" s="421">
        <v>0.45</v>
      </c>
      <c r="CF81" s="421">
        <v>0.42</v>
      </c>
      <c r="CG81" s="421">
        <v>0.39</v>
      </c>
      <c r="CH81" s="421">
        <v>0.36</v>
      </c>
      <c r="CI81" s="421">
        <v>0.34</v>
      </c>
      <c r="CJ81" s="421">
        <v>0.32</v>
      </c>
      <c r="CK81" s="421">
        <v>0.3</v>
      </c>
      <c r="CL81" s="421">
        <v>0.28000000000000003</v>
      </c>
      <c r="CM81" s="421">
        <v>0.26</v>
      </c>
      <c r="CN81" s="421">
        <v>0.24</v>
      </c>
      <c r="CO81" s="421">
        <v>0.23</v>
      </c>
      <c r="CP81" s="421">
        <v>0.21</v>
      </c>
      <c r="CQ81" s="421">
        <v>0.2</v>
      </c>
      <c r="CR81" s="421">
        <v>0.19</v>
      </c>
      <c r="CS81" s="421">
        <v>0.18</v>
      </c>
      <c r="CT81" s="421">
        <v>0.17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workbookViewId="0">
      <selection activeCell="G22" sqref="G22"/>
    </sheetView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7. Details of Chemicals Applied, Grain Sorghum, Furrow</v>
      </c>
      <c r="B1" s="92"/>
      <c r="C1" s="92"/>
      <c r="D1" s="92"/>
      <c r="E1" s="92"/>
      <c r="F1" s="92"/>
      <c r="G1" s="92"/>
    </row>
    <row r="2" spans="1:7" ht="13.9" x14ac:dyDescent="0.4">
      <c r="A2" s="1978" t="str">
        <f>Seed_Chemical!A10</f>
        <v>Herbicide Detail</v>
      </c>
      <c r="B2" s="1978"/>
      <c r="C2" s="1978"/>
      <c r="D2" s="1978"/>
      <c r="E2" s="1978"/>
      <c r="F2" s="1978"/>
      <c r="G2" s="1978"/>
    </row>
    <row r="3" spans="1:7" ht="13.9" x14ac:dyDescent="0.4">
      <c r="A3" s="164" t="str">
        <f>Seed_Chemical!A11</f>
        <v>Name, Brand</v>
      </c>
      <c r="B3" s="164" t="e">
        <f>Seed_Chemical!#REF!</f>
        <v>#REF!</v>
      </c>
      <c r="C3" s="164" t="str">
        <f>Seed_Chemical!C11</f>
        <v>Unit</v>
      </c>
      <c r="D3" s="164" t="str">
        <f>Seed_Chemical!D11</f>
        <v>Price</v>
      </c>
      <c r="E3" s="164" t="str">
        <f>Seed_Chemical!E11</f>
        <v>Quantity/Ac</v>
      </c>
      <c r="F3" s="164" t="str">
        <f>Seed_Chemical!F11</f>
        <v>Costs</v>
      </c>
      <c r="G3" s="164" t="e">
        <f>Seed_Chemical!#REF!</f>
        <v>#REF!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pt</v>
      </c>
      <c r="D4" s="96">
        <f>Seed_Chemical!D12</f>
        <v>2.25</v>
      </c>
      <c r="E4" s="96">
        <f>Seed_Chemical!E12</f>
        <v>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2,4-D</v>
      </c>
      <c r="B5" s="104" t="e">
        <f>Seed_Chemical!#REF!</f>
        <v>#REF!</v>
      </c>
      <c r="C5" s="104" t="str">
        <f>Seed_Chemical!C13</f>
        <v>pt</v>
      </c>
      <c r="D5" s="96">
        <f>Seed_Chemical!D13</f>
        <v>4.375</v>
      </c>
      <c r="E5" s="96">
        <f>Seed_Chemical!E13</f>
        <v>1.5</v>
      </c>
      <c r="F5" s="96">
        <f>Seed_Chemical!F13</f>
        <v>6.5625</v>
      </c>
      <c r="G5" s="106" t="e">
        <f>Seed_Chemical!#REF!</f>
        <v>#REF!</v>
      </c>
    </row>
    <row r="6" spans="1:7" ht="13.9" x14ac:dyDescent="0.4">
      <c r="A6" s="96" t="str">
        <f>Seed_Chemical!A14</f>
        <v>Metolachlor</v>
      </c>
      <c r="B6" s="104" t="e">
        <f>Seed_Chemical!#REF!</f>
        <v>#REF!</v>
      </c>
      <c r="C6" s="104" t="str">
        <f>Seed_Chemical!C14</f>
        <v>pt</v>
      </c>
      <c r="D6" s="96">
        <f>Seed_Chemical!D14</f>
        <v>5.0387500000000003</v>
      </c>
      <c r="E6" s="96">
        <f>Seed_Chemical!E14</f>
        <v>1.3</v>
      </c>
      <c r="F6" s="96">
        <f>Seed_Chemical!F14</f>
        <v>6.5503750000000007</v>
      </c>
      <c r="G6" s="106" t="e">
        <f>Seed_Chemical!#REF!</f>
        <v>#REF!</v>
      </c>
    </row>
    <row r="7" spans="1:7" ht="13.9" x14ac:dyDescent="0.4">
      <c r="A7" s="96" t="str">
        <f>Seed_Chemical!A15</f>
        <v>Metolachlor</v>
      </c>
      <c r="B7" s="104" t="e">
        <f>Seed_Chemical!#REF!</f>
        <v>#REF!</v>
      </c>
      <c r="C7" s="104" t="str">
        <f>Seed_Chemical!C15</f>
        <v>pt</v>
      </c>
      <c r="D7" s="96">
        <f>Seed_Chemical!D15</f>
        <v>5.0387500000000003</v>
      </c>
      <c r="E7" s="96">
        <f>Seed_Chemical!E15</f>
        <v>1.3</v>
      </c>
      <c r="F7" s="96">
        <f>Seed_Chemical!F15</f>
        <v>6.5503750000000007</v>
      </c>
      <c r="G7" s="106" t="e">
        <f>Seed_Chemical!#REF!</f>
        <v>#REF!</v>
      </c>
    </row>
    <row r="8" spans="1:7" ht="13.9" x14ac:dyDescent="0.4">
      <c r="A8" s="96" t="str">
        <f>Seed_Chemical!A16</f>
        <v>Atrazine</v>
      </c>
      <c r="B8" s="104" t="e">
        <f>Seed_Chemical!#REF!</f>
        <v>#REF!</v>
      </c>
      <c r="C8" s="104" t="str">
        <f>Seed_Chemical!C16</f>
        <v>qt</v>
      </c>
      <c r="D8" s="96">
        <f>Seed_Chemical!D16</f>
        <v>4.1124999999999998</v>
      </c>
      <c r="E8" s="96">
        <f>Seed_Chemical!E16</f>
        <v>2</v>
      </c>
      <c r="F8" s="96">
        <f>Seed_Chemical!F16</f>
        <v>8.2249999999999996</v>
      </c>
      <c r="G8" s="106" t="e">
        <f>Seed_Chemical!#REF!</f>
        <v>#REF!</v>
      </c>
    </row>
    <row r="9" spans="1:7" ht="13.9" x14ac:dyDescent="0.4">
      <c r="A9" s="96" t="str">
        <f>Seed_Chemical!A17</f>
        <v xml:space="preserve"> </v>
      </c>
      <c r="B9" s="104" t="e">
        <f>Seed_Chemical!#REF!</f>
        <v>#REF!</v>
      </c>
      <c r="C9" s="104" t="str">
        <f>Seed_Chemical!C17</f>
        <v xml:space="preserve"> </v>
      </c>
      <c r="D9" s="96">
        <f>Seed_Chemical!D17</f>
        <v>0</v>
      </c>
      <c r="E9" s="96">
        <f>Seed_Chemical!E17</f>
        <v>0</v>
      </c>
      <c r="F9" s="96">
        <f>Seed_Chemical!F17</f>
        <v>0</v>
      </c>
      <c r="G9" s="106" t="e">
        <f>Seed_Chemical!#REF!</f>
        <v>#REF!</v>
      </c>
    </row>
    <row r="10" spans="1:7" ht="13.9" x14ac:dyDescent="0.4">
      <c r="A10" s="96" t="str">
        <f>Seed_Chemical!A18</f>
        <v xml:space="preserve"> </v>
      </c>
      <c r="B10" s="104" t="e">
        <f>Seed_Chemical!#REF!</f>
        <v>#REF!</v>
      </c>
      <c r="C10" s="104" t="str">
        <f>Seed_Chemical!C18</f>
        <v xml:space="preserve"> </v>
      </c>
      <c r="D10" s="96">
        <f>Seed_Chemical!D18</f>
        <v>0</v>
      </c>
      <c r="E10" s="96">
        <f>Seed_Chemical!E18</f>
        <v>0</v>
      </c>
      <c r="F10" s="96">
        <f>Seed_Chemical!F18</f>
        <v>0</v>
      </c>
      <c r="G10" s="106" t="e">
        <f>Seed_Chemical!#REF!</f>
        <v>#REF!</v>
      </c>
    </row>
    <row r="11" spans="1:7" ht="13.9" x14ac:dyDescent="0.4">
      <c r="A11" s="96" t="str">
        <f>Seed_Chemical!A19</f>
        <v xml:space="preserve"> </v>
      </c>
      <c r="B11" s="104" t="e">
        <f>Seed_Chemical!#REF!</f>
        <v>#REF!</v>
      </c>
      <c r="C11" s="104" t="str">
        <f>Seed_Chemical!C19</f>
        <v xml:space="preserve"> </v>
      </c>
      <c r="D11" s="96">
        <f>Seed_Chemical!D19</f>
        <v>0</v>
      </c>
      <c r="E11" s="96">
        <f>Seed_Chemical!E19</f>
        <v>0</v>
      </c>
      <c r="F11" s="96">
        <f>Seed_Chemical!F19</f>
        <v>0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9" x14ac:dyDescent="0.4">
      <c r="A14" s="96" t="str">
        <f>Seed_Chemical!A22</f>
        <v xml:space="preserve"> </v>
      </c>
      <c r="B14" s="104" t="e">
        <f>Seed_Chemical!#REF!</f>
        <v>#REF!</v>
      </c>
      <c r="C14" s="104" t="str">
        <f>Seed_Chemical!C22</f>
        <v xml:space="preserve"> </v>
      </c>
      <c r="D14" s="96">
        <f>Seed_Chemical!D22</f>
        <v>0</v>
      </c>
      <c r="E14" s="96">
        <f>Seed_Chemical!E22</f>
        <v>0</v>
      </c>
      <c r="F14" s="96">
        <f>Seed_Chemical!F22</f>
        <v>0</v>
      </c>
      <c r="G14" s="106" t="e">
        <f>Seed_Chemical!#REF!</f>
        <v>#REF!</v>
      </c>
    </row>
    <row r="15" spans="1:7" ht="13.9" x14ac:dyDescent="0.4">
      <c r="A15" s="96" t="str">
        <f>Seed_Chemical!A23</f>
        <v xml:space="preserve"> </v>
      </c>
      <c r="B15" s="104" t="e">
        <f>Seed_Chemical!#REF!</f>
        <v>#REF!</v>
      </c>
      <c r="C15" s="104" t="str">
        <f>Seed_Chemical!C23</f>
        <v xml:space="preserve"> </v>
      </c>
      <c r="D15" s="96">
        <f>Seed_Chemical!D23</f>
        <v>0</v>
      </c>
      <c r="E15" s="96">
        <f>Seed_Chemical!E23</f>
        <v>0</v>
      </c>
      <c r="F15" s="96">
        <f>Seed_Chemical!F23</f>
        <v>0</v>
      </c>
      <c r="G15" s="106" t="e">
        <f>Seed_Chemical!#REF!</f>
        <v>#REF!</v>
      </c>
    </row>
    <row r="16" spans="1:7" ht="13.9" x14ac:dyDescent="0.4">
      <c r="A16" s="96" t="str">
        <f>Seed_Chemical!A24</f>
        <v xml:space="preserve"> </v>
      </c>
      <c r="B16" s="104" t="e">
        <f>Seed_Chemical!#REF!</f>
        <v>#REF!</v>
      </c>
      <c r="C16" s="104" t="str">
        <f>Seed_Chemical!C24</f>
        <v xml:space="preserve"> </v>
      </c>
      <c r="D16" s="96">
        <f>Seed_Chemical!D24</f>
        <v>0</v>
      </c>
      <c r="E16" s="96">
        <f>Seed_Chemical!E24</f>
        <v>0</v>
      </c>
      <c r="F16" s="96">
        <f>Seed_Chemical!F24</f>
        <v>0</v>
      </c>
      <c r="G16" s="106" t="e">
        <f>Seed_Chemical!#REF!</f>
        <v>#REF!</v>
      </c>
    </row>
    <row r="17" spans="1:7" ht="13.9" x14ac:dyDescent="0.4">
      <c r="A17" s="96" t="str">
        <f>Seed_Chemical!A25</f>
        <v xml:space="preserve"> </v>
      </c>
      <c r="B17" s="104" t="e">
        <f>Seed_Chemical!#REF!</f>
        <v>#REF!</v>
      </c>
      <c r="C17" s="104" t="str">
        <f>Seed_Chemical!C25</f>
        <v xml:space="preserve"> </v>
      </c>
      <c r="D17" s="96">
        <f>Seed_Chemical!D25</f>
        <v>0</v>
      </c>
      <c r="E17" s="96">
        <f>Seed_Chemical!E25</f>
        <v>0</v>
      </c>
      <c r="F17" s="96">
        <f>Seed_Chemical!F25</f>
        <v>0</v>
      </c>
      <c r="G17" s="106" t="e">
        <f>Seed_Chemical!#REF!</f>
        <v>#REF!</v>
      </c>
    </row>
    <row r="18" spans="1:7" ht="13.5" x14ac:dyDescent="0.35">
      <c r="A18" s="107" t="s">
        <v>22</v>
      </c>
      <c r="B18" s="108"/>
      <c r="C18" s="109"/>
      <c r="D18" s="108"/>
      <c r="E18" s="108"/>
      <c r="F18" s="108">
        <f>Seed_Chemical!F26</f>
        <v>32.388250000000006</v>
      </c>
      <c r="G18" s="110"/>
    </row>
    <row r="19" spans="1:7" ht="13.9" x14ac:dyDescent="0.4">
      <c r="A19" s="92"/>
      <c r="B19" s="98"/>
      <c r="C19" s="105"/>
      <c r="D19" s="98"/>
      <c r="E19" s="98"/>
      <c r="F19" s="98"/>
      <c r="G19" s="99"/>
    </row>
    <row r="20" spans="1:7" ht="13.9" x14ac:dyDescent="0.4">
      <c r="A20" s="1978" t="str">
        <f>Seed_Chemical!A28</f>
        <v>Insecticide Detail</v>
      </c>
      <c r="B20" s="1978"/>
      <c r="C20" s="1978"/>
      <c r="D20" s="1978"/>
      <c r="E20" s="1978"/>
      <c r="F20" s="1978"/>
      <c r="G20" s="1978"/>
    </row>
    <row r="21" spans="1:7" ht="13.9" x14ac:dyDescent="0.4">
      <c r="A21" s="164" t="str">
        <f>Seed_Chemical!A29</f>
        <v>Name, Brand</v>
      </c>
      <c r="B21" s="164" t="e">
        <f>Seed_Chemical!#REF!</f>
        <v>#REF!</v>
      </c>
      <c r="C21" s="164" t="str">
        <f>Seed_Chemical!C29</f>
        <v>Unit</v>
      </c>
      <c r="D21" s="164" t="str">
        <f>Seed_Chemical!D29</f>
        <v>Price</v>
      </c>
      <c r="E21" s="164" t="str">
        <f>Seed_Chemical!E29</f>
        <v>Quantity/Ac</v>
      </c>
      <c r="F21" s="164" t="str">
        <f>Seed_Chemical!F29</f>
        <v>Costs</v>
      </c>
      <c r="G21" s="164" t="e">
        <f>Seed_Chemical!#REF!</f>
        <v>#REF!</v>
      </c>
    </row>
    <row r="22" spans="1:7" ht="13.9" x14ac:dyDescent="0.4">
      <c r="A22" s="96" t="str">
        <f>Seed_Chemical!A30</f>
        <v>Prevathon</v>
      </c>
      <c r="B22" s="104" t="e">
        <f>Seed_Chemical!#REF!</f>
        <v>#REF!</v>
      </c>
      <c r="C22" s="104" t="str">
        <f>Seed_Chemical!C30</f>
        <v>oz</v>
      </c>
      <c r="D22" s="96">
        <f>Seed_Chemical!D30</f>
        <v>1.05</v>
      </c>
      <c r="E22" s="96">
        <f>Seed_Chemical!E30</f>
        <v>14</v>
      </c>
      <c r="F22" s="96">
        <f>Seed_Chemical!F30</f>
        <v>14.700000000000001</v>
      </c>
      <c r="G22" s="106" t="e">
        <f>Seed_Chemical!#REF!</f>
        <v>#REF!</v>
      </c>
    </row>
    <row r="23" spans="1:7" ht="13.9" x14ac:dyDescent="0.4">
      <c r="A23" s="96" t="str">
        <f>Seed_Chemical!A31</f>
        <v>Sivanto Prime</v>
      </c>
      <c r="B23" s="104" t="e">
        <f>Seed_Chemical!#REF!</f>
        <v>#REF!</v>
      </c>
      <c r="C23" s="104" t="str">
        <f>Seed_Chemical!C31</f>
        <v>oz</v>
      </c>
      <c r="D23" s="96">
        <f>Seed_Chemical!D31</f>
        <v>3.01</v>
      </c>
      <c r="E23" s="96">
        <f>Seed_Chemical!E31</f>
        <v>4</v>
      </c>
      <c r="F23" s="96">
        <f>Seed_Chemical!F31</f>
        <v>12.04</v>
      </c>
      <c r="G23" s="106" t="e">
        <f>Seed_Chemical!#REF!</f>
        <v>#REF!</v>
      </c>
    </row>
    <row r="24" spans="1:7" ht="13.9" x14ac:dyDescent="0.4">
      <c r="A24" s="96" t="str">
        <f>Seed_Chemical!A32</f>
        <v>Warrior</v>
      </c>
      <c r="B24" s="104" t="e">
        <f>Seed_Chemical!#REF!</f>
        <v>#REF!</v>
      </c>
      <c r="C24" s="104" t="str">
        <f>Seed_Chemical!C32</f>
        <v>oz</v>
      </c>
      <c r="D24" s="96">
        <f>Seed_Chemical!D32</f>
        <v>3.02</v>
      </c>
      <c r="E24" s="96">
        <f>Seed_Chemical!E32</f>
        <v>0.96</v>
      </c>
      <c r="F24" s="96">
        <f>Seed_Chemical!F32</f>
        <v>2.8992</v>
      </c>
      <c r="G24" s="106" t="e">
        <f>Seed_Chemical!#REF!</f>
        <v>#REF!</v>
      </c>
    </row>
    <row r="25" spans="1:7" ht="13.9" x14ac:dyDescent="0.4">
      <c r="A25" s="96" t="str">
        <f>Seed_Chemical!A33</f>
        <v xml:space="preserve"> </v>
      </c>
      <c r="B25" s="104" t="e">
        <f>Seed_Chemical!#REF!</f>
        <v>#REF!</v>
      </c>
      <c r="C25" s="104" t="str">
        <f>Seed_Chemical!C33</f>
        <v xml:space="preserve"> </v>
      </c>
      <c r="D25" s="96">
        <f>Seed_Chemical!D33</f>
        <v>0</v>
      </c>
      <c r="E25" s="96">
        <f>Seed_Chemical!E33</f>
        <v>0</v>
      </c>
      <c r="F25" s="96">
        <f>Seed_Chemical!F33</f>
        <v>0</v>
      </c>
      <c r="G25" s="106" t="e">
        <f>Seed_Chemical!#REF!</f>
        <v>#REF!</v>
      </c>
    </row>
    <row r="26" spans="1:7" ht="13.9" x14ac:dyDescent="0.4">
      <c r="A26" s="96" t="str">
        <f>Seed_Chemical!A34</f>
        <v xml:space="preserve"> </v>
      </c>
      <c r="B26" s="104" t="e">
        <f>Seed_Chemical!#REF!</f>
        <v>#REF!</v>
      </c>
      <c r="C26" s="104" t="str">
        <f>Seed_Chemical!C34</f>
        <v xml:space="preserve"> </v>
      </c>
      <c r="D26" s="96">
        <f>Seed_Chemical!D34</f>
        <v>0</v>
      </c>
      <c r="E26" s="96">
        <f>Seed_Chemical!E34</f>
        <v>0</v>
      </c>
      <c r="F26" s="96">
        <f>Seed_Chemical!F34</f>
        <v>0</v>
      </c>
      <c r="G26" s="106" t="e">
        <f>Seed_Chemical!#REF!</f>
        <v>#REF!</v>
      </c>
    </row>
    <row r="27" spans="1:7" ht="13.9" x14ac:dyDescent="0.4">
      <c r="A27" s="96" t="str">
        <f>Seed_Chemical!A35</f>
        <v xml:space="preserve"> </v>
      </c>
      <c r="B27" s="104" t="e">
        <f>Seed_Chemical!#REF!</f>
        <v>#REF!</v>
      </c>
      <c r="C27" s="104" t="str">
        <f>Seed_Chemical!C35</f>
        <v xml:space="preserve"> </v>
      </c>
      <c r="D27" s="96">
        <f>Seed_Chemical!D35</f>
        <v>0</v>
      </c>
      <c r="E27" s="96">
        <f>Seed_Chemical!E35</f>
        <v>0</v>
      </c>
      <c r="F27" s="96">
        <f>Seed_Chemical!F35</f>
        <v>0</v>
      </c>
      <c r="G27" s="106" t="e">
        <f>Seed_Chemical!#REF!</f>
        <v>#REF!</v>
      </c>
    </row>
    <row r="28" spans="1:7" ht="13.9" x14ac:dyDescent="0.4">
      <c r="A28" s="96" t="str">
        <f>Seed_Chemical!A36</f>
        <v xml:space="preserve"> </v>
      </c>
      <c r="B28" s="104" t="e">
        <f>Seed_Chemical!#REF!</f>
        <v>#REF!</v>
      </c>
      <c r="C28" s="104" t="str">
        <f>Seed_Chemical!C36</f>
        <v xml:space="preserve"> </v>
      </c>
      <c r="D28" s="96">
        <f>Seed_Chemical!D36</f>
        <v>0</v>
      </c>
      <c r="E28" s="96">
        <f>Seed_Chemical!E36</f>
        <v>0</v>
      </c>
      <c r="F28" s="96">
        <f>Seed_Chemical!F36</f>
        <v>0</v>
      </c>
      <c r="G28" s="106" t="e">
        <f>Seed_Chemical!#REF!</f>
        <v>#REF!</v>
      </c>
    </row>
    <row r="29" spans="1:7" ht="13.9" x14ac:dyDescent="0.4">
      <c r="A29" s="96" t="str">
        <f>Seed_Chemical!A37</f>
        <v xml:space="preserve"> </v>
      </c>
      <c r="B29" s="104" t="e">
        <f>Seed_Chemical!#REF!</f>
        <v>#REF!</v>
      </c>
      <c r="C29" s="104" t="str">
        <f>Seed_Chemical!C37</f>
        <v xml:space="preserve"> </v>
      </c>
      <c r="D29" s="96">
        <f>Seed_Chemical!D37</f>
        <v>0</v>
      </c>
      <c r="E29" s="96">
        <f>Seed_Chemical!E37</f>
        <v>0</v>
      </c>
      <c r="F29" s="96">
        <f>Seed_Chemical!F37</f>
        <v>0</v>
      </c>
      <c r="G29" s="106" t="e">
        <f>Seed_Chemical!#REF!</f>
        <v>#REF!</v>
      </c>
    </row>
    <row r="30" spans="1:7" ht="13.9" x14ac:dyDescent="0.4">
      <c r="A30" s="96" t="str">
        <f>Seed_Chemical!A38</f>
        <v xml:space="preserve"> </v>
      </c>
      <c r="B30" s="104" t="e">
        <f>Seed_Chemical!#REF!</f>
        <v>#REF!</v>
      </c>
      <c r="C30" s="104" t="str">
        <f>Seed_Chemical!C38</f>
        <v xml:space="preserve"> </v>
      </c>
      <c r="D30" s="96">
        <f>Seed_Chemical!D38</f>
        <v>0</v>
      </c>
      <c r="E30" s="96">
        <f>Seed_Chemical!E38</f>
        <v>0</v>
      </c>
      <c r="F30" s="96">
        <f>Seed_Chemical!F38</f>
        <v>0</v>
      </c>
      <c r="G30" s="106" t="e">
        <f>Seed_Chemical!#REF!</f>
        <v>#REF!</v>
      </c>
    </row>
    <row r="31" spans="1:7" ht="13.9" x14ac:dyDescent="0.4">
      <c r="A31" s="96" t="str">
        <f>Seed_Chemical!A39</f>
        <v xml:space="preserve"> </v>
      </c>
      <c r="B31" s="104" t="e">
        <f>Seed_Chemical!#REF!</f>
        <v>#REF!</v>
      </c>
      <c r="C31" s="104" t="str">
        <f>Seed_Chemical!C39</f>
        <v xml:space="preserve"> </v>
      </c>
      <c r="D31" s="96">
        <f>Seed_Chemical!D39</f>
        <v>0</v>
      </c>
      <c r="E31" s="96">
        <f>Seed_Chemical!E39</f>
        <v>0</v>
      </c>
      <c r="F31" s="96">
        <f>Seed_Chemical!F39</f>
        <v>0</v>
      </c>
      <c r="G31" s="106" t="e">
        <f>Seed_Chemical!#REF!</f>
        <v>#REF!</v>
      </c>
    </row>
    <row r="32" spans="1:7" ht="13.5" x14ac:dyDescent="0.35">
      <c r="A32" s="107" t="s">
        <v>22</v>
      </c>
      <c r="B32" s="108"/>
      <c r="C32" s="109"/>
      <c r="D32" s="108"/>
      <c r="E32" s="108"/>
      <c r="F32" s="108">
        <f>Seed_Chemical!F40</f>
        <v>29.639200000000002</v>
      </c>
      <c r="G32" s="110"/>
    </row>
    <row r="33" spans="1:7" ht="13.9" x14ac:dyDescent="0.4">
      <c r="A33" s="92"/>
      <c r="B33" s="98"/>
      <c r="C33" s="105"/>
      <c r="D33" s="98"/>
      <c r="E33" s="98"/>
      <c r="F33" s="98"/>
      <c r="G33" s="92"/>
    </row>
    <row r="34" spans="1:7" ht="13.9" x14ac:dyDescent="0.4">
      <c r="A34" s="1978" t="str">
        <f>Seed_Chemical!A42</f>
        <v>Fungicide Detail</v>
      </c>
      <c r="B34" s="1978"/>
      <c r="C34" s="1978"/>
      <c r="D34" s="1978"/>
      <c r="E34" s="1978"/>
      <c r="F34" s="1978"/>
      <c r="G34" s="1978"/>
    </row>
    <row r="35" spans="1:7" ht="13.9" x14ac:dyDescent="0.4">
      <c r="A35" s="164" t="str">
        <f>Seed_Chemical!A43</f>
        <v>Name, Brand</v>
      </c>
      <c r="B35" s="164" t="e">
        <f>Seed_Chemical!#REF!</f>
        <v>#REF!</v>
      </c>
      <c r="C35" s="164" t="str">
        <f>Seed_Chemical!C43</f>
        <v>Unit</v>
      </c>
      <c r="D35" s="164" t="str">
        <f>Seed_Chemical!D43</f>
        <v>Price</v>
      </c>
      <c r="E35" s="164" t="str">
        <f>Seed_Chemical!E43</f>
        <v>Quantity/Ac</v>
      </c>
      <c r="F35" s="164" t="str">
        <f>Seed_Chemical!F43</f>
        <v>Costs</v>
      </c>
      <c r="G35" s="164" t="e">
        <f>Seed_Chemical!#REF!</f>
        <v>#REF!</v>
      </c>
    </row>
    <row r="36" spans="1:7" ht="13.9" x14ac:dyDescent="0.4">
      <c r="A36" s="96" t="str">
        <f>Seed_Chemical!A44</f>
        <v xml:space="preserve"> </v>
      </c>
      <c r="B36" s="104" t="e">
        <f>Seed_Chemical!#REF!</f>
        <v>#REF!</v>
      </c>
      <c r="C36" s="104" t="str">
        <f>Seed_Chemical!C44</f>
        <v xml:space="preserve"> </v>
      </c>
      <c r="D36" s="96">
        <f>Seed_Chemical!D44</f>
        <v>0</v>
      </c>
      <c r="E36" s="96">
        <f>Seed_Chemical!E44</f>
        <v>0</v>
      </c>
      <c r="F36" s="96">
        <f>Seed_Chemical!F44</f>
        <v>0</v>
      </c>
      <c r="G36" s="106" t="e">
        <f>Seed_Chemical!#REF!</f>
        <v>#REF!</v>
      </c>
    </row>
    <row r="37" spans="1:7" ht="13.9" x14ac:dyDescent="0.4">
      <c r="A37" s="96" t="str">
        <f>Seed_Chemical!A45</f>
        <v xml:space="preserve"> </v>
      </c>
      <c r="B37" s="104" t="e">
        <f>Seed_Chemical!#REF!</f>
        <v>#REF!</v>
      </c>
      <c r="C37" s="104" t="str">
        <f>Seed_Chemical!C45</f>
        <v xml:space="preserve"> </v>
      </c>
      <c r="D37" s="96">
        <f>Seed_Chemical!D45</f>
        <v>0</v>
      </c>
      <c r="E37" s="96">
        <f>Seed_Chemical!E45</f>
        <v>0</v>
      </c>
      <c r="F37" s="96">
        <f>Seed_Chemical!F45</f>
        <v>0</v>
      </c>
      <c r="G37" s="106" t="e">
        <f>Seed_Chemical!#REF!</f>
        <v>#REF!</v>
      </c>
    </row>
    <row r="38" spans="1:7" ht="13.5" x14ac:dyDescent="0.35">
      <c r="A38" s="107" t="s">
        <v>22</v>
      </c>
      <c r="B38" s="108"/>
      <c r="C38" s="109"/>
      <c r="D38" s="108"/>
      <c r="E38" s="108"/>
      <c r="F38" s="108">
        <f>Seed_Chemical!F46</f>
        <v>0</v>
      </c>
      <c r="G38" s="110"/>
    </row>
    <row r="39" spans="1:7" ht="13.9" x14ac:dyDescent="0.4">
      <c r="A39" s="92"/>
      <c r="B39" s="98"/>
      <c r="C39" s="105"/>
      <c r="D39" s="98"/>
      <c r="E39" s="98"/>
      <c r="F39" s="98"/>
      <c r="G39" s="99"/>
    </row>
    <row r="40" spans="1:7" ht="13.9" x14ac:dyDescent="0.4">
      <c r="A40" s="1978" t="str">
        <f>Seed_Chemical!A48</f>
        <v>Other Chemical Detail</v>
      </c>
      <c r="B40" s="1978"/>
      <c r="C40" s="1978"/>
      <c r="D40" s="1978"/>
      <c r="E40" s="1978"/>
      <c r="F40" s="1978"/>
      <c r="G40" s="1978"/>
    </row>
    <row r="41" spans="1:7" ht="13.9" x14ac:dyDescent="0.4">
      <c r="A41" s="164" t="str">
        <f>Seed_Chemical!A49</f>
        <v>Name, Brand</v>
      </c>
      <c r="B41" s="164" t="e">
        <f>Seed_Chemical!#REF!</f>
        <v>#REF!</v>
      </c>
      <c r="C41" s="164" t="str">
        <f>Seed_Chemical!C49</f>
        <v>Unit</v>
      </c>
      <c r="D41" s="164" t="str">
        <f>Seed_Chemical!D49</f>
        <v>Price</v>
      </c>
      <c r="E41" s="164" t="str">
        <f>Seed_Chemical!E49</f>
        <v>Quantity/Ac</v>
      </c>
      <c r="F41" s="164" t="str">
        <f>Seed_Chemical!F49</f>
        <v>Costs</v>
      </c>
      <c r="G41" s="164" t="e">
        <f>Seed_Chemical!#REF!</f>
        <v>#REF!</v>
      </c>
    </row>
    <row r="42" spans="1:7" ht="13.9" x14ac:dyDescent="0.4">
      <c r="A42" s="96" t="str">
        <f>Seed_Chemical!A50</f>
        <v xml:space="preserve"> </v>
      </c>
      <c r="B42" s="104" t="e">
        <f>Seed_Chemical!#REF!</f>
        <v>#REF!</v>
      </c>
      <c r="C42" s="104" t="str">
        <f>Seed_Chemical!C50</f>
        <v xml:space="preserve"> </v>
      </c>
      <c r="D42" s="96">
        <f>Seed_Chemical!D50</f>
        <v>0</v>
      </c>
      <c r="E42" s="96">
        <f>Seed_Chemical!E50</f>
        <v>0</v>
      </c>
      <c r="F42" s="96">
        <f>Seed_Chemical!F50</f>
        <v>0</v>
      </c>
      <c r="G42" s="106" t="e">
        <f>Seed_Chemical!#REF!</f>
        <v>#REF!</v>
      </c>
    </row>
    <row r="43" spans="1:7" ht="13.9" x14ac:dyDescent="0.4">
      <c r="A43" s="96" t="str">
        <f>Seed_Chemical!A51</f>
        <v xml:space="preserve"> </v>
      </c>
      <c r="B43" s="104" t="e">
        <f>Seed_Chemical!#REF!</f>
        <v>#REF!</v>
      </c>
      <c r="C43" s="104" t="str">
        <f>Seed_Chemical!C51</f>
        <v xml:space="preserve"> </v>
      </c>
      <c r="D43" s="96">
        <f>Seed_Chemical!D51</f>
        <v>0</v>
      </c>
      <c r="E43" s="96">
        <f>Seed_Chemical!E51</f>
        <v>0</v>
      </c>
      <c r="F43" s="96">
        <f>Seed_Chemical!F51</f>
        <v>0</v>
      </c>
      <c r="G43" s="106" t="e">
        <f>Seed_Chemical!#REF!</f>
        <v>#REF!</v>
      </c>
    </row>
    <row r="44" spans="1:7" ht="13.9" x14ac:dyDescent="0.4">
      <c r="A44" s="96" t="str">
        <f>Seed_Chemical!A52</f>
        <v xml:space="preserve"> </v>
      </c>
      <c r="B44" s="104" t="e">
        <f>Seed_Chemical!#REF!</f>
        <v>#REF!</v>
      </c>
      <c r="C44" s="104" t="str">
        <f>Seed_Chemical!C52</f>
        <v xml:space="preserve"> </v>
      </c>
      <c r="D44" s="96">
        <f>Seed_Chemical!D52</f>
        <v>0</v>
      </c>
      <c r="E44" s="96">
        <f>Seed_Chemical!E52</f>
        <v>0</v>
      </c>
      <c r="F44" s="96">
        <f>Seed_Chemical!F52</f>
        <v>0</v>
      </c>
      <c r="G44" s="106" t="e">
        <f>Seed_Chemical!#REF!</f>
        <v>#REF!</v>
      </c>
    </row>
    <row r="45" spans="1:7" ht="13.9" x14ac:dyDescent="0.4">
      <c r="A45" s="96" t="str">
        <f>Seed_Chemical!A53</f>
        <v xml:space="preserve"> </v>
      </c>
      <c r="B45" s="104" t="e">
        <f>Seed_Chemical!#REF!</f>
        <v>#REF!</v>
      </c>
      <c r="C45" s="104" t="str">
        <f>Seed_Chemical!C53</f>
        <v xml:space="preserve"> </v>
      </c>
      <c r="D45" s="96">
        <f>Seed_Chemical!D53</f>
        <v>0</v>
      </c>
      <c r="E45" s="96">
        <f>Seed_Chemical!E53</f>
        <v>0</v>
      </c>
      <c r="F45" s="96">
        <f>Seed_Chemical!F53</f>
        <v>0</v>
      </c>
      <c r="G45" s="106" t="e">
        <f>Seed_Chemical!#REF!</f>
        <v>#REF!</v>
      </c>
    </row>
    <row r="46" spans="1:7" ht="13.9" x14ac:dyDescent="0.4">
      <c r="A46" s="96" t="str">
        <f>Seed_Chemical!A54</f>
        <v xml:space="preserve"> </v>
      </c>
      <c r="B46" s="104" t="e">
        <f>Seed_Chemical!#REF!</f>
        <v>#REF!</v>
      </c>
      <c r="C46" s="104" t="str">
        <f>Seed_Chemical!C54</f>
        <v xml:space="preserve"> </v>
      </c>
      <c r="D46" s="96">
        <f>Seed_Chemical!D54</f>
        <v>0</v>
      </c>
      <c r="E46" s="96">
        <f>Seed_Chemical!E54</f>
        <v>0</v>
      </c>
      <c r="F46" s="96">
        <f>Seed_Chemical!F54</f>
        <v>0</v>
      </c>
      <c r="G46" s="106" t="e">
        <f>Seed_Chemical!#REF!</f>
        <v>#REF!</v>
      </c>
    </row>
    <row r="47" spans="1:7" ht="13.9" x14ac:dyDescent="0.4">
      <c r="A47" s="96" t="str">
        <f>Seed_Chemical!A55</f>
        <v xml:space="preserve"> </v>
      </c>
      <c r="B47" s="104" t="e">
        <f>Seed_Chemical!#REF!</f>
        <v>#REF!</v>
      </c>
      <c r="C47" s="104" t="str">
        <f>Seed_Chemical!C55</f>
        <v xml:space="preserve"> </v>
      </c>
      <c r="D47" s="96">
        <f>Seed_Chemical!D55</f>
        <v>0</v>
      </c>
      <c r="E47" s="96">
        <f>Seed_Chemical!E55</f>
        <v>0</v>
      </c>
      <c r="F47" s="96">
        <f>Seed_Chemical!F55</f>
        <v>0</v>
      </c>
      <c r="G47" s="106" t="e">
        <f>Seed_Chemical!#REF!</f>
        <v>#REF!</v>
      </c>
    </row>
    <row r="48" spans="1:7" ht="13.9" x14ac:dyDescent="0.4">
      <c r="A48" s="96" t="str">
        <f>Seed_Chemical!A56</f>
        <v xml:space="preserve"> </v>
      </c>
      <c r="B48" s="104" t="e">
        <f>Seed_Chemical!#REF!</f>
        <v>#REF!</v>
      </c>
      <c r="C48" s="104" t="str">
        <f>Seed_Chemical!C56</f>
        <v xml:space="preserve"> </v>
      </c>
      <c r="D48" s="96">
        <f>Seed_Chemical!D56</f>
        <v>0</v>
      </c>
      <c r="E48" s="96">
        <f>Seed_Chemical!E56</f>
        <v>0</v>
      </c>
      <c r="F48" s="96">
        <f>Seed_Chemical!F56</f>
        <v>0</v>
      </c>
      <c r="G48" s="106" t="e">
        <f>Seed_Chemical!#REF!</f>
        <v>#REF!</v>
      </c>
    </row>
    <row r="49" spans="1:7" ht="13.5" x14ac:dyDescent="0.35">
      <c r="A49" s="107" t="s">
        <v>22</v>
      </c>
      <c r="B49" s="108"/>
      <c r="C49" s="94"/>
      <c r="D49" s="107"/>
      <c r="E49" s="107"/>
      <c r="F49" s="108">
        <f>Seed_Chemical!F57</f>
        <v>0</v>
      </c>
      <c r="G49" s="107"/>
    </row>
    <row r="50" spans="1:7" ht="13.9" x14ac:dyDescent="0.4">
      <c r="A50" s="92"/>
      <c r="B50" s="98"/>
      <c r="C50" s="95"/>
      <c r="D50" s="92"/>
      <c r="E50" s="92"/>
      <c r="F50" s="92"/>
      <c r="G50" s="92"/>
    </row>
    <row r="51" spans="1:7" ht="13.9" x14ac:dyDescent="0.4">
      <c r="A51" s="1978" t="str">
        <f>Seed_Chemical!A59</f>
        <v>Other Chemical Detail</v>
      </c>
      <c r="B51" s="1978"/>
      <c r="C51" s="1978"/>
      <c r="D51" s="1978"/>
      <c r="E51" s="1978"/>
      <c r="F51" s="1978"/>
      <c r="G51" s="1978"/>
    </row>
    <row r="52" spans="1:7" ht="13.9" x14ac:dyDescent="0.4">
      <c r="A52" s="164" t="str">
        <f>Seed_Chemical!A60</f>
        <v>Name, Brand</v>
      </c>
      <c r="B52" s="164" t="e">
        <f>Seed_Chemical!#REF!</f>
        <v>#REF!</v>
      </c>
      <c r="C52" s="164" t="str">
        <f>Seed_Chemical!C60</f>
        <v>Unit</v>
      </c>
      <c r="D52" s="164" t="str">
        <f>Seed_Chemical!D60</f>
        <v>Price</v>
      </c>
      <c r="E52" s="164" t="str">
        <f>Seed_Chemical!E60</f>
        <v>Quantity/Ac</v>
      </c>
      <c r="F52" s="164" t="str">
        <f>Seed_Chemical!F60</f>
        <v>Costs</v>
      </c>
      <c r="G52" s="164" t="e">
        <f>Seed_Chemical!#REF!</f>
        <v>#REF!</v>
      </c>
    </row>
    <row r="53" spans="1:7" ht="13.9" x14ac:dyDescent="0.4">
      <c r="A53" s="96" t="str">
        <f>Seed_Chemical!A61</f>
        <v xml:space="preserve"> </v>
      </c>
      <c r="B53" s="104" t="e">
        <f>Seed_Chemical!#REF!</f>
        <v>#REF!</v>
      </c>
      <c r="C53" s="104" t="str">
        <f>Seed_Chemical!C61</f>
        <v xml:space="preserve"> </v>
      </c>
      <c r="D53" s="96">
        <f>Seed_Chemical!D61</f>
        <v>0</v>
      </c>
      <c r="E53" s="96">
        <f>Seed_Chemical!E61</f>
        <v>0</v>
      </c>
      <c r="F53" s="96">
        <f>Seed_Chemical!F61</f>
        <v>0</v>
      </c>
      <c r="G53" s="106" t="e">
        <f>Seed_Chemical!#REF!</f>
        <v>#REF!</v>
      </c>
    </row>
    <row r="54" spans="1:7" ht="13.9" x14ac:dyDescent="0.4">
      <c r="A54" s="96" t="str">
        <f>Seed_Chemical!A62</f>
        <v xml:space="preserve"> </v>
      </c>
      <c r="B54" s="104" t="e">
        <f>Seed_Chemical!#REF!</f>
        <v>#REF!</v>
      </c>
      <c r="C54" s="104" t="str">
        <f>Seed_Chemical!C62</f>
        <v xml:space="preserve"> </v>
      </c>
      <c r="D54" s="96">
        <f>Seed_Chemical!D62</f>
        <v>0</v>
      </c>
      <c r="E54" s="96">
        <f>Seed_Chemical!E62</f>
        <v>0</v>
      </c>
      <c r="F54" s="96">
        <f>Seed_Chemical!F62</f>
        <v>0</v>
      </c>
      <c r="G54" s="106" t="e">
        <f>Seed_Chemical!#REF!</f>
        <v>#REF!</v>
      </c>
    </row>
    <row r="55" spans="1:7" ht="13.9" x14ac:dyDescent="0.4">
      <c r="A55" s="96" t="str">
        <f>Seed_Chemical!A63</f>
        <v xml:space="preserve"> </v>
      </c>
      <c r="B55" s="104" t="e">
        <f>Seed_Chemical!#REF!</f>
        <v>#REF!</v>
      </c>
      <c r="C55" s="104" t="str">
        <f>Seed_Chemical!C63</f>
        <v xml:space="preserve"> </v>
      </c>
      <c r="D55" s="96">
        <f>Seed_Chemical!D63</f>
        <v>0</v>
      </c>
      <c r="E55" s="96">
        <f>Seed_Chemical!E63</f>
        <v>0</v>
      </c>
      <c r="F55" s="96">
        <f>Seed_Chemical!F63</f>
        <v>0</v>
      </c>
      <c r="G55" s="106" t="e">
        <f>Seed_Chemical!#REF!</f>
        <v>#REF!</v>
      </c>
    </row>
    <row r="56" spans="1:7" ht="13.9" x14ac:dyDescent="0.4">
      <c r="A56" s="96" t="str">
        <f>Seed_Chemical!A64</f>
        <v xml:space="preserve"> </v>
      </c>
      <c r="B56" s="104" t="e">
        <f>Seed_Chemical!#REF!</f>
        <v>#REF!</v>
      </c>
      <c r="C56" s="104" t="str">
        <f>Seed_Chemical!C64</f>
        <v xml:space="preserve"> </v>
      </c>
      <c r="D56" s="96">
        <f>Seed_Chemical!D64</f>
        <v>0</v>
      </c>
      <c r="E56" s="96">
        <f>Seed_Chemical!E64</f>
        <v>0</v>
      </c>
      <c r="F56" s="96">
        <f>Seed_Chemical!F64</f>
        <v>0</v>
      </c>
      <c r="G56" s="106" t="e">
        <f>Seed_Chemical!#REF!</f>
        <v>#REF!</v>
      </c>
    </row>
    <row r="57" spans="1:7" ht="13.9" x14ac:dyDescent="0.4">
      <c r="A57" s="96" t="str">
        <f>Seed_Chemical!A65</f>
        <v xml:space="preserve"> </v>
      </c>
      <c r="B57" s="104" t="e">
        <f>Seed_Chemical!#REF!</f>
        <v>#REF!</v>
      </c>
      <c r="C57" s="104" t="str">
        <f>Seed_Chemical!C65</f>
        <v xml:space="preserve"> </v>
      </c>
      <c r="D57" s="96">
        <f>Seed_Chemical!D65</f>
        <v>0</v>
      </c>
      <c r="E57" s="96">
        <f>Seed_Chemical!E65</f>
        <v>0</v>
      </c>
      <c r="F57" s="96">
        <f>Seed_Chemical!F65</f>
        <v>0</v>
      </c>
      <c r="G57" s="106" t="e">
        <f>Seed_Chemical!#REF!</f>
        <v>#REF!</v>
      </c>
    </row>
    <row r="58" spans="1:7" ht="13.9" x14ac:dyDescent="0.4">
      <c r="A58" s="96" t="str">
        <f>Seed_Chemical!A66</f>
        <v xml:space="preserve"> </v>
      </c>
      <c r="B58" s="104" t="e">
        <f>Seed_Chemical!#REF!</f>
        <v>#REF!</v>
      </c>
      <c r="C58" s="104" t="str">
        <f>Seed_Chemical!C66</f>
        <v xml:space="preserve"> </v>
      </c>
      <c r="D58" s="96">
        <f>Seed_Chemical!D66</f>
        <v>0</v>
      </c>
      <c r="E58" s="96">
        <f>Seed_Chemical!E66</f>
        <v>0</v>
      </c>
      <c r="F58" s="96">
        <f>Seed_Chemical!F66</f>
        <v>0</v>
      </c>
      <c r="G58" s="106" t="e">
        <f>Seed_Chemical!#REF!</f>
        <v>#REF!</v>
      </c>
    </row>
    <row r="59" spans="1:7" ht="13.9" x14ac:dyDescent="0.4">
      <c r="A59" s="96" t="str">
        <f>Seed_Chemical!A67</f>
        <v xml:space="preserve"> </v>
      </c>
      <c r="B59" s="104" t="e">
        <f>Seed_Chemical!#REF!</f>
        <v>#REF!</v>
      </c>
      <c r="C59" s="104" t="str">
        <f>Seed_Chemical!C67</f>
        <v xml:space="preserve"> </v>
      </c>
      <c r="D59" s="96">
        <f>Seed_Chemical!D67</f>
        <v>0</v>
      </c>
      <c r="E59" s="96">
        <f>Seed_Chemical!E67</f>
        <v>0</v>
      </c>
      <c r="F59" s="96">
        <f>Seed_Chemical!F67</f>
        <v>0</v>
      </c>
      <c r="G59" s="106" t="e">
        <f>Seed_Chemical!#REF!</f>
        <v>#REF!</v>
      </c>
    </row>
    <row r="60" spans="1:7" ht="13.5" x14ac:dyDescent="0.35">
      <c r="A60" s="111" t="s">
        <v>22</v>
      </c>
      <c r="B60" s="111"/>
      <c r="C60" s="100"/>
      <c r="D60" s="111"/>
      <c r="E60" s="111"/>
      <c r="F60" s="112">
        <f>Seed_Chemical!F68</f>
        <v>0</v>
      </c>
      <c r="G60" s="111"/>
    </row>
  </sheetData>
  <mergeCells count="5">
    <mergeCell ref="A2:G2"/>
    <mergeCell ref="A20:G20"/>
    <mergeCell ref="A34:G34"/>
    <mergeCell ref="A40:G40"/>
    <mergeCell ref="A51:G5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workbookViewId="0"/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7. Details of Chemicals Applied, Grain Sorghum, Furrow</v>
      </c>
      <c r="B1" s="92"/>
      <c r="C1" s="92"/>
      <c r="D1" s="92"/>
      <c r="E1" s="92"/>
      <c r="F1" s="92"/>
      <c r="G1" s="92"/>
    </row>
    <row r="2" spans="1:7" ht="13.9" x14ac:dyDescent="0.4">
      <c r="A2" s="1978" t="s">
        <v>18</v>
      </c>
      <c r="B2" s="1978"/>
      <c r="C2" s="1978"/>
      <c r="D2" s="1978"/>
      <c r="E2" s="1978"/>
      <c r="F2" s="1978"/>
      <c r="G2" s="1978"/>
    </row>
    <row r="3" spans="1:7" ht="13.9" x14ac:dyDescent="0.4">
      <c r="A3" s="164" t="s">
        <v>212</v>
      </c>
      <c r="B3" s="164" t="s">
        <v>213</v>
      </c>
      <c r="C3" s="164" t="s">
        <v>2</v>
      </c>
      <c r="D3" s="164" t="s">
        <v>21</v>
      </c>
      <c r="E3" s="164" t="s">
        <v>174</v>
      </c>
      <c r="F3" s="164" t="s">
        <v>14</v>
      </c>
      <c r="G3" s="164" t="s">
        <v>222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pt</v>
      </c>
      <c r="D4" s="96">
        <f>Seed_Chemical!D12</f>
        <v>2.25</v>
      </c>
      <c r="E4" s="96">
        <f>Seed_Chemical!E12</f>
        <v>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2,4-D</v>
      </c>
      <c r="B5" s="104" t="e">
        <f>Seed_Chemical!#REF!</f>
        <v>#REF!</v>
      </c>
      <c r="C5" s="104" t="str">
        <f>Seed_Chemical!C13</f>
        <v>pt</v>
      </c>
      <c r="D5" s="96">
        <f>Seed_Chemical!D13</f>
        <v>4.375</v>
      </c>
      <c r="E5" s="96">
        <f>Seed_Chemical!E13</f>
        <v>1.5</v>
      </c>
      <c r="F5" s="96">
        <f>Seed_Chemical!F13</f>
        <v>6.5625</v>
      </c>
      <c r="G5" s="106" t="e">
        <f>Seed_Chemical!#REF!</f>
        <v>#REF!</v>
      </c>
    </row>
    <row r="6" spans="1:7" ht="13.9" x14ac:dyDescent="0.4">
      <c r="A6" s="96" t="str">
        <f>Seed_Chemical!A14</f>
        <v>Metolachlor</v>
      </c>
      <c r="B6" s="104" t="e">
        <f>Seed_Chemical!#REF!</f>
        <v>#REF!</v>
      </c>
      <c r="C6" s="104" t="str">
        <f>Seed_Chemical!C14</f>
        <v>pt</v>
      </c>
      <c r="D6" s="96">
        <f>Seed_Chemical!D14</f>
        <v>5.0387500000000003</v>
      </c>
      <c r="E6" s="96">
        <f>Seed_Chemical!E14</f>
        <v>1.3</v>
      </c>
      <c r="F6" s="96">
        <f>Seed_Chemical!F14</f>
        <v>6.5503750000000007</v>
      </c>
      <c r="G6" s="106" t="e">
        <f>Seed_Chemical!#REF!</f>
        <v>#REF!</v>
      </c>
    </row>
    <row r="7" spans="1:7" ht="13.9" x14ac:dyDescent="0.4">
      <c r="A7" s="96" t="str">
        <f>Seed_Chemical!A15</f>
        <v>Metolachlor</v>
      </c>
      <c r="B7" s="104" t="e">
        <f>Seed_Chemical!#REF!</f>
        <v>#REF!</v>
      </c>
      <c r="C7" s="104" t="str">
        <f>Seed_Chemical!C15</f>
        <v>pt</v>
      </c>
      <c r="D7" s="96">
        <f>Seed_Chemical!D15</f>
        <v>5.0387500000000003</v>
      </c>
      <c r="E7" s="96">
        <f>Seed_Chemical!E15</f>
        <v>1.3</v>
      </c>
      <c r="F7" s="96">
        <f>Seed_Chemical!F15</f>
        <v>6.5503750000000007</v>
      </c>
      <c r="G7" s="106" t="e">
        <f>Seed_Chemical!#REF!</f>
        <v>#REF!</v>
      </c>
    </row>
    <row r="8" spans="1:7" ht="13.9" x14ac:dyDescent="0.4">
      <c r="A8" s="96" t="str">
        <f>Seed_Chemical!A16</f>
        <v>Atrazine</v>
      </c>
      <c r="B8" s="104" t="e">
        <f>Seed_Chemical!#REF!</f>
        <v>#REF!</v>
      </c>
      <c r="C8" s="104" t="str">
        <f>Seed_Chemical!C16</f>
        <v>qt</v>
      </c>
      <c r="D8" s="96">
        <f>Seed_Chemical!D16</f>
        <v>4.1124999999999998</v>
      </c>
      <c r="E8" s="96">
        <f>Seed_Chemical!E16</f>
        <v>2</v>
      </c>
      <c r="F8" s="96">
        <f>Seed_Chemical!F16</f>
        <v>8.2249999999999996</v>
      </c>
      <c r="G8" s="106" t="e">
        <f>Seed_Chemical!#REF!</f>
        <v>#REF!</v>
      </c>
    </row>
    <row r="9" spans="1:7" ht="13.9" x14ac:dyDescent="0.4">
      <c r="A9" s="96" t="str">
        <f>Seed_Chemical!A17</f>
        <v xml:space="preserve"> </v>
      </c>
      <c r="B9" s="104" t="e">
        <f>Seed_Chemical!#REF!</f>
        <v>#REF!</v>
      </c>
      <c r="C9" s="104" t="str">
        <f>Seed_Chemical!C17</f>
        <v xml:space="preserve"> </v>
      </c>
      <c r="D9" s="96">
        <f>Seed_Chemical!D17</f>
        <v>0</v>
      </c>
      <c r="E9" s="96">
        <f>Seed_Chemical!E17</f>
        <v>0</v>
      </c>
      <c r="F9" s="96">
        <f>Seed_Chemical!F17</f>
        <v>0</v>
      </c>
      <c r="G9" s="106" t="e">
        <f>Seed_Chemical!#REF!</f>
        <v>#REF!</v>
      </c>
    </row>
    <row r="10" spans="1:7" ht="13.9" x14ac:dyDescent="0.4">
      <c r="A10" s="96" t="str">
        <f>Seed_Chemical!A18</f>
        <v xml:space="preserve"> </v>
      </c>
      <c r="B10" s="104" t="e">
        <f>Seed_Chemical!#REF!</f>
        <v>#REF!</v>
      </c>
      <c r="C10" s="104" t="str">
        <f>Seed_Chemical!C18</f>
        <v xml:space="preserve"> </v>
      </c>
      <c r="D10" s="96">
        <f>Seed_Chemical!D18</f>
        <v>0</v>
      </c>
      <c r="E10" s="96">
        <f>Seed_Chemical!E18</f>
        <v>0</v>
      </c>
      <c r="F10" s="96">
        <f>Seed_Chemical!F18</f>
        <v>0</v>
      </c>
      <c r="G10" s="106" t="e">
        <f>Seed_Chemical!#REF!</f>
        <v>#REF!</v>
      </c>
    </row>
    <row r="11" spans="1:7" ht="13.9" x14ac:dyDescent="0.4">
      <c r="A11" s="96" t="str">
        <f>Seed_Chemical!A19</f>
        <v xml:space="preserve"> </v>
      </c>
      <c r="B11" s="104" t="e">
        <f>Seed_Chemical!#REF!</f>
        <v>#REF!</v>
      </c>
      <c r="C11" s="104" t="str">
        <f>Seed_Chemical!C19</f>
        <v xml:space="preserve"> </v>
      </c>
      <c r="D11" s="96">
        <f>Seed_Chemical!D19</f>
        <v>0</v>
      </c>
      <c r="E11" s="96">
        <f>Seed_Chemical!E19</f>
        <v>0</v>
      </c>
      <c r="F11" s="96">
        <f>Seed_Chemical!F19</f>
        <v>0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5" x14ac:dyDescent="0.35">
      <c r="A14" s="107" t="s">
        <v>22</v>
      </c>
      <c r="B14" s="108"/>
      <c r="C14" s="109"/>
      <c r="D14" s="108"/>
      <c r="E14" s="108"/>
      <c r="F14" s="108">
        <f>Seed_Chemical!F26</f>
        <v>32.388250000000006</v>
      </c>
      <c r="G14" s="110"/>
    </row>
    <row r="15" spans="1:7" ht="13.9" x14ac:dyDescent="0.4">
      <c r="A15" s="92"/>
      <c r="B15" s="98"/>
      <c r="C15" s="105"/>
      <c r="D15" s="98"/>
      <c r="E15" s="98"/>
      <c r="F15" s="98"/>
      <c r="G15" s="99"/>
    </row>
    <row r="16" spans="1:7" ht="13.9" x14ac:dyDescent="0.4">
      <c r="A16" s="1978" t="str">
        <f>Seed_Chemical!A28</f>
        <v>Insecticide Detail</v>
      </c>
      <c r="B16" s="1978"/>
      <c r="C16" s="1978"/>
      <c r="D16" s="1978"/>
      <c r="E16" s="1978"/>
      <c r="F16" s="1978"/>
      <c r="G16" s="1978"/>
    </row>
    <row r="17" spans="1:7" ht="13.9" x14ac:dyDescent="0.4">
      <c r="A17" s="164" t="str">
        <f>Seed_Chemical!A29</f>
        <v>Name, Brand</v>
      </c>
      <c r="B17" s="164" t="e">
        <f>Seed_Chemical!#REF!</f>
        <v>#REF!</v>
      </c>
      <c r="C17" s="164" t="str">
        <f>Seed_Chemical!C29</f>
        <v>Unit</v>
      </c>
      <c r="D17" s="164" t="str">
        <f>Seed_Chemical!D29</f>
        <v>Price</v>
      </c>
      <c r="E17" s="164" t="str">
        <f>Seed_Chemical!E29</f>
        <v>Quantity/Ac</v>
      </c>
      <c r="F17" s="164" t="str">
        <f>Seed_Chemical!F29</f>
        <v>Costs</v>
      </c>
      <c r="G17" s="164" t="e">
        <f>Seed_Chemical!#REF!</f>
        <v>#REF!</v>
      </c>
    </row>
    <row r="18" spans="1:7" ht="13.9" x14ac:dyDescent="0.4">
      <c r="A18" s="96" t="str">
        <f>Seed_Chemical!A30</f>
        <v>Prevathon</v>
      </c>
      <c r="B18" s="104" t="e">
        <f>Seed_Chemical!#REF!</f>
        <v>#REF!</v>
      </c>
      <c r="C18" s="104" t="str">
        <f>Seed_Chemical!C30</f>
        <v>oz</v>
      </c>
      <c r="D18" s="96">
        <f>Seed_Chemical!D30</f>
        <v>1.05</v>
      </c>
      <c r="E18" s="96">
        <f>Seed_Chemical!E30</f>
        <v>14</v>
      </c>
      <c r="F18" s="96">
        <f>Seed_Chemical!F30</f>
        <v>14.700000000000001</v>
      </c>
      <c r="G18" s="106" t="e">
        <f>Seed_Chemical!#REF!</f>
        <v>#REF!</v>
      </c>
    </row>
    <row r="19" spans="1:7" ht="13.9" x14ac:dyDescent="0.4">
      <c r="A19" s="96" t="str">
        <f>Seed_Chemical!A31</f>
        <v>Sivanto Prime</v>
      </c>
      <c r="B19" s="104" t="e">
        <f>Seed_Chemical!#REF!</f>
        <v>#REF!</v>
      </c>
      <c r="C19" s="104" t="str">
        <f>Seed_Chemical!C31</f>
        <v>oz</v>
      </c>
      <c r="D19" s="96">
        <f>Seed_Chemical!D31</f>
        <v>3.01</v>
      </c>
      <c r="E19" s="96">
        <f>Seed_Chemical!E31</f>
        <v>4</v>
      </c>
      <c r="F19" s="96">
        <f>Seed_Chemical!F31</f>
        <v>12.04</v>
      </c>
      <c r="G19" s="106" t="e">
        <f>Seed_Chemical!#REF!</f>
        <v>#REF!</v>
      </c>
    </row>
    <row r="20" spans="1:7" ht="13.9" x14ac:dyDescent="0.4">
      <c r="A20" s="96" t="str">
        <f>Seed_Chemical!A32</f>
        <v>Warrior</v>
      </c>
      <c r="B20" s="104" t="e">
        <f>Seed_Chemical!#REF!</f>
        <v>#REF!</v>
      </c>
      <c r="C20" s="104" t="str">
        <f>Seed_Chemical!C32</f>
        <v>oz</v>
      </c>
      <c r="D20" s="96">
        <f>Seed_Chemical!D32</f>
        <v>3.02</v>
      </c>
      <c r="E20" s="96">
        <f>Seed_Chemical!E32</f>
        <v>0.96</v>
      </c>
      <c r="F20" s="96">
        <f>Seed_Chemical!F32</f>
        <v>2.8992</v>
      </c>
      <c r="G20" s="106" t="e">
        <f>Seed_Chemical!#REF!</f>
        <v>#REF!</v>
      </c>
    </row>
    <row r="21" spans="1:7" ht="13.9" x14ac:dyDescent="0.4">
      <c r="A21" s="96" t="str">
        <f>Seed_Chemical!A33</f>
        <v xml:space="preserve"> </v>
      </c>
      <c r="B21" s="104" t="e">
        <f>Seed_Chemical!#REF!</f>
        <v>#REF!</v>
      </c>
      <c r="C21" s="104" t="str">
        <f>Seed_Chemical!C33</f>
        <v xml:space="preserve"> </v>
      </c>
      <c r="D21" s="96">
        <f>Seed_Chemical!D33</f>
        <v>0</v>
      </c>
      <c r="E21" s="96">
        <f>Seed_Chemical!E33</f>
        <v>0</v>
      </c>
      <c r="F21" s="96">
        <f>Seed_Chemical!F33</f>
        <v>0</v>
      </c>
      <c r="G21" s="106" t="e">
        <f>Seed_Chemical!#REF!</f>
        <v>#REF!</v>
      </c>
    </row>
    <row r="22" spans="1:7" ht="13.5" x14ac:dyDescent="0.35">
      <c r="A22" s="107" t="s">
        <v>22</v>
      </c>
      <c r="B22" s="108"/>
      <c r="C22" s="109"/>
      <c r="D22" s="108"/>
      <c r="E22" s="108"/>
      <c r="F22" s="108">
        <f>Seed_Chemical!F40</f>
        <v>29.639200000000002</v>
      </c>
      <c r="G22" s="110"/>
    </row>
    <row r="23" spans="1:7" ht="13.9" x14ac:dyDescent="0.4">
      <c r="A23" s="92"/>
      <c r="B23" s="98"/>
      <c r="C23" s="105"/>
      <c r="D23" s="98"/>
      <c r="E23" s="98"/>
      <c r="F23" s="98"/>
      <c r="G23" s="92"/>
    </row>
    <row r="24" spans="1:7" ht="13.9" x14ac:dyDescent="0.4">
      <c r="A24" s="1978" t="str">
        <f>Seed_Chemical!A42</f>
        <v>Fungicide Detail</v>
      </c>
      <c r="B24" s="1978"/>
      <c r="C24" s="1978"/>
      <c r="D24" s="1978"/>
      <c r="E24" s="1978"/>
      <c r="F24" s="1978"/>
      <c r="G24" s="1978"/>
    </row>
    <row r="25" spans="1:7" ht="13.9" x14ac:dyDescent="0.4">
      <c r="A25" s="164" t="str">
        <f>Seed_Chemical!A43</f>
        <v>Name, Brand</v>
      </c>
      <c r="B25" s="164" t="e">
        <f>Seed_Chemical!#REF!</f>
        <v>#REF!</v>
      </c>
      <c r="C25" s="164" t="str">
        <f>Seed_Chemical!C43</f>
        <v>Unit</v>
      </c>
      <c r="D25" s="164" t="str">
        <f>Seed_Chemical!D43</f>
        <v>Price</v>
      </c>
      <c r="E25" s="164" t="str">
        <f>Seed_Chemical!E43</f>
        <v>Quantity/Ac</v>
      </c>
      <c r="F25" s="164" t="str">
        <f>Seed_Chemical!F43</f>
        <v>Costs</v>
      </c>
      <c r="G25" s="164" t="e">
        <f>Seed_Chemical!#REF!</f>
        <v>#REF!</v>
      </c>
    </row>
    <row r="26" spans="1:7" ht="13.9" x14ac:dyDescent="0.4">
      <c r="A26" s="96" t="str">
        <f>Seed_Chemical!A45</f>
        <v xml:space="preserve"> </v>
      </c>
      <c r="B26" s="104" t="e">
        <f>Seed_Chemical!#REF!</f>
        <v>#REF!</v>
      </c>
      <c r="C26" s="104" t="str">
        <f>Seed_Chemical!C45</f>
        <v xml:space="preserve"> </v>
      </c>
      <c r="D26" s="96">
        <f>Seed_Chemical!D45</f>
        <v>0</v>
      </c>
      <c r="E26" s="96">
        <f>Seed_Chemical!E45</f>
        <v>0</v>
      </c>
      <c r="F26" s="96">
        <f>Seed_Chemical!F45</f>
        <v>0</v>
      </c>
      <c r="G26" s="106" t="e">
        <f>Seed_Chemical!#REF!</f>
        <v>#REF!</v>
      </c>
    </row>
    <row r="27" spans="1:7" ht="13.5" x14ac:dyDescent="0.35">
      <c r="A27" s="107" t="s">
        <v>22</v>
      </c>
      <c r="B27" s="108"/>
      <c r="C27" s="109"/>
      <c r="D27" s="108"/>
      <c r="E27" s="108"/>
      <c r="F27" s="108">
        <f>Seed_Chemical!F46</f>
        <v>0</v>
      </c>
      <c r="G27" s="110"/>
    </row>
    <row r="28" spans="1:7" ht="13.9" x14ac:dyDescent="0.4">
      <c r="A28" s="92"/>
      <c r="B28" s="98"/>
      <c r="C28" s="105"/>
      <c r="D28" s="98"/>
      <c r="E28" s="98"/>
      <c r="F28" s="98"/>
      <c r="G28" s="99"/>
    </row>
    <row r="29" spans="1:7" ht="13.9" x14ac:dyDescent="0.4">
      <c r="A29" s="1978" t="str">
        <f>Seed_Chemical!A48</f>
        <v>Other Chemical Detail</v>
      </c>
      <c r="B29" s="1978"/>
      <c r="C29" s="1978"/>
      <c r="D29" s="1978"/>
      <c r="E29" s="1978"/>
      <c r="F29" s="1978"/>
      <c r="G29" s="1978"/>
    </row>
    <row r="30" spans="1:7" ht="13.9" x14ac:dyDescent="0.4">
      <c r="A30" s="164" t="str">
        <f>Seed_Chemical!A49</f>
        <v>Name, Brand</v>
      </c>
      <c r="B30" s="164" t="e">
        <f>Seed_Chemical!#REF!</f>
        <v>#REF!</v>
      </c>
      <c r="C30" s="164" t="str">
        <f>Seed_Chemical!C49</f>
        <v>Unit</v>
      </c>
      <c r="D30" s="164" t="str">
        <f>Seed_Chemical!D49</f>
        <v>Price</v>
      </c>
      <c r="E30" s="164" t="str">
        <f>Seed_Chemical!E49</f>
        <v>Quantity/Ac</v>
      </c>
      <c r="F30" s="164" t="str">
        <f>Seed_Chemical!F49</f>
        <v>Costs</v>
      </c>
      <c r="G30" s="164" t="e">
        <f>Seed_Chemical!#REF!</f>
        <v>#REF!</v>
      </c>
    </row>
    <row r="31" spans="1:7" ht="13.9" x14ac:dyDescent="0.4">
      <c r="A31" s="96" t="str">
        <f>Seed_Chemical!A50</f>
        <v xml:space="preserve"> </v>
      </c>
      <c r="B31" s="104" t="e">
        <f>Seed_Chemical!#REF!</f>
        <v>#REF!</v>
      </c>
      <c r="C31" s="104" t="str">
        <f>Seed_Chemical!C50</f>
        <v xml:space="preserve"> </v>
      </c>
      <c r="D31" s="96">
        <f>Seed_Chemical!D50</f>
        <v>0</v>
      </c>
      <c r="E31" s="96">
        <f>Seed_Chemical!E50</f>
        <v>0</v>
      </c>
      <c r="F31" s="96">
        <f>Seed_Chemical!F50</f>
        <v>0</v>
      </c>
      <c r="G31" s="106" t="e">
        <f>Seed_Chemical!#REF!</f>
        <v>#REF!</v>
      </c>
    </row>
    <row r="32" spans="1:7" ht="13.9" x14ac:dyDescent="0.4">
      <c r="A32" s="96" t="str">
        <f>Seed_Chemical!A51</f>
        <v xml:space="preserve"> </v>
      </c>
      <c r="B32" s="104" t="e">
        <f>Seed_Chemical!#REF!</f>
        <v>#REF!</v>
      </c>
      <c r="C32" s="104" t="str">
        <f>Seed_Chemical!C51</f>
        <v xml:space="preserve"> </v>
      </c>
      <c r="D32" s="96">
        <f>Seed_Chemical!D51</f>
        <v>0</v>
      </c>
      <c r="E32" s="96">
        <f>Seed_Chemical!E51</f>
        <v>0</v>
      </c>
      <c r="F32" s="96">
        <f>Seed_Chemical!F51</f>
        <v>0</v>
      </c>
      <c r="G32" s="106" t="e">
        <f>Seed_Chemical!#REF!</f>
        <v>#REF!</v>
      </c>
    </row>
    <row r="33" spans="1:7" ht="13.9" x14ac:dyDescent="0.4">
      <c r="A33" s="96" t="str">
        <f>Seed_Chemical!A52</f>
        <v xml:space="preserve"> </v>
      </c>
      <c r="B33" s="104" t="e">
        <f>Seed_Chemical!#REF!</f>
        <v>#REF!</v>
      </c>
      <c r="C33" s="104" t="str">
        <f>Seed_Chemical!C52</f>
        <v xml:space="preserve"> </v>
      </c>
      <c r="D33" s="96">
        <f>Seed_Chemical!D52</f>
        <v>0</v>
      </c>
      <c r="E33" s="96">
        <f>Seed_Chemical!E52</f>
        <v>0</v>
      </c>
      <c r="F33" s="96">
        <f>Seed_Chemical!F52</f>
        <v>0</v>
      </c>
      <c r="G33" s="106" t="e">
        <f>Seed_Chemical!#REF!</f>
        <v>#REF!</v>
      </c>
    </row>
    <row r="34" spans="1:7" ht="13.5" x14ac:dyDescent="0.35">
      <c r="A34" s="107" t="s">
        <v>22</v>
      </c>
      <c r="B34" s="108"/>
      <c r="C34" s="94"/>
      <c r="D34" s="107"/>
      <c r="E34" s="107"/>
      <c r="F34" s="108">
        <f>Seed_Chemical!F57</f>
        <v>0</v>
      </c>
      <c r="G34" s="107"/>
    </row>
    <row r="35" spans="1:7" ht="13.9" x14ac:dyDescent="0.4">
      <c r="A35" s="92"/>
      <c r="B35" s="98"/>
      <c r="C35" s="95"/>
      <c r="D35" s="92"/>
      <c r="E35" s="92"/>
      <c r="F35" s="92"/>
      <c r="G35" s="92"/>
    </row>
    <row r="36" spans="1:7" ht="13.9" x14ac:dyDescent="0.4">
      <c r="A36" s="1978" t="str">
        <f>Seed_Chemical!A59</f>
        <v>Other Chemical Detail</v>
      </c>
      <c r="B36" s="1978"/>
      <c r="C36" s="1978"/>
      <c r="D36" s="1978"/>
      <c r="E36" s="1978"/>
      <c r="F36" s="1978"/>
      <c r="G36" s="1978"/>
    </row>
    <row r="37" spans="1:7" ht="13.9" x14ac:dyDescent="0.4">
      <c r="A37" s="164" t="str">
        <f>Seed_Chemical!A60</f>
        <v>Name, Brand</v>
      </c>
      <c r="B37" s="164" t="e">
        <f>Seed_Chemical!#REF!</f>
        <v>#REF!</v>
      </c>
      <c r="C37" s="164" t="str">
        <f>Seed_Chemical!C60</f>
        <v>Unit</v>
      </c>
      <c r="D37" s="164" t="str">
        <f>Seed_Chemical!D60</f>
        <v>Price</v>
      </c>
      <c r="E37" s="164" t="str">
        <f>Seed_Chemical!E60</f>
        <v>Quantity/Ac</v>
      </c>
      <c r="F37" s="164" t="str">
        <f>Seed_Chemical!F60</f>
        <v>Costs</v>
      </c>
      <c r="G37" s="164" t="e">
        <f>Seed_Chemical!#REF!</f>
        <v>#REF!</v>
      </c>
    </row>
    <row r="38" spans="1:7" ht="13.9" x14ac:dyDescent="0.4">
      <c r="A38" s="96" t="str">
        <f>Seed_Chemical!A61</f>
        <v xml:space="preserve"> </v>
      </c>
      <c r="B38" s="104" t="e">
        <f>Seed_Chemical!#REF!</f>
        <v>#REF!</v>
      </c>
      <c r="C38" s="104" t="str">
        <f>Seed_Chemical!C61</f>
        <v xml:space="preserve"> </v>
      </c>
      <c r="D38" s="96">
        <f>Seed_Chemical!D61</f>
        <v>0</v>
      </c>
      <c r="E38" s="96">
        <f>Seed_Chemical!E61</f>
        <v>0</v>
      </c>
      <c r="F38" s="96">
        <f>Seed_Chemical!F61</f>
        <v>0</v>
      </c>
      <c r="G38" s="106" t="e">
        <f>Seed_Chemical!#REF!</f>
        <v>#REF!</v>
      </c>
    </row>
    <row r="39" spans="1:7" ht="13.9" x14ac:dyDescent="0.4">
      <c r="A39" s="96" t="str">
        <f>Seed_Chemical!A62</f>
        <v xml:space="preserve"> </v>
      </c>
      <c r="B39" s="104" t="e">
        <f>Seed_Chemical!#REF!</f>
        <v>#REF!</v>
      </c>
      <c r="C39" s="104" t="str">
        <f>Seed_Chemical!C62</f>
        <v xml:space="preserve"> </v>
      </c>
      <c r="D39" s="96">
        <f>Seed_Chemical!D62</f>
        <v>0</v>
      </c>
      <c r="E39" s="96">
        <f>Seed_Chemical!E62</f>
        <v>0</v>
      </c>
      <c r="F39" s="96">
        <f>Seed_Chemical!F62</f>
        <v>0</v>
      </c>
      <c r="G39" s="106" t="e">
        <f>Seed_Chemical!#REF!</f>
        <v>#REF!</v>
      </c>
    </row>
    <row r="40" spans="1:7" ht="13.9" x14ac:dyDescent="0.4">
      <c r="A40" s="96" t="str">
        <f>Seed_Chemical!A63</f>
        <v xml:space="preserve"> </v>
      </c>
      <c r="B40" s="104" t="e">
        <f>Seed_Chemical!#REF!</f>
        <v>#REF!</v>
      </c>
      <c r="C40" s="104" t="str">
        <f>Seed_Chemical!C63</f>
        <v xml:space="preserve"> </v>
      </c>
      <c r="D40" s="96">
        <f>Seed_Chemical!D63</f>
        <v>0</v>
      </c>
      <c r="E40" s="96">
        <f>Seed_Chemical!E63</f>
        <v>0</v>
      </c>
      <c r="F40" s="96">
        <f>Seed_Chemical!F63</f>
        <v>0</v>
      </c>
      <c r="G40" s="106" t="e">
        <f>Seed_Chemical!#REF!</f>
        <v>#REF!</v>
      </c>
    </row>
    <row r="41" spans="1:7" ht="13.9" x14ac:dyDescent="0.4">
      <c r="A41" s="96" t="str">
        <f>Seed_Chemical!A64</f>
        <v xml:space="preserve"> </v>
      </c>
      <c r="B41" s="104" t="e">
        <f>Seed_Chemical!#REF!</f>
        <v>#REF!</v>
      </c>
      <c r="C41" s="104" t="str">
        <f>Seed_Chemical!C64</f>
        <v xml:space="preserve"> </v>
      </c>
      <c r="D41" s="96">
        <f>Seed_Chemical!D64</f>
        <v>0</v>
      </c>
      <c r="E41" s="96">
        <f>Seed_Chemical!E64</f>
        <v>0</v>
      </c>
      <c r="F41" s="96">
        <f>Seed_Chemical!F64</f>
        <v>0</v>
      </c>
      <c r="G41" s="106" t="e">
        <f>Seed_Chemical!#REF!</f>
        <v>#REF!</v>
      </c>
    </row>
    <row r="42" spans="1:7" ht="13.9" x14ac:dyDescent="0.4">
      <c r="A42" s="96" t="str">
        <f>Seed_Chemical!A65</f>
        <v xml:space="preserve"> </v>
      </c>
      <c r="B42" s="104" t="e">
        <f>Seed_Chemical!#REF!</f>
        <v>#REF!</v>
      </c>
      <c r="C42" s="104" t="str">
        <f>Seed_Chemical!C65</f>
        <v xml:space="preserve"> </v>
      </c>
      <c r="D42" s="96">
        <f>Seed_Chemical!D65</f>
        <v>0</v>
      </c>
      <c r="E42" s="96">
        <f>Seed_Chemical!E65</f>
        <v>0</v>
      </c>
      <c r="F42" s="96">
        <f>Seed_Chemical!F65</f>
        <v>0</v>
      </c>
      <c r="G42" s="106" t="e">
        <f>Seed_Chemical!#REF!</f>
        <v>#REF!</v>
      </c>
    </row>
    <row r="43" spans="1:7" ht="13.5" x14ac:dyDescent="0.35">
      <c r="A43" s="111" t="s">
        <v>22</v>
      </c>
      <c r="B43" s="111"/>
      <c r="C43" s="100"/>
      <c r="D43" s="111"/>
      <c r="E43" s="111"/>
      <c r="F43" s="112">
        <f>Seed_Chemical!F68</f>
        <v>0</v>
      </c>
      <c r="G43" s="111"/>
    </row>
  </sheetData>
  <mergeCells count="5">
    <mergeCell ref="A24:G24"/>
    <mergeCell ref="A29:G29"/>
    <mergeCell ref="A36:G36"/>
    <mergeCell ref="A2:G2"/>
    <mergeCell ref="A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19</vt:i4>
      </vt:variant>
    </vt:vector>
  </HeadingPairs>
  <TitlesOfParts>
    <vt:vector size="53" baseType="lpstr">
      <vt:lpstr>A1_Link</vt:lpstr>
      <vt:lpstr>A2_Budget_Look_Up</vt:lpstr>
      <vt:lpstr>A3_Production_Look_Up</vt:lpstr>
      <vt:lpstr>A4_Chem_Prices</vt:lpstr>
      <vt:lpstr>A5_Chem_Look_Up</vt:lpstr>
      <vt:lpstr>A6_Machine_Look_Up</vt:lpstr>
      <vt:lpstr>EquipmentSpecs</vt:lpstr>
      <vt:lpstr>B1_ChemicalCopy</vt:lpstr>
      <vt:lpstr>B2_ChemicalMakeReport</vt:lpstr>
      <vt:lpstr>B3_MachineCopy</vt:lpstr>
      <vt:lpstr>B4_MachineMakeReport</vt:lpstr>
      <vt:lpstr>Z1_Equipment_Calculations</vt:lpstr>
      <vt:lpstr>Program_Variables</vt:lpstr>
      <vt:lpstr>CostReport_Verification</vt:lpstr>
      <vt:lpstr>SummaryReport_Verification</vt:lpstr>
      <vt:lpstr>Field_Activities</vt:lpstr>
      <vt:lpstr>Guide</vt:lpstr>
      <vt:lpstr>Print_Budget</vt:lpstr>
      <vt:lpstr>Print_Summary</vt:lpstr>
      <vt:lpstr>C1_Messages_Indicators</vt:lpstr>
      <vt:lpstr>C2_Irrigation_Calculations</vt:lpstr>
      <vt:lpstr>Print_Land_Capitalization</vt:lpstr>
      <vt:lpstr>Budget</vt:lpstr>
      <vt:lpstr>Fertilizer</vt:lpstr>
      <vt:lpstr>Seed_Chemical</vt:lpstr>
      <vt:lpstr>Irrigation</vt:lpstr>
      <vt:lpstr>Machine</vt:lpstr>
      <vt:lpstr>Trips</vt:lpstr>
      <vt:lpstr>Print_Machine_Custom_Costs</vt:lpstr>
      <vt:lpstr>Print_Irrigation_Report</vt:lpstr>
      <vt:lpstr>Z2_Machine_Custom_Calculations</vt:lpstr>
      <vt:lpstr>Links</vt:lpstr>
      <vt:lpstr>Hours</vt:lpstr>
      <vt:lpstr>CarbonEmissions</vt:lpstr>
      <vt:lpstr>B1_ChemicalCopy!Print_Area</vt:lpstr>
      <vt:lpstr>B2_ChemicalMakeReport!Print_Area</vt:lpstr>
      <vt:lpstr>B3_MachineCopy!Print_Area</vt:lpstr>
      <vt:lpstr>B4_MachineMakeReport!Print_Area</vt:lpstr>
      <vt:lpstr>Budget!Print_Area</vt:lpstr>
      <vt:lpstr>CarbonEmissions!Print_Area</vt:lpstr>
      <vt:lpstr>CostReport_Verification!Print_Area</vt:lpstr>
      <vt:lpstr>Field_Activities!Print_Area</vt:lpstr>
      <vt:lpstr>Guide!Print_Area</vt:lpstr>
      <vt:lpstr>Hours!Print_Area</vt:lpstr>
      <vt:lpstr>Irrigation!Print_Area</vt:lpstr>
      <vt:lpstr>Machine!Print_Area</vt:lpstr>
      <vt:lpstr>Print_Budget!Print_Area</vt:lpstr>
      <vt:lpstr>Print_Land_Capitalization!Print_Area</vt:lpstr>
      <vt:lpstr>Print_Machine_Custom_Costs!Print_Area</vt:lpstr>
      <vt:lpstr>Print_Summary!Print_Area</vt:lpstr>
      <vt:lpstr>Seed_Chemical!Print_Area</vt:lpstr>
      <vt:lpstr>SummaryReport_Verification!Print_Area</vt:lpstr>
      <vt:lpstr>Trips!Print_Area</vt:lpstr>
    </vt:vector>
  </TitlesOfParts>
  <Company>UGA\CAES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bjwatkins</dc:creator>
  <cp:lastModifiedBy>Breana Jordan Watkins</cp:lastModifiedBy>
  <cp:lastPrinted>2016-09-29T18:16:38Z</cp:lastPrinted>
  <dcterms:created xsi:type="dcterms:W3CDTF">2005-11-29T13:52:22Z</dcterms:created>
  <dcterms:modified xsi:type="dcterms:W3CDTF">2025-10-29T02:04:33Z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2024-09-05T23:54:40Z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01e9f1f8-716e-4abb-94c8-7c061e8826e7</vt:lpwstr>
  </property>
  <property fmtid="{D5CDD505-2E9C-101B-9397-08002B2CF9AE}" pid="8" name="MSIP_Label_0570d0e1-5e3d-4557-a9f8-84d8494b9cc8_ContentBits">
    <vt:lpwstr>0</vt:lpwstr>
  </property>
</Properties>
</file>