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4BD164F4-1E18-4003-9027-45EE61F0E62D}" xr6:coauthVersionLast="47" xr6:coauthVersionMax="47" xr10:uidLastSave="{373CC017-8A63-4D53-A140-BCF5F69A8951}"/>
  <bookViews>
    <workbookView xWindow="47265" yWindow="990" windowWidth="17505" windowHeight="12525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9" i="15" l="1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K28" i="27"/>
  <c r="K9" i="27" s="1"/>
  <c r="AH16" i="2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C30" i="37" l="1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<sst xmlns="http://schemas.openxmlformats.org/spreadsheetml/2006/main" count="8711" uniqueCount="1245">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</sst>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105</v>
      </c>
      <c r="Q2" s="1177">
        <f>P2</f>
        <v>105</v>
      </c>
      <c r="R2" s="650">
        <v>220</v>
      </c>
      <c r="S2" s="1177">
        <f>IF(Irrigation!$B$2&lt;3,(Q2*$Q$36)+(R2*$R$36),A1_Link!Q2)</f>
        <v>158.72842096437361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105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105</v>
      </c>
      <c r="L3" s="182"/>
      <c r="M3" s="1190"/>
      <c r="N3" s="3"/>
      <c r="O3" s="648" t="s">
        <v>21</v>
      </c>
      <c r="P3" s="1181">
        <f>Budget!E3</f>
        <v>4.75</v>
      </c>
      <c r="Q3" s="1177">
        <f>P3</f>
        <v>4.75</v>
      </c>
      <c r="R3" s="650">
        <v>4</v>
      </c>
      <c r="S3" s="1177">
        <f>IF(Irrigation!$B$2&lt;3,(Q3*$Q$36)+(R3*$R$36),A1_Link!Q3)</f>
        <v>4.399597254580172</v>
      </c>
      <c r="T3" s="650"/>
      <c r="U3" s="1190"/>
      <c r="V3" s="3"/>
      <c r="W3" s="3"/>
      <c r="X3" s="648" t="s">
        <v>21</v>
      </c>
      <c r="Y3" s="650">
        <f>Budget!E3</f>
        <v>4.75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13.52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4.75</v>
      </c>
      <c r="D4" s="3"/>
      <c r="E4" s="1190"/>
      <c r="F4" s="4" t="s">
        <v>786</v>
      </c>
      <c r="G4" s="1189">
        <f>C3</f>
        <v>105</v>
      </c>
      <c r="H4" s="3"/>
      <c r="I4" s="1190"/>
      <c r="J4" s="651" t="s">
        <v>493</v>
      </c>
      <c r="K4" s="1245">
        <f>C4</f>
        <v>4.75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105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13.52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4.75</v>
      </c>
      <c r="H6" s="3"/>
      <c r="I6" s="1190"/>
      <c r="J6" s="652" t="s">
        <v>231</v>
      </c>
      <c r="K6" s="173">
        <f>K3*K4*(K5)</f>
        <v>498.75</v>
      </c>
      <c r="L6" s="182"/>
      <c r="M6" s="1190"/>
      <c r="N6" s="3"/>
      <c r="O6" s="648" t="s">
        <v>481</v>
      </c>
      <c r="P6" s="1181">
        <f>Budget!F6</f>
        <v>27.04</v>
      </c>
      <c r="Q6" s="1177">
        <f t="shared" ref="Q6:Q26" si="0">P6</f>
        <v>27.04</v>
      </c>
      <c r="R6" s="650">
        <v>125.73</v>
      </c>
      <c r="S6" s="1177">
        <f>IF(Irrigation!$B$2&lt;3,(Q6*$Q$36)+(R6*$R$36),A1_Link!Q6)</f>
        <v>73.148329260643763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98.291666666666657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98.291666666666657</v>
      </c>
      <c r="Q7" s="1177">
        <f t="shared" si="0"/>
        <v>98.291666666666657</v>
      </c>
      <c r="R7" s="650">
        <v>104.82639999999999</v>
      </c>
      <c r="S7" s="1177">
        <f>IF(Irrigation!$B$2&lt;3,(Q7*$Q$36)+(R7*$R$36),A1_Link!Q7)</f>
        <v>101.34471800078194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469.79332981149992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60.750000000000007</v>
      </c>
      <c r="AI7" s="3"/>
    </row>
    <row r="8" spans="2:35" ht="13.9" x14ac:dyDescent="0.4">
      <c r="B8" s="1185" t="s">
        <v>223</v>
      </c>
      <c r="C8" s="1186">
        <f>Budget!F6</f>
        <v>27.04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60.750000000000007</v>
      </c>
      <c r="Q8" s="1177">
        <f t="shared" si="0"/>
        <v>60.750000000000007</v>
      </c>
      <c r="R8" s="650">
        <v>30</v>
      </c>
      <c r="S8" s="1177">
        <f>IF(Irrigation!$B$2&lt;3,(Q8*$Q$36)+(R8*$R$36),A1_Link!Q8)</f>
        <v>46.383487437787061</v>
      </c>
      <c r="T8" s="650"/>
      <c r="U8" s="1190"/>
      <c r="V8" s="3"/>
      <c r="W8" s="3"/>
      <c r="X8" s="648" t="s">
        <v>1</v>
      </c>
      <c r="Y8" s="650">
        <f>Budget!F36</f>
        <v>31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26.4</v>
      </c>
      <c r="AI8" s="3"/>
    </row>
    <row r="9" spans="2:35" ht="13.9" x14ac:dyDescent="0.4">
      <c r="B9" s="1185" t="s">
        <v>224</v>
      </c>
      <c r="C9" s="1186">
        <f>SUM(Budget!F7:F13)</f>
        <v>199.79166666666666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420.96445687959391</v>
      </c>
      <c r="L9" s="182">
        <v>491.31931557339078</v>
      </c>
      <c r="M9" s="1190"/>
      <c r="N9" s="3"/>
      <c r="O9" s="648" t="s">
        <v>483</v>
      </c>
      <c r="P9" s="1181">
        <f>Budget!F9</f>
        <v>26.4</v>
      </c>
      <c r="Q9" s="1177">
        <f t="shared" si="0"/>
        <v>26.4</v>
      </c>
      <c r="R9" s="650">
        <v>33.299999999999997</v>
      </c>
      <c r="S9" s="1177">
        <f>IF(Irrigation!$B$2&lt;3,(Q9*$Q$36)+(R9*$R$36),A1_Link!Q9)</f>
        <v>29.623705257862415</v>
      </c>
      <c r="T9" s="650"/>
      <c r="U9" s="1190"/>
      <c r="V9" s="3"/>
      <c r="W9" s="3"/>
      <c r="X9" s="648" t="s">
        <v>55</v>
      </c>
      <c r="Y9" s="650">
        <f>Trips!E45+Trips!E51+(Trips!E72*(1-W10))+Trips!E76</f>
        <v>8.3156625868431053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14.350000000000001</v>
      </c>
      <c r="AI9" s="3"/>
    </row>
    <row r="10" spans="2:35" ht="13.9" x14ac:dyDescent="0.4">
      <c r="B10" s="1185" t="s">
        <v>494</v>
      </c>
      <c r="C10" s="1186">
        <f>SUM(Budget!F14:F18)</f>
        <v>62.027450000000009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31</v>
      </c>
      <c r="L10" s="182">
        <v>0</v>
      </c>
      <c r="M10" s="1190"/>
      <c r="N10" s="3"/>
      <c r="O10" s="648" t="s">
        <v>484</v>
      </c>
      <c r="P10" s="1181">
        <f>SUM(Budget!F10:F13)</f>
        <v>14.350000000000001</v>
      </c>
      <c r="Q10" s="1177">
        <f t="shared" si="0"/>
        <v>14.350000000000001</v>
      </c>
      <c r="R10" s="650">
        <v>22.159999999999997</v>
      </c>
      <c r="S10" s="1177">
        <f>IF(Irrigation!$B$2&lt;3,(Q10*$Q$36)+(R10*$R$36),A1_Link!Q10)</f>
        <v>17.998860588971809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105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32.388250000000006</v>
      </c>
      <c r="AI10" s="3"/>
    </row>
    <row r="11" spans="2:35" ht="13.9" x14ac:dyDescent="0.4">
      <c r="B11" s="1185" t="s">
        <v>225</v>
      </c>
      <c r="C11" s="1186">
        <f>SUM(Budget!F20:F23)</f>
        <v>76.5</v>
      </c>
      <c r="D11" s="3"/>
      <c r="E11" s="1190"/>
      <c r="F11" s="1185" t="s">
        <v>223</v>
      </c>
      <c r="G11" s="1186">
        <f>C8</f>
        <v>27.04</v>
      </c>
      <c r="H11" s="3"/>
      <c r="I11" s="1190"/>
      <c r="J11" s="648" t="s">
        <v>789</v>
      </c>
      <c r="K11" s="665">
        <f>K30+SUM(K32:K35)</f>
        <v>63.462217151402129</v>
      </c>
      <c r="L11" s="182">
        <v>58.670258247720405</v>
      </c>
      <c r="M11" s="1190"/>
      <c r="N11" s="3"/>
      <c r="O11" s="648" t="s">
        <v>183</v>
      </c>
      <c r="P11" s="1181">
        <f>Budget!F14</f>
        <v>32.388250000000006</v>
      </c>
      <c r="Q11" s="1177">
        <f t="shared" si="0"/>
        <v>32.388250000000006</v>
      </c>
      <c r="R11" s="650">
        <v>23.8</v>
      </c>
      <c r="S11" s="1177">
        <f>IF(Irrigation!$B$2&lt;3,(Q11*$Q$36)+(R11*$R$36),A1_Link!Q11)</f>
        <v>28.375788162197555</v>
      </c>
      <c r="T11" s="650"/>
      <c r="U11" s="1190"/>
      <c r="V11" s="3"/>
      <c r="W11" s="3"/>
      <c r="X11" s="648" t="s">
        <v>811</v>
      </c>
      <c r="Y11" s="650">
        <f>Budget!F27</f>
        <v>6.31768163265306</v>
      </c>
      <c r="Z11" s="650">
        <f>Budget!D$3</f>
        <v>105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29.639200000000002</v>
      </c>
      <c r="AI11" s="3"/>
    </row>
    <row r="12" spans="2:35" ht="13.9" x14ac:dyDescent="0.4">
      <c r="B12" s="1185" t="s">
        <v>421</v>
      </c>
      <c r="C12" s="1186">
        <f>Budget!F31+Budget!F32</f>
        <v>0</v>
      </c>
      <c r="D12" s="3"/>
      <c r="E12" s="1190"/>
      <c r="F12" s="1185" t="s">
        <v>420</v>
      </c>
      <c r="G12" s="1186">
        <f t="shared" ref="G12:G21" si="2">C9</f>
        <v>199.79166666666666</v>
      </c>
      <c r="H12" s="3"/>
      <c r="I12" s="1190"/>
      <c r="J12" s="648" t="s">
        <v>790</v>
      </c>
      <c r="K12" s="664">
        <f>SUM(K36:K37)</f>
        <v>27.3</v>
      </c>
      <c r="L12" s="182">
        <v>105.03</v>
      </c>
      <c r="M12" s="1190"/>
      <c r="N12" s="3"/>
      <c r="O12" s="648" t="s">
        <v>184</v>
      </c>
      <c r="P12" s="1181">
        <f>Budget!F15</f>
        <v>29.639200000000002</v>
      </c>
      <c r="Q12" s="1177">
        <f t="shared" si="0"/>
        <v>29.639200000000002</v>
      </c>
      <c r="R12" s="650">
        <v>0</v>
      </c>
      <c r="S12" s="1177">
        <f>IF(Irrigation!$B$2&lt;3,(Q12*$Q$36)+(R12*$R$36),A1_Link!Q12)</f>
        <v>15.791657263936848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105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0</v>
      </c>
      <c r="AI12" s="3"/>
    </row>
    <row r="13" spans="2:35" ht="13.9" x14ac:dyDescent="0.4">
      <c r="B13" s="1185" t="s">
        <v>779</v>
      </c>
      <c r="C13" s="1186">
        <f>Budget!F25+Budget!F27</f>
        <v>11.469025175333289</v>
      </c>
      <c r="D13" s="3"/>
      <c r="E13" s="1190"/>
      <c r="F13" s="1185" t="s">
        <v>494</v>
      </c>
      <c r="G13" s="1186">
        <f t="shared" si="2"/>
        <v>62.027450000000009</v>
      </c>
      <c r="H13" s="3"/>
      <c r="I13" s="1190"/>
      <c r="J13" s="652" t="s">
        <v>168</v>
      </c>
      <c r="K13" s="173">
        <f>SUM(K9:K12)-K7</f>
        <v>542.72667403099604</v>
      </c>
      <c r="L13" s="182"/>
      <c r="M13" s="1190"/>
      <c r="N13" s="3"/>
      <c r="O13" s="648" t="s">
        <v>91</v>
      </c>
      <c r="P13" s="1181">
        <f>SUM(Budget!F16:F18)</f>
        <v>0</v>
      </c>
      <c r="Q13" s="1177">
        <f t="shared" si="0"/>
        <v>0</v>
      </c>
      <c r="R13" s="650">
        <v>0</v>
      </c>
      <c r="S13" s="1177">
        <f>IF(Irrigation!$B$2&lt;3,(Q13*$Q$36)+(R13*$R$36),A1_Link!Q13)</f>
        <v>0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27.3</v>
      </c>
      <c r="Z13" s="650">
        <f>SUM(Y7:Y13)-Y5</f>
        <v>542.72667403099604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76.5</v>
      </c>
      <c r="AI13" s="3"/>
    </row>
    <row r="14" spans="2:35" ht="13.9" x14ac:dyDescent="0.4">
      <c r="B14" s="1185" t="s">
        <v>422</v>
      </c>
      <c r="C14" s="1186">
        <f>Budget!F29</f>
        <v>44.136315037593988</v>
      </c>
      <c r="D14" s="3"/>
      <c r="E14" s="1190"/>
      <c r="F14" s="1185" t="s">
        <v>225</v>
      </c>
      <c r="G14" s="1186">
        <f t="shared" si="2"/>
        <v>76.5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76.5</v>
      </c>
      <c r="Q14" s="1177">
        <f t="shared" si="0"/>
        <v>76.5</v>
      </c>
      <c r="R14" s="650">
        <v>7.0000000000000009</v>
      </c>
      <c r="S14" s="1177">
        <f>IF(Irrigation!$B$2&lt;3,(Q14*$Q$36)+(R14*$R$36),A1_Link!Q14)</f>
        <v>44.029345591095939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5.1513435426802294</v>
      </c>
      <c r="AI14" s="3"/>
    </row>
    <row r="15" spans="2:35" ht="13.9" x14ac:dyDescent="0.4">
      <c r="B15" s="1185" t="s">
        <v>778</v>
      </c>
      <c r="C15" s="1186">
        <f>Budget!F34+Budget!F35</f>
        <v>6</v>
      </c>
      <c r="D15" s="3"/>
      <c r="E15" s="1190"/>
      <c r="F15" s="1185" t="s">
        <v>780</v>
      </c>
      <c r="G15" s="1186">
        <f t="shared" si="2"/>
        <v>0</v>
      </c>
      <c r="H15" s="3"/>
      <c r="I15" s="1190"/>
      <c r="J15" s="652" t="s">
        <v>233</v>
      </c>
      <c r="K15" s="173">
        <f>(K3*K4*K5)-K13-K14</f>
        <v>-43.976674030996037</v>
      </c>
      <c r="L15" s="182"/>
      <c r="M15" s="1190"/>
      <c r="N15" s="3"/>
      <c r="O15" s="648" t="s">
        <v>424</v>
      </c>
      <c r="P15" s="1181">
        <f>Budget!F25</f>
        <v>5.1513435426802294</v>
      </c>
      <c r="Q15" s="1177">
        <f t="shared" si="0"/>
        <v>5.1513435426802294</v>
      </c>
      <c r="R15" s="650">
        <v>10.547472063880164</v>
      </c>
      <c r="S15" s="1177">
        <f>IF(Irrigation!$B$2&lt;3,(Q15*$Q$36)+(R15*$R$36),A1_Link!Q15)</f>
        <v>7.6724345406358196</v>
      </c>
      <c r="T15" s="650"/>
      <c r="U15" s="1190"/>
      <c r="V15" s="3"/>
      <c r="W15" s="3"/>
      <c r="X15" s="648" t="s">
        <v>584</v>
      </c>
      <c r="Y15" s="650">
        <f>Budget!F48</f>
        <v>92.901688828778603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5.2556829919865145</v>
      </c>
      <c r="AI15" s="3"/>
    </row>
    <row r="16" spans="2:35" ht="13.9" x14ac:dyDescent="0.4">
      <c r="B16" s="1185" t="s">
        <v>1</v>
      </c>
      <c r="C16" s="1186">
        <f>Budget!F36</f>
        <v>31</v>
      </c>
      <c r="D16" s="3"/>
      <c r="E16" s="1190"/>
      <c r="F16" s="1185" t="s">
        <v>779</v>
      </c>
      <c r="G16" s="1186">
        <f t="shared" si="2"/>
        <v>11.469025175333289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5.2556829919865145</v>
      </c>
      <c r="Q16" s="1177">
        <f t="shared" si="0"/>
        <v>5.2556829919865145</v>
      </c>
      <c r="R16" s="650">
        <v>9.3388892486480266</v>
      </c>
      <c r="S16" s="1177">
        <f>IF(Irrigation!$B$2&lt;3,(Q16*$Q$36)+(R16*$R$36),A1_Link!Q16)</f>
        <v>7.1633719019193318</v>
      </c>
      <c r="T16" s="650"/>
      <c r="U16" s="1190"/>
      <c r="V16" s="3"/>
      <c r="W16" s="3"/>
      <c r="X16" s="648" t="s">
        <v>303</v>
      </c>
      <c r="Y16" s="650">
        <f>Budget!F49</f>
        <v>96.901566768291104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6.31768163265306</v>
      </c>
      <c r="AI16" s="3"/>
    </row>
    <row r="17" spans="2:35" ht="13.9" x14ac:dyDescent="0.4">
      <c r="B17" s="1185" t="s">
        <v>226</v>
      </c>
      <c r="C17" s="1186">
        <f>Budget!F26+Budget!F28+Budget!F30</f>
        <v>28.045987165972143</v>
      </c>
      <c r="D17" s="3"/>
      <c r="E17" s="1190"/>
      <c r="F17" s="1185" t="s">
        <v>422</v>
      </c>
      <c r="G17" s="1186">
        <f t="shared" si="2"/>
        <v>44.136315037593988</v>
      </c>
      <c r="H17" s="3"/>
      <c r="I17" s="1190"/>
      <c r="J17" s="648" t="s">
        <v>249</v>
      </c>
      <c r="K17" s="978">
        <f>SUM(K40:K42)</f>
        <v>194.44834003850866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6.31768163265306</v>
      </c>
      <c r="Q17" s="1177">
        <f t="shared" si="0"/>
        <v>6.31768163265306</v>
      </c>
      <c r="R17" s="650">
        <v>7.4958759183673482</v>
      </c>
      <c r="S17" s="1177">
        <f>IF(Irrigation!$B$2&lt;3,(Q17*$Q$36)+(R17*$R$36),A1_Link!Q17)</f>
        <v>6.8681383157893805</v>
      </c>
      <c r="T17" s="650"/>
      <c r="U17" s="1190"/>
      <c r="V17" s="3"/>
      <c r="W17" s="3"/>
      <c r="X17" s="648" t="s">
        <v>585</v>
      </c>
      <c r="Y17" s="650">
        <f>Budget!F50</f>
        <v>4.6450844414389305</v>
      </c>
      <c r="Z17" s="650">
        <f>SUM(Y15:Y17)</f>
        <v>194.44834003850866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12.5670990457805</v>
      </c>
      <c r="AI17" s="3"/>
    </row>
    <row r="18" spans="2:35" ht="13.9" x14ac:dyDescent="0.4">
      <c r="B18" s="1185" t="s">
        <v>214</v>
      </c>
      <c r="C18" s="1186">
        <f>Trips!E45+Trips!E51+Trips!E72+Trips!E76</f>
        <v>8.3156625868431053</v>
      </c>
      <c r="D18" s="3"/>
      <c r="E18" s="1190"/>
      <c r="F18" s="1185" t="s">
        <v>778</v>
      </c>
      <c r="G18" s="1186">
        <f t="shared" si="2"/>
        <v>6</v>
      </c>
      <c r="H18" s="3"/>
      <c r="I18" s="1190"/>
      <c r="J18" s="308" t="s">
        <v>650</v>
      </c>
      <c r="K18" s="173">
        <f>K13+K17</f>
        <v>737.17501406950464</v>
      </c>
      <c r="L18" s="182"/>
      <c r="M18" s="1190"/>
      <c r="N18" s="3"/>
      <c r="O18" s="648" t="s">
        <v>17</v>
      </c>
      <c r="P18" s="1181">
        <f>(Budget!F28/Budget!D3)*P2</f>
        <v>12.5670990457805</v>
      </c>
      <c r="Q18" s="1177">
        <f t="shared" si="0"/>
        <v>12.5670990457805</v>
      </c>
      <c r="R18" s="650">
        <v>12.958564105965449</v>
      </c>
      <c r="S18" s="1177">
        <f>IF(Irrigation!$B$2&lt;3,(Q18*$Q$36)+(R18*$R$36),A1_Link!Q18)</f>
        <v>12.74999295488016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44.136315037593988</v>
      </c>
      <c r="AI18" s="3"/>
    </row>
    <row r="19" spans="2:35" ht="13.9" x14ac:dyDescent="0.4">
      <c r="B19" s="1185" t="s">
        <v>28</v>
      </c>
      <c r="C19" s="1186">
        <f>Budget!F37</f>
        <v>21.100567398586879</v>
      </c>
      <c r="D19" s="3"/>
      <c r="E19" s="1190"/>
      <c r="F19" s="1185" t="s">
        <v>1</v>
      </c>
      <c r="G19" s="1186">
        <f t="shared" si="2"/>
        <v>31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44.136315037593988</v>
      </c>
      <c r="Q19" s="1177">
        <f t="shared" si="0"/>
        <v>44.136315037593988</v>
      </c>
      <c r="R19" s="650">
        <v>27.046874608695653</v>
      </c>
      <c r="S19" s="1177">
        <f>IF(Irrigation!$B$2&lt;3,(Q19*$Q$36)+(R19*$R$36),A1_Link!Q19)</f>
        <v>36.152065912294553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10.223205128205128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28.045987165972143</v>
      </c>
      <c r="H20" s="3"/>
      <c r="I20" s="1190"/>
      <c r="J20" s="308" t="s">
        <v>761</v>
      </c>
      <c r="K20" s="173">
        <f>(K3*K4*K5)-K14-K18</f>
        <v>-238.42501406950464</v>
      </c>
      <c r="L20" s="182"/>
      <c r="M20" s="1190"/>
      <c r="N20" s="3"/>
      <c r="O20" s="648" t="s">
        <v>295</v>
      </c>
      <c r="P20" s="1181">
        <f>Budget!F30</f>
        <v>10.223205128205128</v>
      </c>
      <c r="Q20" s="1177">
        <f t="shared" si="0"/>
        <v>10.223205128205128</v>
      </c>
      <c r="R20" s="650">
        <v>1.6916666666666667</v>
      </c>
      <c r="S20" s="1177">
        <f>IF(Irrigation!$B$2&lt;3,(Q20*$Q$36)+(R20*$R$36),A1_Link!Q20)</f>
        <v>6.237239128767885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26.25</v>
      </c>
      <c r="D21" s="3"/>
      <c r="E21" s="1190"/>
      <c r="F21" s="1185" t="s">
        <v>214</v>
      </c>
      <c r="G21" s="1186">
        <f t="shared" si="2"/>
        <v>8.3156625868431053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1.05</v>
      </c>
      <c r="D22" s="3"/>
      <c r="E22" s="1190"/>
      <c r="F22" s="1185" t="s">
        <v>784</v>
      </c>
      <c r="G22" s="1186">
        <f>SUM(G11:G21)*(0.0475/2)</f>
        <v>11.740245032519718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27.04</v>
      </c>
      <c r="L23" s="1251">
        <v>1</v>
      </c>
      <c r="M23" s="1190"/>
      <c r="N23" s="3"/>
      <c r="O23" s="648" t="s">
        <v>214</v>
      </c>
      <c r="P23" s="1181">
        <f>Budget!F33</f>
        <v>25.518462586843107</v>
      </c>
      <c r="Q23" s="1177">
        <f t="shared" si="0"/>
        <v>25.518462586843107</v>
      </c>
      <c r="R23" s="650">
        <v>11.817977438585899</v>
      </c>
      <c r="S23" s="1177">
        <f>IF(Irrigation!$B$2&lt;3,(Q23*$Q$36)+(R23*$R$36),A1_Link!Q23)</f>
        <v>19.117545774132566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25.518462586843107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27.3</v>
      </c>
      <c r="H24" s="3"/>
      <c r="I24" s="1190"/>
      <c r="J24" s="1185" t="s">
        <v>224</v>
      </c>
      <c r="K24" s="1249">
        <f t="shared" ref="K24:K38" si="3">C9*L24</f>
        <v>199.79166666666666</v>
      </c>
      <c r="L24" s="1251">
        <v>1</v>
      </c>
      <c r="M24" s="1190"/>
      <c r="N24" s="3"/>
      <c r="O24" s="648" t="s">
        <v>23</v>
      </c>
      <c r="P24" s="1181">
        <f>Budget!F34</f>
        <v>6</v>
      </c>
      <c r="Q24" s="1177">
        <f t="shared" si="0"/>
        <v>6</v>
      </c>
      <c r="R24" s="650">
        <v>0</v>
      </c>
      <c r="S24" s="1177">
        <f>IF(Irrigation!$B$2&lt;3,(Q24*$Q$36)+(R24*$R$36),A1_Link!Q24)</f>
        <v>3.1967780366413763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6</v>
      </c>
      <c r="AI24" s="3"/>
    </row>
    <row r="25" spans="2:35" ht="13.9" x14ac:dyDescent="0.4">
      <c r="B25" s="648" t="s">
        <v>123</v>
      </c>
      <c r="C25" s="665">
        <f>Budget!F48</f>
        <v>92.901688828778603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62.027450000000009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96.901566768291104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76.5</v>
      </c>
      <c r="L26" s="1251">
        <v>1</v>
      </c>
      <c r="M26" s="1190"/>
      <c r="N26" s="3"/>
      <c r="O26" s="648" t="s">
        <v>1</v>
      </c>
      <c r="P26" s="1181">
        <f>Budget!F36</f>
        <v>31</v>
      </c>
      <c r="Q26" s="1177">
        <f t="shared" si="0"/>
        <v>31</v>
      </c>
      <c r="R26" s="650">
        <v>0</v>
      </c>
      <c r="S26" s="1177">
        <f>IF(Irrigation!$B$2&lt;3,(Q26*$Q$36)+(R26*$R$36),A1_Link!Q26)</f>
        <v>16.516686522647113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21.100567398586879</v>
      </c>
      <c r="AI26" s="650">
        <f>SUM(AH3:AH26)</f>
        <v>501.62947403099605</v>
      </c>
    </row>
    <row r="27" spans="2:35" ht="13.9" x14ac:dyDescent="0.4">
      <c r="B27" s="648" t="s">
        <v>585</v>
      </c>
      <c r="C27" s="664">
        <f>Budget!F50</f>
        <v>4.6450844414389305</v>
      </c>
      <c r="D27" s="3"/>
      <c r="E27" s="1190"/>
      <c r="F27" s="648" t="s">
        <v>997</v>
      </c>
      <c r="G27" s="1186">
        <f>C25+C26</f>
        <v>189.80325559706972</v>
      </c>
      <c r="H27" s="3"/>
      <c r="I27" s="1190"/>
      <c r="J27" s="1185" t="s">
        <v>421</v>
      </c>
      <c r="K27" s="1249">
        <f t="shared" si="3"/>
        <v>0</v>
      </c>
      <c r="L27" s="1251">
        <v>1</v>
      </c>
      <c r="M27" s="1190"/>
      <c r="N27" s="173"/>
      <c r="O27" s="648" t="s">
        <v>263</v>
      </c>
      <c r="P27" s="1181">
        <f>SUM(P6:P26)*((Budget!D37/100)/2)</f>
        <v>21.100567398586879</v>
      </c>
      <c r="Q27" s="1177">
        <f>P27</f>
        <v>21.100567398586879</v>
      </c>
      <c r="R27" s="650">
        <v>10.240138351206717</v>
      </c>
      <c r="S27" s="1177">
        <f>IF(Irrigation!$B$2&lt;3,(Q27*$Q$36)+(R27*$R$36),A1_Link!Q27)</f>
        <v>16.026535192401205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4.6450844414389305</v>
      </c>
      <c r="H28" s="3"/>
      <c r="I28" s="1190"/>
      <c r="J28" s="1185" t="s">
        <v>779</v>
      </c>
      <c r="K28" s="1249">
        <f t="shared" si="3"/>
        <v>11.469025175333289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0</v>
      </c>
      <c r="Q28" s="1177">
        <f>P28</f>
        <v>0</v>
      </c>
      <c r="R28" s="650">
        <v>41.8</v>
      </c>
      <c r="S28" s="1177">
        <f>IF(Irrigation!$B$2&lt;3,(Q28*$Q$36)+(R28*$R$36),A1_Link!Q28)</f>
        <v>19.529113011398408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26.25</v>
      </c>
      <c r="AI28" s="3"/>
    </row>
    <row r="29" spans="2:35" ht="13.9" x14ac:dyDescent="0.4">
      <c r="B29" s="652" t="s">
        <v>777</v>
      </c>
      <c r="C29" s="173">
        <f>SUM(C8:C14)</f>
        <v>420.96445687959391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44.136315037593988</v>
      </c>
      <c r="L29" s="1251">
        <v>1</v>
      </c>
      <c r="M29" s="1190"/>
      <c r="N29" s="3"/>
      <c r="O29" s="648" t="s">
        <v>489</v>
      </c>
      <c r="P29" s="1181">
        <f>Budget!F41</f>
        <v>26.25</v>
      </c>
      <c r="Q29" s="1177">
        <f>P29</f>
        <v>26.25</v>
      </c>
      <c r="R29" s="650">
        <v>55</v>
      </c>
      <c r="S29" s="1177">
        <f>IF(Irrigation!$B$2&lt;3,(Q29*$Q$36)+(R29*$R$36),A1_Link!Q29)</f>
        <v>39.682105241093403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1.05</v>
      </c>
      <c r="AI29" s="3"/>
    </row>
    <row r="30" spans="2:35" ht="13.9" x14ac:dyDescent="0.4">
      <c r="B30" s="652" t="s">
        <v>640</v>
      </c>
      <c r="C30" s="173">
        <f>SUM(C8:C18)</f>
        <v>494.32610663240916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6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1.05</v>
      </c>
      <c r="Q30" s="1177">
        <f>P30</f>
        <v>1.05</v>
      </c>
      <c r="R30" s="650">
        <v>2.2000000000000002</v>
      </c>
      <c r="S30" s="1177">
        <f>IF(Irrigation!$B$2&lt;3,(Q30*$Q$36)+(R30*$R$36),A1_Link!Q30)</f>
        <v>1.5872842096437361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542.72667403099604</v>
      </c>
      <c r="D31" s="3"/>
      <c r="E31" s="1190"/>
      <c r="F31" s="1308">
        <f>SUM(C8:C22)</f>
        <v>542.72667403099604</v>
      </c>
      <c r="G31" s="3"/>
      <c r="H31" s="3"/>
      <c r="I31" s="1190"/>
      <c r="J31" s="1185" t="s">
        <v>1</v>
      </c>
      <c r="K31" s="1249">
        <f t="shared" si="3"/>
        <v>31</v>
      </c>
      <c r="L31" s="1251">
        <v>1</v>
      </c>
      <c r="M31" s="1190"/>
      <c r="N31" s="534"/>
      <c r="O31" s="1309">
        <f>P31+IF(A2_Budget_Look_Up!B7&gt;0,P4,0)</f>
        <v>559.92947403099606</v>
      </c>
      <c r="P31" s="1178">
        <f>SUM(P6:P30)-IF(A2_Budget_Look_Up!B7&gt;0,P4,0)</f>
        <v>559.92947403099606</v>
      </c>
      <c r="Q31" s="1178">
        <f>SUM(Q6:Q30)-IF(A2_Budget_Look_Up!B7&gt;0,Q4,0)</f>
        <v>559.92947403099606</v>
      </c>
      <c r="R31" s="1178">
        <f>SUM(R6:R30)-IF(A2_Budget_Look_Up!B7&gt;0,R4,0)</f>
        <v>540.40385840201589</v>
      </c>
      <c r="S31" s="1179">
        <f>SUM(S6:S30)-IF(A2_Budget_Look_Up!B7&gt;0,S4,0)</f>
        <v>550.80703493445344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92.901688828778603</v>
      </c>
      <c r="AI31" s="3"/>
    </row>
    <row r="32" spans="2:35" ht="13.9" x14ac:dyDescent="0.4">
      <c r="B32" s="173" t="s">
        <v>249</v>
      </c>
      <c r="C32" s="173">
        <f>SUM(C25:C27)</f>
        <v>194.44834003850866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28.045987165972143</v>
      </c>
      <c r="L32" s="1251">
        <v>1</v>
      </c>
      <c r="M32" s="1190"/>
      <c r="N32" s="183"/>
      <c r="O32" s="648" t="s">
        <v>123</v>
      </c>
      <c r="P32" s="1181">
        <f>Budget!F48</f>
        <v>92.901688828778603</v>
      </c>
      <c r="Q32" s="1177">
        <f>P32</f>
        <v>92.901688828778603</v>
      </c>
      <c r="R32" s="650">
        <v>62.654368717931924</v>
      </c>
      <c r="S32" s="1177">
        <f>IF(Irrigation!$B$2&lt;3,(Q32*$Q$36)+(R32*$R$36),A1_Link!Q32)</f>
        <v>78.770030150867868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96.901566768291104</v>
      </c>
      <c r="AI32" s="3"/>
    </row>
    <row r="33" spans="2:35" ht="13.9" x14ac:dyDescent="0.4">
      <c r="B33" s="308" t="s">
        <v>650</v>
      </c>
      <c r="C33" s="173">
        <f>C31+C32</f>
        <v>737.17501406950464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8.3156625868431053</v>
      </c>
      <c r="L33" s="1251">
        <v>1</v>
      </c>
      <c r="M33" s="1190"/>
      <c r="N33" s="182"/>
      <c r="O33" s="648" t="s">
        <v>303</v>
      </c>
      <c r="P33" s="1181">
        <f>Budget!F49</f>
        <v>96.901566768291104</v>
      </c>
      <c r="Q33" s="1177">
        <f>P33</f>
        <v>96.901566768291104</v>
      </c>
      <c r="R33" s="650">
        <v>11.440610711903465</v>
      </c>
      <c r="S33" s="1177">
        <f>IF(Irrigation!$B$2&lt;3,(Q33*$Q$36)+(R33*$R$36),A1_Link!Q33)</f>
        <v>56.973895263809105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4.6450844414389305</v>
      </c>
      <c r="AI33" s="3"/>
    </row>
    <row r="34" spans="2:35" ht="13.9" x14ac:dyDescent="0.4">
      <c r="B34" s="308" t="s">
        <v>761</v>
      </c>
      <c r="C34" s="173">
        <f>(C3*C4*C5)-C23-C33</f>
        <v>-238.42501406950464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21.100567398586879</v>
      </c>
      <c r="L34" s="1251">
        <v>1</v>
      </c>
      <c r="M34" s="1190"/>
      <c r="N34" s="182"/>
      <c r="O34" s="648" t="s">
        <v>491</v>
      </c>
      <c r="P34" s="1181">
        <f>Budget!F50</f>
        <v>4.6450844414389305</v>
      </c>
      <c r="Q34" s="1177">
        <f>P34</f>
        <v>4.6450844414389305</v>
      </c>
      <c r="R34" s="650">
        <v>7.4094979429835393</v>
      </c>
      <c r="S34" s="1177">
        <f>IF(Irrigation!$B$2&lt;3,(Q34*$Q$36)+(R34*$R$36),A1_Link!Q34)</f>
        <v>5.9366285486614245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194.44834003850866</v>
      </c>
      <c r="Q35" s="1178">
        <f>SUM(Q32:Q34)</f>
        <v>194.44834003850866</v>
      </c>
      <c r="R35" s="1178">
        <f>SUM(R32:R34)</f>
        <v>81.504477372818926</v>
      </c>
      <c r="S35" s="1179">
        <f>SUM(S32:S34)</f>
        <v>141.68055396333838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26.25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-224.62781406950472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1.05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92.901688828778603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96.901566768291104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4.6450844414389305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8. Machinery Capital Recovery and Operating Costs, Grain Sorghum, Pivot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 t="str">
        <f>IF(Trips!G9&gt;0,Trips!G9," ")</f>
        <v xml:space="preserve"> </v>
      </c>
      <c r="C10" s="96" t="str">
        <f>IF(Trips!H9&gt;0,Trips!H9," ")</f>
        <v xml:space="preserve"> </v>
      </c>
      <c r="D10" s="96" t="str">
        <f>IF(Trips!I9&gt;0,Trips!I9," ")</f>
        <v xml:space="preserve"> </v>
      </c>
      <c r="E10" s="96" t="str">
        <f>IF(Trips!J9&gt;0,Trips!J9," ")</f>
        <v xml:space="preserve"> </v>
      </c>
      <c r="F10" s="96" t="str">
        <f>IF(Trips!K9&gt;0,Trips!K9," ")</f>
        <v xml:space="preserve"> </v>
      </c>
      <c r="G10" s="528" t="str">
        <f>IF(Machine!B19&gt;0,Machine!B19," ")</f>
        <v xml:space="preserve"> </v>
      </c>
      <c r="H10" s="97" t="str">
        <f>IF(Machine!B19&gt;0,Machine!D19," ")</f>
        <v xml:space="preserve"> 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48.607701685630119</v>
      </c>
      <c r="C60" s="96">
        <f>IF(Trips!H59&gt;0,Trips!H59," ")</f>
        <v>9.0865286271162944</v>
      </c>
      <c r="D60" s="96">
        <f>IF(Trips!I59&gt;0,Trips!I59," ")</f>
        <v>3.9485510204081633</v>
      </c>
      <c r="E60" s="96">
        <f>IF(Trips!J59&gt;0,Trips!J59," ")</f>
        <v>1.8476969387755104</v>
      </c>
      <c r="F60" s="96">
        <f>IF(Trips!K59&gt;0,Trips!K59," ")</f>
        <v>63.490478271930087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>
        <f>IF(Trips!G63&gt;0,Trips!G63," ")</f>
        <v>1.9140515819375326</v>
      </c>
      <c r="C64" s="96">
        <f>IF(Trips!H63&gt;0,Trips!H63," ")</f>
        <v>1.2232506599167985</v>
      </c>
      <c r="D64" s="118" t="str">
        <f>IF(Machine!B73&gt;0,"NA"," ")</f>
        <v>NA</v>
      </c>
      <c r="E64" s="118" t="str">
        <f>IF(Machine!B73&gt;0,"NA"," ")</f>
        <v>NA</v>
      </c>
      <c r="F64" s="96">
        <f>IF(Trips!K63&gt;0,Trips!K63," ")</f>
        <v>3.1373022418543313</v>
      </c>
      <c r="G64" s="528">
        <f>IF(Machine!B73&gt;0,Machine!B73," ")</f>
        <v>1</v>
      </c>
      <c r="H64" s="97">
        <f>IF(Machine!B73&gt;0,Machine!D73," ")</f>
        <v>30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11.515529152064808</v>
      </c>
      <c r="C65" s="96">
        <f>IF(Trips!H64&gt;0,Trips!H64," ")</f>
        <v>2.257319758747407</v>
      </c>
      <c r="D65" s="96">
        <f>IF(Trips!I64&gt;0,Trips!I64," ")</f>
        <v>2.3691306122448981</v>
      </c>
      <c r="E65" s="96">
        <f>IF(Trips!J64&gt;0,Trips!J64," ")</f>
        <v>1.8476969387755104</v>
      </c>
      <c r="F65" s="96">
        <f>IF(Trips!K64&gt;0,Trips!K64," ")</f>
        <v>17.989676461832623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8. Machinery Capital Recovery and Operating Costs, Grain Sorghum, Pivot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0</v>
      </c>
      <c r="T19" s="89">
        <f t="shared" ref="T19:T51" si="14">J19*O19*S19</f>
        <v>0</v>
      </c>
      <c r="U19" s="89">
        <f t="shared" si="6"/>
        <v>75.989555598878766</v>
      </c>
      <c r="V19" s="89">
        <f t="shared" ref="V19:V51" si="15">U19*O19*S19</f>
        <v>0</v>
      </c>
      <c r="W19" s="1144">
        <f t="shared" si="7"/>
        <v>0</v>
      </c>
      <c r="X19" s="1144">
        <f t="shared" si="2"/>
        <v>0</v>
      </c>
      <c r="Y19" s="1144">
        <f t="shared" si="2"/>
        <v>0</v>
      </c>
      <c r="Z19" s="1136">
        <f t="shared" si="8"/>
        <v>0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</v>
      </c>
      <c r="AG19" s="229">
        <f t="shared" ref="AG19:AG51" si="18">0.044*R19</f>
        <v>10.119999999999999</v>
      </c>
      <c r="AH19" s="89">
        <f t="shared" ref="AH19:AH51" si="19">AG19*O19*$AI$11*S19</f>
        <v>0</v>
      </c>
      <c r="AI19" s="89">
        <f t="shared" ref="AI19:AI51" si="20">AH19*0.1</f>
        <v>0</v>
      </c>
      <c r="AJ19" s="89">
        <f t="shared" si="10"/>
        <v>0</v>
      </c>
      <c r="AK19" s="227">
        <f>EquipmentSpecs!L19</f>
        <v>1.04</v>
      </c>
      <c r="AL19" s="226">
        <f t="shared" ref="AL19:AL51" si="21">O19*S19*AK19</f>
        <v>0</v>
      </c>
      <c r="AM19" s="230">
        <f t="shared" ref="AM19:AM51" si="22">AL19*$AL$11</f>
        <v>0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11.335974259446349</v>
      </c>
      <c r="U56" s="17"/>
      <c r="V56" s="257">
        <f>SUM(V14:V54)</f>
        <v>15.533489502344167</v>
      </c>
      <c r="W56" s="1147"/>
      <c r="X56" s="1147">
        <f>Z56-(T56+V56)</f>
        <v>3.9949426473556251</v>
      </c>
      <c r="Y56" s="1148">
        <f>(Z56-(T56+V56))/(T56+V56)</f>
        <v>0.14867965668286234</v>
      </c>
      <c r="Z56" s="257">
        <f>SUM(Z14:Z54)</f>
        <v>30.864406409146142</v>
      </c>
      <c r="AA56" s="17"/>
      <c r="AB56" s="17"/>
      <c r="AC56" s="257">
        <f>SUM(AC14:AC54)</f>
        <v>3.8339222981138232</v>
      </c>
      <c r="AD56" s="258"/>
      <c r="AE56" s="17"/>
      <c r="AF56" s="257">
        <f>SUM(AF14:AF54)</f>
        <v>1.4217606938726908</v>
      </c>
      <c r="AG56" s="17"/>
      <c r="AH56" s="257">
        <f>SUM(AH14:AH54)</f>
        <v>5.1513435426802294</v>
      </c>
      <c r="AI56" s="257">
        <f>SUM(AI14:AI54)</f>
        <v>0.5151343542680229</v>
      </c>
      <c r="AJ56" s="257"/>
      <c r="AK56" s="17"/>
      <c r="AL56" s="259">
        <f>SUM(AL14:AL54)</f>
        <v>0.23154880035684988</v>
      </c>
      <c r="AM56" s="260">
        <f>SUM(AM14:AM54)</f>
        <v>3.4338687092920841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3.5</v>
      </c>
      <c r="M69" s="224">
        <f>EquipmentSpecs!C69</f>
        <v>0.7</v>
      </c>
      <c r="N69" s="89">
        <f t="shared" si="31"/>
        <v>8.9090909090909083</v>
      </c>
      <c r="O69" s="226">
        <f t="shared" si="32"/>
        <v>0.11224489795918369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42.935926957738964</v>
      </c>
      <c r="U69" s="269"/>
      <c r="V69" s="269"/>
      <c r="W69" s="1144">
        <f t="shared" si="34"/>
        <v>1.9423886054421771</v>
      </c>
      <c r="X69" s="1144">
        <f t="shared" si="34"/>
        <v>1.9423886054421771</v>
      </c>
      <c r="Y69" s="1144">
        <f t="shared" si="34"/>
        <v>1.7869975170068029</v>
      </c>
      <c r="Z69" s="1136">
        <f t="shared" si="35"/>
        <v>48.607701685630119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9.0865286271162944</v>
      </c>
      <c r="AD69" s="271"/>
      <c r="AE69" s="272"/>
      <c r="AF69" s="269"/>
      <c r="AG69" s="229">
        <f t="shared" si="36"/>
        <v>14.299999999999999</v>
      </c>
      <c r="AH69" s="89">
        <f t="shared" si="37"/>
        <v>3.9485510204081633</v>
      </c>
      <c r="AI69" s="89">
        <f t="shared" si="38"/>
        <v>0.39485510204081636</v>
      </c>
      <c r="AJ69" s="89">
        <f t="shared" si="39"/>
        <v>3.9485510204081633</v>
      </c>
      <c r="AK69" s="227">
        <f>EquipmentSpecs!L69</f>
        <v>1.1100000000000001</v>
      </c>
      <c r="AL69" s="226">
        <f t="shared" si="40"/>
        <v>0.1245918367346939</v>
      </c>
      <c r="AM69" s="230">
        <f t="shared" si="41"/>
        <v>1.8476969387755104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1</v>
      </c>
      <c r="T73" s="89">
        <f t="shared" si="33"/>
        <v>1.6907110615293692</v>
      </c>
      <c r="U73" s="269"/>
      <c r="V73" s="269"/>
      <c r="W73" s="1144">
        <f t="shared" si="34"/>
        <v>7.6486479591836756E-2</v>
      </c>
      <c r="X73" s="1144">
        <f t="shared" si="34"/>
        <v>7.6486479591836756E-2</v>
      </c>
      <c r="Y73" s="1144">
        <f t="shared" si="34"/>
        <v>7.0367561224489811E-2</v>
      </c>
      <c r="Z73" s="1136">
        <f t="shared" si="35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3.5</v>
      </c>
      <c r="M74" s="233">
        <f>EquipmentSpecs!C74</f>
        <v>0.7</v>
      </c>
      <c r="N74" s="235">
        <f t="shared" si="31"/>
        <v>8.9090909090909083</v>
      </c>
      <c r="O74" s="236">
        <f t="shared" si="32"/>
        <v>0.11224489795918369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3.155290210669544</v>
      </c>
      <c r="U74" s="235">
        <f>(((P74-(AQ74*P74))*AS74)+(AR74*(AQ74*P74)))/AO74</f>
        <v>61.186395417279016</v>
      </c>
      <c r="V74" s="235">
        <f>U74*O74*S74</f>
        <v>6.8678607101027476</v>
      </c>
      <c r="W74" s="1146">
        <f t="shared" si="34"/>
        <v>0.51108843537414972</v>
      </c>
      <c r="X74" s="1146">
        <f t="shared" si="34"/>
        <v>0.51108843537414972</v>
      </c>
      <c r="Y74" s="1146">
        <f t="shared" si="34"/>
        <v>0.47020136054421779</v>
      </c>
      <c r="Z74" s="1139">
        <f t="shared" si="35"/>
        <v>11.515529152064808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1.6195577179310805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0.63776204081632659</v>
      </c>
      <c r="AG74" s="240">
        <f>0.044*R74</f>
        <v>8.58</v>
      </c>
      <c r="AH74" s="235">
        <f t="shared" ref="AH74:AH81" si="42">AG74*O74*$AJ$11*S74</f>
        <v>2.3691306122448981</v>
      </c>
      <c r="AI74" s="235">
        <f>AH74*0.1</f>
        <v>0.23691306122448982</v>
      </c>
      <c r="AJ74" s="235">
        <f>AH74</f>
        <v>2.3691306122448981</v>
      </c>
      <c r="AK74" s="459">
        <f>EquipmentSpecs!L74</f>
        <v>1.1100000000000001</v>
      </c>
      <c r="AL74" s="236">
        <f t="shared" si="40"/>
        <v>0.1245918367346939</v>
      </c>
      <c r="AM74" s="241">
        <f t="shared" si="41"/>
        <v>1.8476969387755104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47.781928229937876</v>
      </c>
      <c r="U83" s="17"/>
      <c r="V83" s="257">
        <f>SUM(V64:V81)</f>
        <v>6.8678607101027476</v>
      </c>
      <c r="W83" s="1147"/>
      <c r="X83" s="1147">
        <f>Z83-(T83+V83)</f>
        <v>7.3874934795918392</v>
      </c>
      <c r="Y83" s="1148">
        <f>(Z83-(T83+V83))/(T83+V83)</f>
        <v>0.13517881080377231</v>
      </c>
      <c r="Z83" s="257">
        <f>SUM(Z64:Z81)</f>
        <v>62.037282419632461</v>
      </c>
      <c r="AA83" s="17"/>
      <c r="AB83" s="17"/>
      <c r="AC83" s="257">
        <f>SUM(AC64:AC81)</f>
        <v>11.929337004964173</v>
      </c>
      <c r="AD83" s="258"/>
      <c r="AE83" s="17"/>
      <c r="AF83" s="257">
        <f>SUM(AF64:AF81)</f>
        <v>0.63776204081632659</v>
      </c>
      <c r="AG83" s="17"/>
      <c r="AH83" s="257">
        <f>SUM(AH64:AH81)</f>
        <v>6.3176816326530609</v>
      </c>
      <c r="AI83" s="257">
        <f>SUM(AI64:AI81)</f>
        <v>0.63176816326530616</v>
      </c>
      <c r="AJ83" s="257"/>
      <c r="AK83" s="17"/>
      <c r="AL83" s="259">
        <f>SUM(AL64:AL81)</f>
        <v>0.2491836734693878</v>
      </c>
      <c r="AM83" s="257">
        <f>SUM(AM64:AM81)</f>
        <v>3.6953938775510209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105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559.92947403099606</v>
      </c>
      <c r="C4" s="121">
        <f>SummaryReport_Verification!B32</f>
        <v>5.3326616574380576</v>
      </c>
      <c r="D4" s="121">
        <f>SummaryReport_Verification!B28</f>
        <v>-61.179474030996062</v>
      </c>
      <c r="E4" s="121">
        <f>SummaryReport_Verification!B29</f>
        <v>194.44834003850866</v>
      </c>
      <c r="F4" s="121">
        <f>SummaryReport_Verification!B30</f>
        <v>754.37781406950467</v>
      </c>
      <c r="G4" s="121">
        <f>SummaryReport_Verification!B31</f>
        <v>-255.62781406950467</v>
      </c>
      <c r="H4" s="121">
        <f>SummaryReport_Verification!B33</f>
        <v>7.1845506101857586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559.92947403099606</v>
      </c>
      <c r="C9" s="122">
        <f t="shared" si="0"/>
        <v>5.3326616574380576</v>
      </c>
      <c r="D9" s="122">
        <f t="shared" si="0"/>
        <v>-61.179474030996062</v>
      </c>
      <c r="E9" s="122">
        <f t="shared" si="0"/>
        <v>194.44834003850866</v>
      </c>
      <c r="F9" s="122">
        <f t="shared" si="0"/>
        <v>754.37781406950467</v>
      </c>
      <c r="G9" s="122">
        <f t="shared" si="0"/>
        <v>-255.62781406950467</v>
      </c>
      <c r="H9" s="122">
        <f t="shared" si="0"/>
        <v>7.1845506101857586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105</v>
      </c>
      <c r="C4" s="113"/>
      <c r="D4" s="113"/>
      <c r="E4" s="113"/>
      <c r="F4" s="113"/>
      <c r="G4" s="163">
        <f>AVERAGE(B4:F4)</f>
        <v>105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4.75</v>
      </c>
      <c r="C5" s="96"/>
      <c r="D5" s="96"/>
      <c r="E5" s="96"/>
      <c r="F5" s="96"/>
      <c r="G5" s="96">
        <f>AVERAGE(B5:F5)</f>
        <v>4.75</v>
      </c>
    </row>
    <row r="6" spans="1:8" ht="13.5" x14ac:dyDescent="0.35">
      <c r="A6" s="107" t="s">
        <v>231</v>
      </c>
      <c r="B6" s="114">
        <f>Budget!F3</f>
        <v>498.75</v>
      </c>
      <c r="C6" s="114"/>
      <c r="D6" s="114"/>
      <c r="E6" s="114"/>
      <c r="F6" s="114"/>
      <c r="G6" s="114">
        <f>AVERAGE(B6:F6)</f>
        <v>498.75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27.04</v>
      </c>
      <c r="C9" s="96"/>
      <c r="D9" s="96"/>
      <c r="E9" s="96"/>
      <c r="F9" s="96"/>
      <c r="G9" s="96">
        <f t="shared" ref="G9:G28" si="0">AVERAGE(B9:F9)</f>
        <v>27.04</v>
      </c>
      <c r="H9" s="1898">
        <f>G9/G$23</f>
        <v>5.2861137756641516E-2</v>
      </c>
    </row>
    <row r="10" spans="1:8" ht="13.9" x14ac:dyDescent="0.4">
      <c r="A10" s="91" t="s">
        <v>224</v>
      </c>
      <c r="B10" s="96">
        <f>SUM(Budget!F7:F13)</f>
        <v>199.79166666666666</v>
      </c>
      <c r="C10" s="96"/>
      <c r="D10" s="96"/>
      <c r="E10" s="96"/>
      <c r="F10" s="96"/>
      <c r="G10" s="96">
        <f t="shared" si="0"/>
        <v>199.79166666666666</v>
      </c>
      <c r="H10" s="1898">
        <f>G10/G$23</f>
        <v>0.39057747094288719</v>
      </c>
    </row>
    <row r="11" spans="1:8" ht="13.9" x14ac:dyDescent="0.4">
      <c r="A11" s="91" t="str">
        <f>Budget!A14</f>
        <v>Herbicide</v>
      </c>
      <c r="B11" s="96">
        <f>Budget!F14</f>
        <v>32.388250000000006</v>
      </c>
      <c r="C11" s="96"/>
      <c r="D11" s="96"/>
      <c r="E11" s="96"/>
      <c r="F11" s="96"/>
      <c r="G11" s="96">
        <f t="shared" si="0"/>
        <v>32.388250000000006</v>
      </c>
      <c r="H11" s="1898">
        <f>SUM(G11:G14)/$G$23</f>
        <v>0.12125893413991104</v>
      </c>
    </row>
    <row r="12" spans="1:8" ht="15" customHeight="1" x14ac:dyDescent="0.4">
      <c r="A12" s="91" t="str">
        <f>Budget!A15</f>
        <v>Insecticide</v>
      </c>
      <c r="B12" s="96">
        <f>Budget!F15</f>
        <v>29.639200000000002</v>
      </c>
      <c r="C12" s="96"/>
      <c r="D12" s="96"/>
      <c r="E12" s="96"/>
      <c r="F12" s="96"/>
      <c r="G12" s="96">
        <f t="shared" si="0"/>
        <v>29.639200000000002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76.5</v>
      </c>
      <c r="C15" s="96"/>
      <c r="D15" s="96"/>
      <c r="E15" s="96"/>
      <c r="F15" s="96"/>
      <c r="G15" s="96">
        <f t="shared" si="0"/>
        <v>76.5</v>
      </c>
    </row>
    <row r="16" spans="1:8" ht="13.9" x14ac:dyDescent="0.4">
      <c r="A16" s="91" t="s">
        <v>421</v>
      </c>
      <c r="B16" s="96">
        <f>Budget!F31+Budget!F32</f>
        <v>0</v>
      </c>
      <c r="C16" s="96"/>
      <c r="D16" s="96"/>
      <c r="E16" s="96"/>
      <c r="F16" s="96"/>
      <c r="G16" s="96">
        <f>AVERAGE(B16:F16)</f>
        <v>0</v>
      </c>
    </row>
    <row r="17" spans="1:7" ht="13.9" x14ac:dyDescent="0.4">
      <c r="A17" s="91" t="s">
        <v>462</v>
      </c>
      <c r="B17" s="96">
        <f>Budget!F25+Budget!F27</f>
        <v>11.469025175333289</v>
      </c>
      <c r="C17" s="96"/>
      <c r="D17" s="96"/>
      <c r="E17" s="96"/>
      <c r="F17" s="96"/>
      <c r="G17" s="96">
        <f t="shared" si="0"/>
        <v>11.469025175333289</v>
      </c>
    </row>
    <row r="18" spans="1:7" ht="13.9" x14ac:dyDescent="0.4">
      <c r="A18" s="91" t="s">
        <v>227</v>
      </c>
      <c r="B18" s="96">
        <f>Budget!F29</f>
        <v>44.136315037593988</v>
      </c>
      <c r="C18" s="96"/>
      <c r="D18" s="96"/>
      <c r="E18" s="96"/>
      <c r="F18" s="96"/>
      <c r="G18" s="96">
        <f>AVERAGE(B18:F18)</f>
        <v>44.136315037593988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420.96445687959397</v>
      </c>
      <c r="C19" s="108"/>
      <c r="D19" s="108"/>
      <c r="E19" s="108"/>
      <c r="F19" s="108"/>
      <c r="G19" s="108">
        <f>AVERAGE(B19:F19)</f>
        <v>420.96445687959397</v>
      </c>
    </row>
    <row r="20" spans="1:7" ht="13.9" x14ac:dyDescent="0.4">
      <c r="A20" s="91" t="s">
        <v>778</v>
      </c>
      <c r="B20" s="96">
        <f>SUM(Budget!F34:F36)</f>
        <v>37</v>
      </c>
      <c r="C20" s="108"/>
      <c r="D20" s="108"/>
      <c r="E20" s="108"/>
      <c r="F20" s="108"/>
      <c r="G20" s="96">
        <f t="shared" si="0"/>
        <v>37</v>
      </c>
    </row>
    <row r="21" spans="1:7" ht="15.4" x14ac:dyDescent="0.4">
      <c r="A21" s="91" t="s">
        <v>754</v>
      </c>
      <c r="B21" s="96">
        <f>Budget!F26+Budget!F28+Budget!F30</f>
        <v>28.045987165972143</v>
      </c>
      <c r="C21" s="96"/>
      <c r="D21" s="96"/>
      <c r="E21" s="96"/>
      <c r="F21" s="96"/>
      <c r="G21" s="96">
        <f t="shared" si="0"/>
        <v>28.045987165972143</v>
      </c>
    </row>
    <row r="22" spans="1:7" ht="13.9" x14ac:dyDescent="0.4">
      <c r="A22" s="91" t="s">
        <v>214</v>
      </c>
      <c r="B22" s="96">
        <f>Budget!F33</f>
        <v>25.518462586843107</v>
      </c>
      <c r="C22" s="96"/>
      <c r="D22" s="96"/>
      <c r="E22" s="96"/>
      <c r="F22" s="96"/>
      <c r="G22" s="96">
        <f t="shared" si="0"/>
        <v>25.518462586843107</v>
      </c>
    </row>
    <row r="23" spans="1:7" ht="13.9" x14ac:dyDescent="0.4">
      <c r="A23" s="107" t="s">
        <v>640</v>
      </c>
      <c r="B23" s="108">
        <f>SUM(Budget!F6:F18)+SUM(Budget!F20:F23)+SUM(Budget!F25:F36)</f>
        <v>511.52890663240919</v>
      </c>
      <c r="C23" s="96"/>
      <c r="D23" s="96"/>
      <c r="E23" s="96"/>
      <c r="F23" s="96"/>
      <c r="G23" s="108">
        <f t="shared" si="0"/>
        <v>511.52890663240919</v>
      </c>
    </row>
    <row r="24" spans="1:7" ht="13.9" x14ac:dyDescent="0.4">
      <c r="A24" s="91" t="s">
        <v>28</v>
      </c>
      <c r="B24" s="96">
        <f>Budget!F37</f>
        <v>21.100567398586879</v>
      </c>
      <c r="C24" s="96"/>
      <c r="D24" s="96"/>
      <c r="E24" s="96"/>
      <c r="F24" s="96"/>
      <c r="G24" s="96">
        <f t="shared" si="0"/>
        <v>21.100567398586879</v>
      </c>
    </row>
    <row r="25" spans="1:7" ht="15" customHeight="1" x14ac:dyDescent="0.4">
      <c r="A25" s="91" t="s">
        <v>228</v>
      </c>
      <c r="B25" s="96">
        <f>SUM(Budget!F39:F43)</f>
        <v>27.3</v>
      </c>
      <c r="C25" s="96"/>
      <c r="D25" s="96"/>
      <c r="E25" s="96"/>
      <c r="F25" s="96"/>
      <c r="G25" s="96">
        <f t="shared" si="0"/>
        <v>27.3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559.92947403099606</v>
      </c>
      <c r="C27" s="108"/>
      <c r="D27" s="108"/>
      <c r="E27" s="108"/>
      <c r="F27" s="108"/>
      <c r="G27" s="108">
        <f t="shared" si="0"/>
        <v>559.92947403099606</v>
      </c>
    </row>
    <row r="28" spans="1:7" ht="13.5" x14ac:dyDescent="0.35">
      <c r="A28" s="107" t="s">
        <v>233</v>
      </c>
      <c r="B28" s="114">
        <f>B6-B27</f>
        <v>-61.179474030996062</v>
      </c>
      <c r="C28" s="114"/>
      <c r="D28" s="114"/>
      <c r="E28" s="114"/>
      <c r="F28" s="114"/>
      <c r="G28" s="114">
        <f t="shared" si="0"/>
        <v>-61.179474030996062</v>
      </c>
    </row>
    <row r="29" spans="1:7" ht="13.9" x14ac:dyDescent="0.4">
      <c r="A29" s="91" t="s">
        <v>230</v>
      </c>
      <c r="B29" s="96">
        <f>Budget!F51</f>
        <v>194.44834003850866</v>
      </c>
      <c r="C29" s="96"/>
      <c r="D29" s="96"/>
      <c r="E29" s="96"/>
      <c r="F29" s="96"/>
      <c r="G29" s="96">
        <f>AVERAGE(B29:F29)</f>
        <v>194.44834003850866</v>
      </c>
    </row>
    <row r="30" spans="1:7" ht="15.4" x14ac:dyDescent="0.35">
      <c r="A30" s="107" t="s">
        <v>753</v>
      </c>
      <c r="B30" s="108">
        <f>B27+B29</f>
        <v>754.37781406950467</v>
      </c>
      <c r="C30" s="108"/>
      <c r="D30" s="108"/>
      <c r="E30" s="108"/>
      <c r="F30" s="108"/>
      <c r="G30" s="108">
        <f>AVERAGE(B30:F30)</f>
        <v>754.37781406950467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-255.62781406950467</v>
      </c>
      <c r="C31" s="114"/>
      <c r="D31" s="114"/>
      <c r="E31" s="114"/>
      <c r="F31" s="114"/>
      <c r="G31" s="114">
        <f>AVERAGE(B31:F31)</f>
        <v>-255.62781406950467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5.3326616574380576</v>
      </c>
      <c r="C32" s="96"/>
      <c r="D32" s="96"/>
      <c r="E32" s="96"/>
      <c r="F32" s="96"/>
      <c r="G32" s="96">
        <f>AVERAGE(B32:F32)</f>
        <v>5.3326616574380576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7.1845506101857586</v>
      </c>
      <c r="C33" s="98"/>
      <c r="D33" s="98"/>
      <c r="E33" s="98"/>
      <c r="F33" s="98"/>
      <c r="G33" s="98">
        <f>AVERAGE(B33:F33)</f>
        <v>7.1845506101857586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8. 2026 Grain Sorghum Enterprise Budget, Center Pivot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105</v>
      </c>
      <c r="E3" s="307">
        <f>Budget!E3</f>
        <v>4.75</v>
      </c>
      <c r="F3" s="307">
        <f>Budget!F3</f>
        <v>498.75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6.5</v>
      </c>
      <c r="E6" s="307">
        <f>Budget!E6</f>
        <v>4.16</v>
      </c>
      <c r="F6" s="307">
        <f>Budget!F6</f>
        <v>27.04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350</v>
      </c>
      <c r="E7" s="307">
        <f>Budget!E7</f>
        <v>0.28083333333333332</v>
      </c>
      <c r="F7" s="307">
        <f>Budget!F7</f>
        <v>98.291666666666657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150</v>
      </c>
      <c r="E8" s="307">
        <f>Budget!E8</f>
        <v>0.40500000000000003</v>
      </c>
      <c r="F8" s="307">
        <f>Budget!F8</f>
        <v>60.750000000000007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120</v>
      </c>
      <c r="E9" s="307">
        <f>Budget!E9</f>
        <v>0.22</v>
      </c>
      <c r="F9" s="307">
        <f>Budget!F9</f>
        <v>26.4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32.388250000000006</v>
      </c>
      <c r="F13" s="307">
        <f>Budget!F14</f>
        <v>32.388250000000006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29.639200000000002</v>
      </c>
      <c r="F14" s="307">
        <f>Budget!F15</f>
        <v>29.639200000000002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7</v>
      </c>
      <c r="E19" s="307">
        <f>Budget!E20</f>
        <v>9.5</v>
      </c>
      <c r="F19" s="307">
        <f>Budget!F20</f>
        <v>66.5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1</v>
      </c>
      <c r="E20" s="307">
        <f>Budget!E21</f>
        <v>10</v>
      </c>
      <c r="F20" s="307">
        <f>Budget!F21</f>
        <v>10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2.0940420905204187</v>
      </c>
      <c r="E24" s="307">
        <f>Budget!E25</f>
        <v>2.46</v>
      </c>
      <c r="F24" s="307">
        <f>Budget!F25</f>
        <v>5.1513435426802294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5.2556829919865145</v>
      </c>
      <c r="F25" s="307">
        <f>Budget!F26</f>
        <v>5.2556829919865145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2.5681632653061222</v>
      </c>
      <c r="E26" s="307">
        <f>Budget!E27</f>
        <v>2.46</v>
      </c>
      <c r="F26" s="307">
        <f>Budget!F27</f>
        <v>6.31768163265306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12.5670990457805</v>
      </c>
      <c r="F27" s="307">
        <f>Budget!F28</f>
        <v>12.5670990457805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10</v>
      </c>
      <c r="E28" s="307">
        <f>Budget!E29</f>
        <v>4.4136315037593992</v>
      </c>
      <c r="F28" s="307">
        <f>Budget!F29</f>
        <v>44.136315037593988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10</v>
      </c>
      <c r="E29" s="307">
        <f>Budget!E30</f>
        <v>1.0223205128205128</v>
      </c>
      <c r="F29" s="307">
        <f>Budget!F30</f>
        <v>10.223205128205128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Other Inputs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1.7207324738262377</v>
      </c>
      <c r="E32" s="307">
        <f>Budget!E33</f>
        <v>14.83</v>
      </c>
      <c r="F32" s="307">
        <f>Budget!F33</f>
        <v>25.518462586843107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6</v>
      </c>
      <c r="F33" s="307">
        <f>Budget!F34</f>
        <v>6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31</v>
      </c>
      <c r="F35" s="307">
        <f>Budget!F36</f>
        <v>31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511.52890663240919</v>
      </c>
      <c r="F36" s="307">
        <f>Budget!F37</f>
        <v>21.100567398586879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105</v>
      </c>
      <c r="E39" s="307">
        <f>Budget!E40</f>
        <v>0</v>
      </c>
      <c r="F39" s="307">
        <f>Budget!F40</f>
        <v>0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105</v>
      </c>
      <c r="E40" s="307">
        <f>Budget!E41</f>
        <v>0.25</v>
      </c>
      <c r="F40" s="307">
        <f>Budget!F41</f>
        <v>26.25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105</v>
      </c>
      <c r="E41" s="307">
        <f>Budget!E42</f>
        <v>0.01</v>
      </c>
      <c r="F41" s="307">
        <f>Budget!F42</f>
        <v>1.05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545.57947403099604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-46.829474030996039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92.901688828778603</v>
      </c>
      <c r="F47" s="311">
        <f>Budget!F48</f>
        <v>92.901688828778603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96.901566768291104</v>
      </c>
      <c r="F48" s="311">
        <f>Budget!F49</f>
        <v>96.901566768291104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4.6450844414389305</v>
      </c>
      <c r="F49" s="311">
        <f>Budget!F50</f>
        <v>4.6450844414389305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194.44834003850866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740.02781406950476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-241.27781406950476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Grain Sorghum, Pivot</v>
      </c>
      <c r="H1" s="1246"/>
      <c r="I1" s="1442"/>
    </row>
    <row r="2" spans="1:9" ht="15" customHeight="1" x14ac:dyDescent="0.4">
      <c r="A2" s="1806" t="str">
        <f>Print_Summary!G1</f>
        <v>Grain Sorghum, Pivot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500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255764.4533162046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500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105</v>
      </c>
      <c r="C6" s="1820"/>
      <c r="D6" s="1821">
        <f>B6*Print_Summary!$I$2</f>
        <v>52500</v>
      </c>
      <c r="E6" s="1097" t="s">
        <v>797</v>
      </c>
      <c r="F6" s="1541">
        <f>B6*0.9</f>
        <v>94.5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4.75</v>
      </c>
      <c r="C7" s="1097"/>
      <c r="D7" s="1823">
        <f>B7</f>
        <v>4.75</v>
      </c>
      <c r="E7" s="1097" t="s">
        <v>791</v>
      </c>
      <c r="F7" s="1542">
        <f>B7</f>
        <v>4.75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498.75</v>
      </c>
      <c r="C9" s="1826"/>
      <c r="D9" s="1827">
        <f>B9*Print_Summary!$I$2</f>
        <v>249375</v>
      </c>
      <c r="E9" s="667" t="s">
        <v>13</v>
      </c>
      <c r="F9" s="1828">
        <f>F6*F7</f>
        <v>448.875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27.04</v>
      </c>
      <c r="C13" s="1835">
        <f>B13/$B$6</f>
        <v>0.25752380952380949</v>
      </c>
      <c r="D13" s="1821">
        <f>B13*Print_Summary!$I$2</f>
        <v>13520</v>
      </c>
      <c r="E13" s="4"/>
      <c r="F13" s="1824">
        <f>B13/$F$9</f>
        <v>6.0239487607908655E-2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199.79166666666666</v>
      </c>
      <c r="C14" s="1835">
        <f t="shared" ref="C14:C34" si="0">B14/$B$6</f>
        <v>1.9027777777777777</v>
      </c>
      <c r="D14" s="1821">
        <f>B14*Print_Summary!$I$2</f>
        <v>99895.833333333328</v>
      </c>
      <c r="E14" s="4"/>
      <c r="F14" s="1824">
        <f t="shared" ref="F14:F19" si="1">B14/$F$9</f>
        <v>0.44509421702404156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62.027450000000009</v>
      </c>
      <c r="C15" s="1835">
        <f t="shared" si="0"/>
        <v>0.59073761904761912</v>
      </c>
      <c r="D15" s="1821">
        <f>B15*Print_Summary!$I$2</f>
        <v>31013.725000000006</v>
      </c>
      <c r="E15" s="4"/>
      <c r="F15" s="1824">
        <f t="shared" si="1"/>
        <v>0.13818423837371208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76.5</v>
      </c>
      <c r="C16" s="1835">
        <f t="shared" si="0"/>
        <v>0.72857142857142854</v>
      </c>
      <c r="D16" s="1821">
        <f>B16*Print_Summary!$I$2</f>
        <v>38250</v>
      </c>
      <c r="E16" s="4"/>
      <c r="F16" s="1824">
        <f t="shared" si="1"/>
        <v>0.17042606516290726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11.469025175333289</v>
      </c>
      <c r="C17" s="1835">
        <f t="shared" si="0"/>
        <v>0.10922881119365038</v>
      </c>
      <c r="D17" s="1821">
        <f>B17*Print_Summary!$I$2</f>
        <v>5734.5125876666443</v>
      </c>
      <c r="E17" s="4"/>
      <c r="F17" s="1824">
        <f t="shared" si="1"/>
        <v>2.5550599109625819E-2</v>
      </c>
    </row>
    <row r="18" spans="1:6" ht="13.9" x14ac:dyDescent="0.4">
      <c r="A18" s="1834" t="s">
        <v>227</v>
      </c>
      <c r="B18" s="1835">
        <f>Budget!F29</f>
        <v>44.136315037593988</v>
      </c>
      <c r="C18" s="1835">
        <f t="shared" si="0"/>
        <v>0.42034585750089515</v>
      </c>
      <c r="D18" s="1821">
        <f>B18*Print_Summary!$I$2</f>
        <v>22068.157518796994</v>
      </c>
      <c r="E18" s="4"/>
      <c r="F18" s="1824">
        <f t="shared" si="1"/>
        <v>9.8326516374478395E-2</v>
      </c>
    </row>
    <row r="19" spans="1:6" ht="13.9" x14ac:dyDescent="0.4">
      <c r="A19" s="1834" t="s">
        <v>421</v>
      </c>
      <c r="B19" s="1835">
        <f>Budget!F31+Budget!F32</f>
        <v>0</v>
      </c>
      <c r="C19" s="1835">
        <f t="shared" si="0"/>
        <v>0</v>
      </c>
      <c r="D19" s="1821">
        <f>B19*Print_Summary!$I$2</f>
        <v>0</v>
      </c>
      <c r="E19" s="4"/>
      <c r="F19" s="1824">
        <f t="shared" si="1"/>
        <v>0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420.96445687959397</v>
      </c>
      <c r="C20" s="1836">
        <f t="shared" si="0"/>
        <v>4.0091853036151806</v>
      </c>
      <c r="D20" s="1827">
        <f>B20*Print_Summary!$I$2</f>
        <v>210482.22843979698</v>
      </c>
      <c r="E20" s="308"/>
      <c r="F20" s="1837">
        <f t="shared" ref="F20:F28" si="2">B20/$F$9</f>
        <v>0.93782112365267378</v>
      </c>
    </row>
    <row r="21" spans="1:6" ht="13.9" x14ac:dyDescent="0.4">
      <c r="A21" s="1834" t="s">
        <v>778</v>
      </c>
      <c r="B21" s="1835">
        <f>Budget!F34+Budget!F35</f>
        <v>6</v>
      </c>
      <c r="C21" s="1835">
        <f t="shared" si="0"/>
        <v>5.7142857142857141E-2</v>
      </c>
      <c r="D21" s="1821">
        <f>B21*Print_Summary!$I$2</f>
        <v>3000</v>
      </c>
      <c r="E21" s="4"/>
      <c r="F21" s="1824">
        <f t="shared" si="2"/>
        <v>1.3366750208855471E-2</v>
      </c>
    </row>
    <row r="22" spans="1:6" ht="13.9" x14ac:dyDescent="0.4">
      <c r="A22" s="1834" t="s">
        <v>1</v>
      </c>
      <c r="B22" s="1835">
        <f>Budget!F36</f>
        <v>31</v>
      </c>
      <c r="C22" s="1835">
        <f t="shared" si="0"/>
        <v>0.29523809523809524</v>
      </c>
      <c r="D22" s="1821">
        <f>B22*Print_Summary!$I$2</f>
        <v>15500</v>
      </c>
      <c r="E22" s="4"/>
      <c r="F22" s="1824">
        <f t="shared" si="2"/>
        <v>6.9061542745753268E-2</v>
      </c>
    </row>
    <row r="23" spans="1:6" ht="13.9" x14ac:dyDescent="0.4">
      <c r="A23" s="1834" t="s">
        <v>749</v>
      </c>
      <c r="B23" s="1835">
        <f>Budget!F26+Budget!F28+Budget!F30</f>
        <v>28.045987165972143</v>
      </c>
      <c r="C23" s="1835">
        <f t="shared" si="0"/>
        <v>0.26710463967592518</v>
      </c>
      <c r="D23" s="1821">
        <f>B23*Print_Summary!$I$2</f>
        <v>14022.993582986071</v>
      </c>
      <c r="E23" s="4"/>
      <c r="F23" s="1824">
        <f t="shared" si="2"/>
        <v>6.2480617468052668E-2</v>
      </c>
    </row>
    <row r="24" spans="1:6" ht="13.9" x14ac:dyDescent="0.4">
      <c r="A24" s="1834" t="s">
        <v>214</v>
      </c>
      <c r="B24" s="1835">
        <f>Budget!F33</f>
        <v>25.518462586843107</v>
      </c>
      <c r="C24" s="1835">
        <f t="shared" si="0"/>
        <v>0.24303297701755339</v>
      </c>
      <c r="D24" s="1821">
        <f>B24*Print_Summary!$I$2</f>
        <v>12759.231293421553</v>
      </c>
      <c r="E24" s="4"/>
      <c r="F24" s="1824">
        <f t="shared" si="2"/>
        <v>5.6849819185392607E-2</v>
      </c>
    </row>
    <row r="25" spans="1:6" ht="13.5" x14ac:dyDescent="0.35">
      <c r="A25" s="1825" t="s">
        <v>640</v>
      </c>
      <c r="B25" s="1836">
        <f>SUM(Budget!F6:F18)+SUM(Budget!F20:F23)+SUM(Budget!F25:F36)</f>
        <v>511.52890663240919</v>
      </c>
      <c r="C25" s="1836">
        <f t="shared" si="0"/>
        <v>4.8717038726896114</v>
      </c>
      <c r="D25" s="1827">
        <f>B25*Print_Summary!$I$2</f>
        <v>255764.4533162046</v>
      </c>
      <c r="E25" s="308"/>
      <c r="F25" s="1837">
        <f t="shared" si="2"/>
        <v>1.1395798532607277</v>
      </c>
    </row>
    <row r="26" spans="1:6" ht="13.9" x14ac:dyDescent="0.4">
      <c r="A26" s="1834" t="s">
        <v>28</v>
      </c>
      <c r="B26" s="1835">
        <f>Budget!F37</f>
        <v>21.100567398586879</v>
      </c>
      <c r="C26" s="1835">
        <f t="shared" si="0"/>
        <v>0.20095778474844647</v>
      </c>
      <c r="D26" s="1821">
        <f>B26*Print_Summary!$I$2</f>
        <v>10550.283699293439</v>
      </c>
      <c r="E26" s="4"/>
      <c r="F26" s="1824">
        <f t="shared" si="2"/>
        <v>4.7007668947005019E-2</v>
      </c>
    </row>
    <row r="27" spans="1:6" ht="13.9" x14ac:dyDescent="0.4">
      <c r="A27" s="1834" t="s">
        <v>228</v>
      </c>
      <c r="B27" s="1835">
        <f>SUM(Budget!F39:F43)</f>
        <v>27.3</v>
      </c>
      <c r="C27" s="1835">
        <f t="shared" si="0"/>
        <v>0.26</v>
      </c>
      <c r="D27" s="1821">
        <f>B27*Print_Summary!$I$2</f>
        <v>13650</v>
      </c>
      <c r="E27" s="4"/>
      <c r="F27" s="1824">
        <f t="shared" si="2"/>
        <v>6.0818713450292397E-2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559.92947403099606</v>
      </c>
      <c r="C29" s="1836">
        <f t="shared" si="0"/>
        <v>5.3326616574380576</v>
      </c>
      <c r="D29" s="1827">
        <f>B29*Print_Summary!$I$2</f>
        <v>279964.73701549805</v>
      </c>
      <c r="E29" s="308"/>
      <c r="F29" s="1824"/>
    </row>
    <row r="30" spans="1:6" ht="13.5" x14ac:dyDescent="0.35">
      <c r="A30" s="1825" t="s">
        <v>233</v>
      </c>
      <c r="B30" s="1826">
        <f>B9-B29-B31</f>
        <v>-61.179474030996062</v>
      </c>
      <c r="C30" s="1826">
        <f t="shared" si="0"/>
        <v>-0.58266165743805776</v>
      </c>
      <c r="D30" s="1827">
        <f>B30*Print_Summary!$I$2</f>
        <v>-30589.737015498031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194.44834003850866</v>
      </c>
      <c r="C32" s="1835">
        <f t="shared" si="0"/>
        <v>1.8518889527477016</v>
      </c>
      <c r="D32" s="1821">
        <f>B32*Print_Summary!$I$2</f>
        <v>97224.170019254336</v>
      </c>
      <c r="E32" s="4"/>
      <c r="F32" s="1824">
        <f>B32/$F$9</f>
        <v>0.43319039830355593</v>
      </c>
    </row>
    <row r="33" spans="1:6" ht="13.5" x14ac:dyDescent="0.35">
      <c r="A33" s="1825" t="s">
        <v>650</v>
      </c>
      <c r="B33" s="1836">
        <f>B29+B32</f>
        <v>754.37781406950467</v>
      </c>
      <c r="C33" s="1836">
        <f t="shared" si="0"/>
        <v>7.1845506101857586</v>
      </c>
      <c r="D33" s="1827">
        <f>B33*Print_Summary!$I$2</f>
        <v>377188.90703475231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-255.62781406950467</v>
      </c>
      <c r="C34" s="1826">
        <f t="shared" si="0"/>
        <v>-2.4345506101857586</v>
      </c>
      <c r="D34" s="1827">
        <f>B34*Print_Summary!$I$2</f>
        <v>-127813.90703475234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5.3326616574380576</v>
      </c>
      <c r="C36" s="1097"/>
      <c r="D36" s="1823">
        <f>D29/D6</f>
        <v>5.3326616574380576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7.1845506101857586</v>
      </c>
      <c r="C37" s="1097"/>
      <c r="D37" s="1823">
        <f>D33/D6</f>
        <v>7.1845506101857586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8. 2026 Grain Sorghum Enterprise Budget, Center Pivot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12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Grain Sorghum, Pivot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1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8. Details of Chemicals Applied, Grain Sorghum, Pivot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8. Machinery Capital Recovery and Operating Costs, Grain Sorghum, Pivot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8. 2026 Grain Sorghum Enterprise Budget, Center Pivot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98.291666666666657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559.92947403099606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92.901688828778603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194.44834003850866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-255.62781406950467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7.8750000000000001E-2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105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105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105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105</v>
      </c>
      <c r="J30" s="900"/>
    </row>
    <row r="31" spans="2:10" ht="12.75" customHeight="1" x14ac:dyDescent="0.4">
      <c r="B31" s="901">
        <f>IF(A2_Budget_Look_Up!B13&gt;0,Budget!D3*Budget!B41,I31)</f>
        <v>105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105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1560</v>
      </c>
      <c r="H6" s="288">
        <f>((B6*F6)/G6)*Budget!$D$29</f>
        <v>15.109735707409557</v>
      </c>
      <c r="I6" s="284"/>
      <c r="J6" s="301"/>
      <c r="K6" s="820">
        <f>((B6*M6)/G6)*Irrigation!L6</f>
        <v>0.24358974358974358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1560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27444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1560</v>
      </c>
      <c r="H8" s="288">
        <f>((B8*F8)/G8)*Budget!$D$29</f>
        <v>21.824820355481464</v>
      </c>
      <c r="I8" s="284"/>
      <c r="J8" s="842"/>
      <c r="K8" s="820">
        <f>((B8*M8)/G8)*Irrigation!L8</f>
        <v>0.35184615384615386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66594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1560</v>
      </c>
      <c r="H9" s="288">
        <f>((B9*F9)/G9)*Budget!$D$29</f>
        <v>46.763704850628301</v>
      </c>
      <c r="I9" s="284"/>
      <c r="J9" s="842"/>
      <c r="K9" s="821">
        <f>((B9*M9)/G9)*Irrigation!L9</f>
        <v>0.42688461538461542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93.28472061444495</v>
      </c>
      <c r="I10" s="292"/>
      <c r="J10" s="842"/>
      <c r="K10" s="829">
        <f>SUM(K4:K9)</f>
        <v>1.0223205128205128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21344</v>
      </c>
      <c r="E12" s="282"/>
      <c r="F12" s="970">
        <f>IF(Irrigation!B2=2,IF(OR(Irrigation!B7=1,Irrigation!B7&gt;3),Irrigation!E16,0),0)</f>
        <v>6100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1560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1560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189.3</v>
      </c>
      <c r="C21" s="694">
        <f t="shared" si="1"/>
        <v>189.3</v>
      </c>
      <c r="D21" s="694">
        <f t="shared" si="1"/>
        <v>189.3</v>
      </c>
      <c r="E21" s="694">
        <f t="shared" si="1"/>
        <v>189.3</v>
      </c>
      <c r="F21" s="694">
        <f t="shared" si="1"/>
        <v>189.3</v>
      </c>
      <c r="G21" s="694">
        <f t="shared" si="1"/>
        <v>189.3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4.4136315037593992</v>
      </c>
      <c r="C26" s="696">
        <f>C22*((0.11345/(C23*C24*C25))*C21)</f>
        <v>0.3548222739130435</v>
      </c>
      <c r="D26" s="696">
        <f>D22*((0.11345/(D23*D24))*D21)</f>
        <v>0.38861487142857143</v>
      </c>
      <c r="E26" s="696">
        <f>E22*((0.11345/(E23*E24*E25))*E21)</f>
        <v>2.3898199849624064</v>
      </c>
      <c r="F26" s="696">
        <f>F22*((0.11345/(F23*F24*F25))*F21)</f>
        <v>4.6974348598769664</v>
      </c>
      <c r="G26" s="696">
        <f>G22*((0.11345/(G23*G24*G25))*G21)</f>
        <v>6.9972206766917298</v>
      </c>
      <c r="H26" s="697" t="s">
        <v>110</v>
      </c>
      <c r="I26" s="387">
        <f>SUM(B34:G34)</f>
        <v>4.4136315037593992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470.19000000000005</v>
      </c>
      <c r="L26" s="957">
        <f>K26/IF(Irrigation!B2=2,Irrigation!I15,Irrigation!I14)</f>
        <v>3.6168461538461543</v>
      </c>
      <c r="M26" s="301"/>
    </row>
    <row r="27" spans="1:13" x14ac:dyDescent="0.35">
      <c r="A27" s="706" t="s">
        <v>109</v>
      </c>
      <c r="B27" s="695">
        <f>B26*Budget!D29</f>
        <v>44.136315037593988</v>
      </c>
      <c r="C27" s="696">
        <f>C26*Budget!D29</f>
        <v>3.5482227391304351</v>
      </c>
      <c r="D27" s="696">
        <f>D26*Budget!D29</f>
        <v>3.8861487142857145</v>
      </c>
      <c r="E27" s="696">
        <f>E26*Budget!D29</f>
        <v>23.898199849624064</v>
      </c>
      <c r="F27" s="696">
        <f>F26*Budget!D29</f>
        <v>46.974348598769666</v>
      </c>
      <c r="G27" s="696">
        <f>G26*Budget!D29</f>
        <v>69.972206766917296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1.0223205128205128</v>
      </c>
      <c r="C29" s="288">
        <f t="shared" si="2"/>
        <v>1.0223205128205128</v>
      </c>
      <c r="D29" s="288">
        <f t="shared" si="2"/>
        <v>1.0223205128205128</v>
      </c>
      <c r="E29" s="288">
        <f t="shared" si="2"/>
        <v>1.0223205128205128</v>
      </c>
      <c r="F29" s="288">
        <f t="shared" si="2"/>
        <v>1.0223205128205128</v>
      </c>
      <c r="G29" s="709">
        <f t="shared" si="2"/>
        <v>1.0223205128205128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4.8549946541353393</v>
      </c>
      <c r="C30" s="698">
        <f>(1+C28)*C26</f>
        <v>0.36546694213043479</v>
      </c>
      <c r="D30" s="698">
        <f>(1+D28)*D26</f>
        <v>0.41581791242857147</v>
      </c>
      <c r="E30" s="698">
        <f>(1+E28)*E26</f>
        <v>2.6765983831578954</v>
      </c>
      <c r="F30" s="698">
        <f>(1+F28)*F26</f>
        <v>5.2611270430622028</v>
      </c>
      <c r="G30" s="698">
        <f>(1+G28)*G26</f>
        <v>8.0468037781954891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58.259935849624071</v>
      </c>
      <c r="C31" s="699">
        <f t="shared" si="3"/>
        <v>4.3856033055652173</v>
      </c>
      <c r="D31" s="699">
        <f t="shared" si="3"/>
        <v>4.9898149491428576</v>
      </c>
      <c r="E31" s="699">
        <f t="shared" si="3"/>
        <v>32.119180597894747</v>
      </c>
      <c r="F31" s="699">
        <f t="shared" si="3"/>
        <v>63.133524516746434</v>
      </c>
      <c r="G31" s="712">
        <f t="shared" si="3"/>
        <v>96.561645338345869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10.223205128205128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10.223205128205128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4.4136315037593992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189.3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8.0000000000000002E-3</v>
      </c>
    </row>
    <row r="40" spans="1:13" ht="13.15" x14ac:dyDescent="0.4">
      <c r="A40" s="304"/>
      <c r="B40" s="305">
        <f>IF(Irrigation!B2=2,30,0)</f>
        <v>30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8.0000000000000002E-3</v>
      </c>
    </row>
    <row r="41" spans="1:13" ht="13.5" thickBot="1" x14ac:dyDescent="0.45">
      <c r="A41" s="304"/>
      <c r="B41" s="305">
        <f>SUM(B39:B40)</f>
        <v>30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0.08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1560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1560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1560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1560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21344</v>
      </c>
      <c r="E55" s="282"/>
      <c r="F55" s="970">
        <f>IF(Irrigation!B2=2,IF(OR(Irrigation!B7=1,Irrigation!B7&gt;3),Irrigation!E16,0),0)</f>
        <v>6100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1560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1560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189.3</v>
      </c>
      <c r="C64" s="694">
        <f t="shared" si="5"/>
        <v>189.3</v>
      </c>
      <c r="D64" s="694">
        <f t="shared" si="5"/>
        <v>189.3</v>
      </c>
      <c r="E64" s="694">
        <f t="shared" si="5"/>
        <v>189.3</v>
      </c>
      <c r="F64" s="694">
        <f t="shared" si="5"/>
        <v>189.3</v>
      </c>
      <c r="G64" s="694">
        <f t="shared" si="5"/>
        <v>189.3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4.4136315037593992</v>
      </c>
      <c r="C69" s="696">
        <f>C65*((0.11345/(C66*C67*C68))*C64)</f>
        <v>0.3548222739130435</v>
      </c>
      <c r="D69" s="696">
        <f>D65*((0.11345/(D66*D67))*D64)</f>
        <v>0.38861487142857143</v>
      </c>
      <c r="E69" s="696">
        <f>E65*((0.11345/(E66*E67*E68))*E64)</f>
        <v>2.3898199849624064</v>
      </c>
      <c r="F69" s="696">
        <f>F65*((0.11345/(F66*F67*F68))*F64)</f>
        <v>4.6974348598769664</v>
      </c>
      <c r="G69" s="696">
        <f>G65*((0.11345/(G66*G67*G68))*G64)</f>
        <v>6.9972206766917298</v>
      </c>
      <c r="H69" s="697" t="s">
        <v>110</v>
      </c>
      <c r="I69" s="387">
        <f>SUM(B77:G77)</f>
        <v>4.4136315037593992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44.136315037593988</v>
      </c>
      <c r="C70" s="696">
        <f>C69*Budget!D29</f>
        <v>3.5482227391304351</v>
      </c>
      <c r="D70" s="696">
        <f>D69*Budget!D29</f>
        <v>3.8861487142857145</v>
      </c>
      <c r="E70" s="696">
        <f>E69*Budget!D29</f>
        <v>23.898199849624064</v>
      </c>
      <c r="F70" s="696">
        <f>F69*Budget!D29</f>
        <v>46.974348598769666</v>
      </c>
      <c r="G70" s="696">
        <f>G69*Budget!D29</f>
        <v>69.972206766917296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4.8549946541353393</v>
      </c>
      <c r="C73" s="698">
        <f>(1+C71)*C69</f>
        <v>0.36546694213043479</v>
      </c>
      <c r="D73" s="698">
        <f>(1+D71)*D69</f>
        <v>0.41581791242857147</v>
      </c>
      <c r="E73" s="698">
        <f>(1+E71)*E69</f>
        <v>2.6765983831578954</v>
      </c>
      <c r="F73" s="698">
        <f>(1+F71)*F69</f>
        <v>5.2611270430622028</v>
      </c>
      <c r="G73" s="698">
        <f>(1+G71)*G69</f>
        <v>8.0468037781954891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58.259935849624071</v>
      </c>
      <c r="C74" s="699">
        <f t="shared" si="7"/>
        <v>4.3856033055652173</v>
      </c>
      <c r="D74" s="699">
        <f t="shared" si="7"/>
        <v>4.9898149491428576</v>
      </c>
      <c r="E74" s="699">
        <f t="shared" si="7"/>
        <v>32.119180597894747</v>
      </c>
      <c r="F74" s="699">
        <f t="shared" si="7"/>
        <v>63.133524516746434</v>
      </c>
      <c r="G74" s="712">
        <f t="shared" si="7"/>
        <v>96.561645338345869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4.4136315037593992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189.3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8.0000000000000002E-3</v>
      </c>
    </row>
    <row r="83" spans="1:13" ht="13.15" x14ac:dyDescent="0.4">
      <c r="A83" s="304"/>
      <c r="B83" s="305">
        <f>IF(Irrigation!B2=2,30,0)</f>
        <v>30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8.0000000000000002E-3</v>
      </c>
    </row>
    <row r="84" spans="1:13" ht="13.5" thickBot="1" x14ac:dyDescent="0.45">
      <c r="A84" s="304"/>
      <c r="B84" s="305">
        <f>SUM(B82:B83)</f>
        <v>30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0.08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Grain Sorghum, Pivot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500</v>
      </c>
      <c r="D5" s="1843"/>
      <c r="E5" s="468">
        <f t="shared" ref="E5:F7" si="0">B5</f>
        <v>1</v>
      </c>
      <c r="F5" s="1844">
        <f t="shared" si="0"/>
        <v>500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105</v>
      </c>
      <c r="C6" s="1822">
        <f>B6*Print_Summary!$I$2</f>
        <v>52500</v>
      </c>
      <c r="D6" s="1845"/>
      <c r="E6" s="1096">
        <f t="shared" si="0"/>
        <v>105</v>
      </c>
      <c r="F6" s="1821">
        <f t="shared" si="0"/>
        <v>52500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4.75</v>
      </c>
      <c r="C7" s="1097">
        <f>B7</f>
        <v>4.75</v>
      </c>
      <c r="D7" s="1846"/>
      <c r="E7" s="1097">
        <f t="shared" si="0"/>
        <v>4.75</v>
      </c>
      <c r="F7" s="1847">
        <f t="shared" si="0"/>
        <v>4.75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498.75</v>
      </c>
      <c r="C9" s="1829">
        <f>B9*Print_Summary!$I$2</f>
        <v>249375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27.04</v>
      </c>
      <c r="C13" s="1822">
        <f>B13*Print_Summary!$I$2</f>
        <v>13520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-93.135000000000019</v>
      </c>
    </row>
    <row r="14" spans="1:9" ht="13.9" x14ac:dyDescent="0.4">
      <c r="A14" s="1834" t="s">
        <v>224</v>
      </c>
      <c r="B14" s="1835">
        <f>SUM(Budget!F7:F13)</f>
        <v>199.79166666666666</v>
      </c>
      <c r="C14" s="1822">
        <f>B14*Print_Summary!$I$2</f>
        <v>99895.833333333328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109.00286666666666</v>
      </c>
    </row>
    <row r="15" spans="1:9" ht="13.9" x14ac:dyDescent="0.4">
      <c r="A15" s="1834" t="s">
        <v>494</v>
      </c>
      <c r="B15" s="1835">
        <f>SUM(Budget!F14:F18)</f>
        <v>62.027450000000009</v>
      </c>
      <c r="C15" s="1822">
        <f>B15*Print_Summary!$I$2</f>
        <v>31013.725000000006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-147.02504999999996</v>
      </c>
    </row>
    <row r="16" spans="1:9" ht="13.9" x14ac:dyDescent="0.4">
      <c r="A16" s="1834" t="s">
        <v>225</v>
      </c>
      <c r="B16" s="1835">
        <f>SUM(Budget!F20:F23)</f>
        <v>76.5</v>
      </c>
      <c r="C16" s="1822">
        <f>B16*Print_Summary!$I$2</f>
        <v>38250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62.5</v>
      </c>
    </row>
    <row r="17" spans="1:9" ht="13.9" x14ac:dyDescent="0.4">
      <c r="A17" s="1834" t="s">
        <v>462</v>
      </c>
      <c r="B17" s="1835">
        <f>Budget!F25+Budget!F27</f>
        <v>11.469025175333289</v>
      </c>
      <c r="C17" s="1822">
        <f>B17*Print_Summary!$I$2</f>
        <v>5734.5125876666443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-16.597838573563731</v>
      </c>
    </row>
    <row r="18" spans="1:9" ht="13.9" x14ac:dyDescent="0.4">
      <c r="A18" s="1834" t="s">
        <v>227</v>
      </c>
      <c r="B18" s="1835">
        <f>Budget!F29</f>
        <v>44.136315037593988</v>
      </c>
      <c r="C18" s="1822">
        <f>B18*Print_Summary!$I$2</f>
        <v>22068.157518796994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8.9858541654135351</v>
      </c>
    </row>
    <row r="19" spans="1:9" ht="13.9" x14ac:dyDescent="0.4">
      <c r="A19" s="1834" t="s">
        <v>780</v>
      </c>
      <c r="B19" s="1835">
        <f>Budget!F31+Budget!F32</f>
        <v>0</v>
      </c>
      <c r="C19" s="1822">
        <f>B19*Print_Summary!$I$2</f>
        <v>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-3.45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420.96445687959397</v>
      </c>
      <c r="C20" s="1827">
        <f>B20*Print_Summary!$I$2</f>
        <v>210482.22843979698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-79.719167741483488</v>
      </c>
    </row>
    <row r="21" spans="1:9" ht="13.9" x14ac:dyDescent="0.4">
      <c r="A21" s="1834" t="s">
        <v>778</v>
      </c>
      <c r="B21" s="1835">
        <f>Budget!F34+Budget!F35</f>
        <v>6</v>
      </c>
      <c r="C21" s="1822">
        <f>B21*Print_Summary!$I$2</f>
        <v>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-18</v>
      </c>
    </row>
    <row r="22" spans="1:9" ht="13.9" x14ac:dyDescent="0.4">
      <c r="A22" s="1834" t="s">
        <v>1</v>
      </c>
      <c r="B22" s="1835">
        <f>Budget!F36</f>
        <v>31</v>
      </c>
      <c r="C22" s="1822">
        <f>B22*Print_Summary!$I$2</f>
        <v>15500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31</v>
      </c>
    </row>
    <row r="23" spans="1:9" ht="15.4" x14ac:dyDescent="0.4">
      <c r="A23" s="1834" t="s">
        <v>750</v>
      </c>
      <c r="B23" s="1835">
        <f>Budget!F26+Budget!F28+Budget!F30</f>
        <v>28.045987165972143</v>
      </c>
      <c r="C23" s="1822">
        <f>B23*Print_Summary!$I$2</f>
        <v>14022.993582986071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-4.9782566380813336</v>
      </c>
    </row>
    <row r="24" spans="1:9" ht="15" customHeight="1" x14ac:dyDescent="0.4">
      <c r="A24" s="1834" t="s">
        <v>214</v>
      </c>
      <c r="B24" s="1835">
        <f>Budget!F33</f>
        <v>25.518462586843107</v>
      </c>
      <c r="C24" s="1822">
        <f>B24*Print_Summary!$I$2</f>
        <v>12759.231293421553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2.1906167623641188</v>
      </c>
    </row>
    <row r="25" spans="1:9" ht="15" customHeight="1" x14ac:dyDescent="0.4">
      <c r="A25" s="1825" t="s">
        <v>640</v>
      </c>
      <c r="B25" s="1836">
        <f>SUM(Budget!F6:F18)+SUM(Budget!F20:F23)+SUM(Budget!F25:F36)</f>
        <v>511.52890663240919</v>
      </c>
      <c r="C25" s="1829">
        <f>B25*Print_Summary!$I$2</f>
        <v>255764.4533162046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-69.506807617200707</v>
      </c>
    </row>
    <row r="26" spans="1:9" ht="13.9" x14ac:dyDescent="0.4">
      <c r="A26" s="1834" t="s">
        <v>28</v>
      </c>
      <c r="B26" s="1835">
        <f>Budget!F37</f>
        <v>21.100567398586879</v>
      </c>
      <c r="C26" s="1822">
        <f>B26*Print_Summary!$I$2</f>
        <v>10550.283699293439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7.3009691851586407</v>
      </c>
    </row>
    <row r="27" spans="1:9" ht="13.9" x14ac:dyDescent="0.4">
      <c r="A27" s="1834" t="s">
        <v>228</v>
      </c>
      <c r="B27" s="1835">
        <f>SUM(Budget!F39:F43)</f>
        <v>27.3</v>
      </c>
      <c r="C27" s="1822">
        <f>B27*Print_Summary!$I$2</f>
        <v>13650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-117.48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559.92947403099606</v>
      </c>
      <c r="C29" s="1829">
        <f>B29*Print_Summary!$I$2</f>
        <v>279964.73701549805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-34.905838432042174</v>
      </c>
    </row>
    <row r="30" spans="1:9" ht="13.9" x14ac:dyDescent="0.4">
      <c r="A30" s="1825" t="s">
        <v>233</v>
      </c>
      <c r="B30" s="1826">
        <f>B9-B29-B31</f>
        <v>-61.179474030996062</v>
      </c>
      <c r="C30" s="1829">
        <f>B30*Print_Summary!$I$2</f>
        <v>-30589.737015498031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-246.34416156795783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194.44834003850866</v>
      </c>
      <c r="C32" s="1822">
        <f>B32*Print_Summary!$I$2</f>
        <v>97224.170019254336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15.853350100384631</v>
      </c>
    </row>
    <row r="33" spans="1:9" ht="13.9" x14ac:dyDescent="0.4">
      <c r="A33" s="1825" t="s">
        <v>650</v>
      </c>
      <c r="B33" s="1836">
        <f>B29+B32</f>
        <v>754.37781406950467</v>
      </c>
      <c r="C33" s="1829">
        <f>B33*Print_Summary!$I$2</f>
        <v>377188.90703475231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-19.052488331657628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-255.62781406950467</v>
      </c>
      <c r="C34" s="1829">
        <f>B34*Print_Summary!$I$2</f>
        <v>-127813.90703475234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-262.19751166834237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5.3326616574380576</v>
      </c>
      <c r="C36" s="1097">
        <f>C29/C6</f>
        <v>5.3326616574380576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7.1845506101857586</v>
      </c>
      <c r="C37" s="1839">
        <f>C33/C6</f>
        <v>7.1845506101857586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-5.6806180904334369E-2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8. 2026 Grain Sorghum Enterprise Budget, Center Pivot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105</v>
      </c>
      <c r="E3" s="1258">
        <f>A3_Production_Look_Up!B5</f>
        <v>4.75</v>
      </c>
      <c r="F3" s="9">
        <f>IF('C1_Messages_Indicators'!B3=1,(D3*E3*B3),"Error")</f>
        <v>498.75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6.5</v>
      </c>
      <c r="E6" s="10">
        <f>Seed_Chemical!D4</f>
        <v>4.16</v>
      </c>
      <c r="F6" s="9">
        <f t="shared" ref="F6:F11" si="0">D6*E6*B6</f>
        <v>27.04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350</v>
      </c>
      <c r="E7" s="10">
        <f>Fertilizer!E3</f>
        <v>0.28083333333333332</v>
      </c>
      <c r="F7" s="9">
        <f t="shared" si="0"/>
        <v>98.291666666666657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150</v>
      </c>
      <c r="E8" s="10">
        <f>Fertilizer!E4</f>
        <v>0.40500000000000003</v>
      </c>
      <c r="F8" s="9">
        <f t="shared" si="0"/>
        <v>60.750000000000007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120</v>
      </c>
      <c r="E9" s="10">
        <f>Fertilizer!E5</f>
        <v>0.22</v>
      </c>
      <c r="F9" s="9">
        <f t="shared" si="0"/>
        <v>26.4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0.17500000000000002</v>
      </c>
      <c r="E12" s="10">
        <f>Fertilizer!E8</f>
        <v>82</v>
      </c>
      <c r="F12" s="9">
        <f>D12*E12*B12</f>
        <v>14.350000000000001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32.388250000000006</v>
      </c>
      <c r="F14" s="9">
        <f t="shared" si="1"/>
        <v>32.388250000000006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29.639200000000002</v>
      </c>
      <c r="F15" s="9">
        <f t="shared" si="1"/>
        <v>29.639200000000002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7</v>
      </c>
      <c r="E20" s="2">
        <v>9.5</v>
      </c>
      <c r="F20" s="9">
        <f>D20*E20*B20</f>
        <v>66.5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1</v>
      </c>
      <c r="E21" s="2">
        <v>10</v>
      </c>
      <c r="F21" s="9">
        <f>D21*E21*B21</f>
        <v>10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2.0940420905204187</v>
      </c>
      <c r="E25" s="18">
        <f>Irrigation!B14</f>
        <v>2.46</v>
      </c>
      <c r="F25" s="9">
        <f t="shared" ref="F25:F36" si="2">D25*E25*B25</f>
        <v>5.1513435426802294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5.2556829919865145</v>
      </c>
      <c r="F26" s="9">
        <f t="shared" si="2"/>
        <v>5.2556829919865145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2.5681632653061222</v>
      </c>
      <c r="E27" s="18">
        <f>Irrigation!B14</f>
        <v>2.46</v>
      </c>
      <c r="F27" s="9">
        <f t="shared" si="2"/>
        <v>6.31768163265306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12.5670990457805</v>
      </c>
      <c r="F28" s="9">
        <f t="shared" si="2"/>
        <v>12.5670990457805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10</v>
      </c>
      <c r="E29" s="10">
        <f>'C2_Irrigation_Calculations'!I26*'C1_Messages_Indicators'!B34</f>
        <v>4.4136315037593992</v>
      </c>
      <c r="F29" s="9">
        <f t="shared" si="2"/>
        <v>44.136315037593988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10</v>
      </c>
      <c r="E30" s="10">
        <f>IF(D29&gt;0,('C2_Irrigation_Calculations'!I33/D29),0)</f>
        <v>1.0223205128205128</v>
      </c>
      <c r="F30" s="9">
        <f>D30*E30</f>
        <v>10.223205128205128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Other Inputs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1.7207324738262377</v>
      </c>
      <c r="E33" s="316">
        <v>14.83</v>
      </c>
      <c r="F33" s="9">
        <f t="shared" si="2"/>
        <v>25.518462586843107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6</v>
      </c>
      <c r="F34" s="9">
        <f t="shared" si="2"/>
        <v>6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31</v>
      </c>
      <c r="F36" s="9">
        <f t="shared" si="2"/>
        <v>31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511.52890663240919</v>
      </c>
      <c r="F37" s="9">
        <f>((D37/100)*Program_Variables!D34)*SUM(F6:F36)*B37</f>
        <v>21.100567398586879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105</v>
      </c>
      <c r="E40" s="2">
        <f>A3_Production_Look_Up!B37</f>
        <v>0</v>
      </c>
      <c r="F40" s="9">
        <f>D40*E40*B40</f>
        <v>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105</v>
      </c>
      <c r="E41" s="2">
        <f>A3_Production_Look_Up!B38</f>
        <v>0.25</v>
      </c>
      <c r="F41" s="9">
        <f>D41*E41*B41</f>
        <v>26.25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105</v>
      </c>
      <c r="E42" s="1963">
        <f>A3_Production_Look_Up!B39</f>
        <v>0.01</v>
      </c>
      <c r="F42" s="9">
        <f>D42*E42*B42</f>
        <v>1.05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559.92947403099606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-61.179474030996062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92.901688828778603</v>
      </c>
      <c r="F48" s="9">
        <f>D48*E48</f>
        <v>92.901688828778603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96.901566768291104</v>
      </c>
      <c r="F49" s="9">
        <f>D49*E49</f>
        <v>96.901566768291104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4.6450844414389305</v>
      </c>
      <c r="F50" s="9">
        <f>D50*E50</f>
        <v>4.6450844414389305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194.44834003850866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754.37781406950467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-255.62781406950467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350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150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350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120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0.17500000000000002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161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4.16</v>
      </c>
      <c r="E4" s="1586">
        <f>A3_Production_Look_Up!B45</f>
        <v>6.5</v>
      </c>
      <c r="F4" s="1587">
        <f>D4*E4</f>
        <v>27.04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27.04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1.5</v>
      </c>
      <c r="F13" s="1587">
        <f t="shared" ref="F13:F25" si="0">D13*E13</f>
        <v>6.5625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Metolachlor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5.0387500000000003</v>
      </c>
      <c r="E14" s="1586">
        <f>IF(A5_Chem_Look_Up!$F8&gt;0,A5_Chem_Look_Up!E8,0)</f>
        <v>1.3</v>
      </c>
      <c r="F14" s="1587">
        <f t="shared" si="0"/>
        <v>6.5503750000000007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Metolachlor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5.0387500000000003</v>
      </c>
      <c r="E15" s="1586">
        <f>IF(A5_Chem_Look_Up!$F9&gt;0,A5_Chem_Look_Up!E9,0)</f>
        <v>1.3</v>
      </c>
      <c r="F15" s="1587">
        <f t="shared" si="0"/>
        <v>6.5503750000000007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Atrazine</v>
      </c>
      <c r="B16" s="1602" t="str">
        <f>IF(A5_Chem_Look_Up!$F10&gt;0,A5_Chem_Look_Up!B10," ")</f>
        <v/>
      </c>
      <c r="C16" s="1603" t="str">
        <f>IF(A5_Chem_Look_Up!$F10&gt;0,A5_Chem_Look_Up!C10," ")</f>
        <v>qt</v>
      </c>
      <c r="D16" s="1601">
        <f>IF(A5_Chem_Look_Up!$F10&gt;0,A5_Chem_Look_Up!D10,0)</f>
        <v>4.1124999999999998</v>
      </c>
      <c r="E16" s="1586">
        <f>IF(A5_Chem_Look_Up!$F10&gt;0,A5_Chem_Look_Up!E10,0)</f>
        <v>2</v>
      </c>
      <c r="F16" s="1587">
        <f t="shared" si="0"/>
        <v>8.2249999999999996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 xml:space="preserve"> </v>
      </c>
      <c r="B17" s="1602" t="str">
        <f>IF(A5_Chem_Look_Up!$F11&gt;0,A5_Chem_Look_Up!B11," ")</f>
        <v xml:space="preserve"> </v>
      </c>
      <c r="C17" s="1603" t="str">
        <f>IF(A5_Chem_Look_Up!$F11&gt;0,A5_Chem_Look_Up!C11," ")</f>
        <v xml:space="preserve"> </v>
      </c>
      <c r="D17" s="1601">
        <f>IF(A5_Chem_Look_Up!$F11&gt;0,A5_Chem_Look_Up!D11,0)</f>
        <v>0</v>
      </c>
      <c r="E17" s="1586">
        <f>IF(A5_Chem_Look_Up!$F11&gt;0,A5_Chem_Look_Up!E11,0)</f>
        <v>0</v>
      </c>
      <c r="F17" s="1587">
        <f t="shared" si="0"/>
        <v>0</v>
      </c>
      <c r="G17" s="20"/>
    </row>
    <row r="18" spans="1:10" ht="12.95" customHeight="1" x14ac:dyDescent="0.35">
      <c r="A18" s="1601" t="str">
        <f>IF(A5_Chem_Look_Up!$F12&gt;0,A5_Chem_Look_Up!A12," ")</f>
        <v xml:space="preserve"> </v>
      </c>
      <c r="B18" s="1602" t="str">
        <f>IF(A5_Chem_Look_Up!$F12&gt;0,A5_Chem_Look_Up!B12," ")</f>
        <v xml:space="preserve"> </v>
      </c>
      <c r="C18" s="1603" t="str">
        <f>IF(A5_Chem_Look_Up!$F12&gt;0,A5_Chem_Look_Up!C12," ")</f>
        <v xml:space="preserve"> </v>
      </c>
      <c r="D18" s="1601">
        <f>IF(A5_Chem_Look_Up!$F12&gt;0,A5_Chem_Look_Up!D12,0)</f>
        <v>0</v>
      </c>
      <c r="E18" s="1586">
        <f>IF(A5_Chem_Look_Up!$F12&gt;0,A5_Chem_Look_Up!E12,0)</f>
        <v>0</v>
      </c>
      <c r="F18" s="1587">
        <f t="shared" si="0"/>
        <v>0</v>
      </c>
      <c r="G18" s="20"/>
      <c r="H18" s="989"/>
    </row>
    <row r="19" spans="1:10" ht="12.95" customHeight="1" x14ac:dyDescent="0.35">
      <c r="A19" s="1601" t="str">
        <f>IF(A5_Chem_Look_Up!$F13&gt;0,A5_Chem_Look_Up!A13," ")</f>
        <v xml:space="preserve"> </v>
      </c>
      <c r="B19" s="1602" t="str">
        <f>IF(A5_Chem_Look_Up!$F13&gt;0,A5_Chem_Look_Up!B13," ")</f>
        <v xml:space="preserve"> </v>
      </c>
      <c r="C19" s="1603" t="str">
        <f>IF(A5_Chem_Look_Up!$F13&gt;0,A5_Chem_Look_Up!C13," ")</f>
        <v xml:space="preserve"> </v>
      </c>
      <c r="D19" s="1601">
        <f>IF(A5_Chem_Look_Up!$F13&gt;0,A5_Chem_Look_Up!D13,0)</f>
        <v>0</v>
      </c>
      <c r="E19" s="1586">
        <f>IF(A5_Chem_Look_Up!$F13&gt;0,A5_Chem_Look_Up!E13,0)</f>
        <v>0</v>
      </c>
      <c r="F19" s="1587">
        <f t="shared" si="0"/>
        <v>0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32.388250000000006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Prevathon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1.05</v>
      </c>
      <c r="E30" s="1586">
        <f>IF(A5_Chem_Look_Up!$F24&gt;0,A5_Chem_Look_Up!E24,0)</f>
        <v>14</v>
      </c>
      <c r="F30" s="1587">
        <f t="shared" ref="F30:F39" si="1">D30*E30</f>
        <v>14.700000000000001</v>
      </c>
      <c r="G30" s="20"/>
    </row>
    <row r="31" spans="1:10" ht="12.95" customHeight="1" x14ac:dyDescent="0.35">
      <c r="A31" s="1601" t="str">
        <f>IF(A5_Chem_Look_Up!$F25&gt;0,A5_Chem_Look_Up!A25," ")</f>
        <v>Sivanto Prime</v>
      </c>
      <c r="B31" s="1602" t="str">
        <f>IF(A5_Chem_Look_Up!$F25&gt;0,A5_Chem_Look_Up!B25," ")</f>
        <v/>
      </c>
      <c r="C31" s="1603" t="str">
        <f>IF(A5_Chem_Look_Up!$F25&gt;0,A5_Chem_Look_Up!C25," ")</f>
        <v>oz</v>
      </c>
      <c r="D31" s="1601">
        <f>IF(A5_Chem_Look_Up!$F25&gt;0,A5_Chem_Look_Up!D25,0)</f>
        <v>3.01</v>
      </c>
      <c r="E31" s="1586">
        <f>IF(A5_Chem_Look_Up!$F25&gt;0,A5_Chem_Look_Up!E25,0)</f>
        <v>4</v>
      </c>
      <c r="F31" s="1587">
        <f t="shared" si="1"/>
        <v>12.04</v>
      </c>
      <c r="G31" s="20"/>
    </row>
    <row r="32" spans="1:10" ht="12.95" customHeight="1" x14ac:dyDescent="0.35">
      <c r="A32" s="1601" t="str">
        <f>IF(A5_Chem_Look_Up!$F26&gt;0,A5_Chem_Look_Up!A26," ")</f>
        <v>Warrior</v>
      </c>
      <c r="B32" s="1602" t="str">
        <f>IF(A5_Chem_Look_Up!$F26&gt;0,A5_Chem_Look_Up!B26," ")</f>
        <v/>
      </c>
      <c r="C32" s="1603" t="str">
        <f>IF(A5_Chem_Look_Up!$F26&gt;0,A5_Chem_Look_Up!C26," ")</f>
        <v>oz</v>
      </c>
      <c r="D32" s="1601">
        <f>IF(A5_Chem_Look_Up!$F26&gt;0,A5_Chem_Look_Up!D26,0)</f>
        <v>3.02</v>
      </c>
      <c r="E32" s="1586">
        <f>IF(A5_Chem_Look_Up!$F26&gt;0,A5_Chem_Look_Up!E26,0)</f>
        <v>0.96</v>
      </c>
      <c r="F32" s="1587">
        <f t="shared" si="1"/>
        <v>2.8992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29.639200000000002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2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15.109735707409557</v>
      </c>
      <c r="L6" s="1517">
        <f>IF(AND(Budget!$B$3=1,Budget!$E$44=0),1,0)</f>
        <v>1</v>
      </c>
      <c r="M6" s="560">
        <v>1</v>
      </c>
      <c r="N6" s="869">
        <f>'C2_Irrigation_Calculations'!K6*Budget!D$30</f>
        <v>2.4358974358974357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21.824820355481464</v>
      </c>
      <c r="L8" s="1517">
        <v>1</v>
      </c>
      <c r="M8" s="560">
        <v>1</v>
      </c>
      <c r="N8" s="869">
        <f>'C2_Irrigation_Calculations'!K8*Budget!D$30</f>
        <v>3.5184615384615388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46.763704850628301</v>
      </c>
      <c r="L9" s="1517">
        <f>IF(AND(Budget!$B$3=1,Budget!$E$44=0),1,0)</f>
        <v>1</v>
      </c>
      <c r="M9" s="560">
        <v>1</v>
      </c>
      <c r="N9" s="869">
        <f>'C2_Irrigation_Calculations'!K9*Budget!D$30</f>
        <v>4.2688461538461544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93.28472061444495</v>
      </c>
      <c r="L10" s="1384"/>
      <c r="M10" s="1329" t="s">
        <v>766</v>
      </c>
      <c r="N10" s="870">
        <f>SUM(N4:N9)</f>
        <v>10.22320512820513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130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12597.203679877843</v>
      </c>
      <c r="F38" s="926">
        <f>(SUM(Trips!B30:B31)+SUM(Trips!B33:B37))*IF(B2=2,I15,I14)</f>
        <v>0</v>
      </c>
      <c r="G38" s="927">
        <f t="shared" ref="G38:G43" si="0">SUM(E38:F38)</f>
        <v>12597.203679877843</v>
      </c>
    </row>
    <row r="39" spans="4:7" ht="13.9" x14ac:dyDescent="0.4">
      <c r="D39" s="863" t="s">
        <v>243</v>
      </c>
      <c r="E39" s="926">
        <f>Trips!C76*IF(B2=2,I15,I14)</f>
        <v>1329.0166666666667</v>
      </c>
      <c r="F39" s="926">
        <f>(SUM(Trips!C30:C31)+SUM(Trips!C33:C37))*IF(B2=2,I15,I14)</f>
        <v>0</v>
      </c>
      <c r="G39" s="927">
        <f t="shared" si="0"/>
        <v>1329.0166666666667</v>
      </c>
    </row>
    <row r="40" spans="4:7" ht="13.9" x14ac:dyDescent="0.4">
      <c r="D40" s="863" t="s">
        <v>615</v>
      </c>
      <c r="E40" s="926">
        <f>Trips!D76*IF(B2=2,I15,I14)</f>
        <v>5737.7209548872188</v>
      </c>
      <c r="F40" s="926">
        <f>(SUM(Trips!D30:D31)+SUM(Trips!D33:D37))*IF(B2=2,I15,I14)</f>
        <v>0</v>
      </c>
      <c r="G40" s="927">
        <f t="shared" si="0"/>
        <v>5737.7209548872188</v>
      </c>
    </row>
    <row r="41" spans="4:7" ht="13.9" x14ac:dyDescent="0.4">
      <c r="D41" s="863" t="s">
        <v>55</v>
      </c>
      <c r="E41" s="926">
        <f>Trips!E76*IF(B2=2,I15,I14)</f>
        <v>154.23200000000003</v>
      </c>
      <c r="F41" s="926">
        <f>(SUM(Trips!E30:E31)+SUM(Trips!E33:E37))*IF(B2=2,I15,I14)</f>
        <v>0</v>
      </c>
      <c r="G41" s="927">
        <f t="shared" si="0"/>
        <v>154.23200000000003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19818.173301431729</v>
      </c>
      <c r="F44" s="928">
        <f>SUM(F38:F43)</f>
        <v>0</v>
      </c>
      <c r="G44" s="929">
        <f>SUM(G38:G43)</f>
        <v>19818.173301431729</v>
      </c>
    </row>
    <row r="45" spans="4:7" ht="13.9" x14ac:dyDescent="0.4">
      <c r="D45" s="922" t="s">
        <v>630</v>
      </c>
      <c r="E45" s="935">
        <f>IF(B2&lt;3,Budget!D29,0)</f>
        <v>10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96.901566768291104</v>
      </c>
      <c r="F48" s="82">
        <f t="shared" si="1"/>
        <v>0</v>
      </c>
      <c r="G48" s="934">
        <f t="shared" si="1"/>
        <v>96.901566768291104</v>
      </c>
    </row>
    <row r="49" spans="4:7" ht="13.9" x14ac:dyDescent="0.4">
      <c r="D49" s="863" t="s">
        <v>243</v>
      </c>
      <c r="E49" s="82">
        <f t="shared" si="1"/>
        <v>10.223205128205128</v>
      </c>
      <c r="F49" s="82">
        <f t="shared" si="1"/>
        <v>0</v>
      </c>
      <c r="G49" s="934">
        <f t="shared" si="1"/>
        <v>10.223205128205128</v>
      </c>
    </row>
    <row r="50" spans="4:7" ht="13.9" x14ac:dyDescent="0.4">
      <c r="D50" s="863" t="s">
        <v>615</v>
      </c>
      <c r="E50" s="82">
        <f t="shared" si="1"/>
        <v>44.136315037593988</v>
      </c>
      <c r="F50" s="82">
        <f t="shared" si="1"/>
        <v>0</v>
      </c>
      <c r="G50" s="934">
        <f t="shared" si="1"/>
        <v>44.136315037593988</v>
      </c>
    </row>
    <row r="51" spans="4:7" ht="13.9" x14ac:dyDescent="0.4">
      <c r="D51" s="863" t="s">
        <v>55</v>
      </c>
      <c r="E51" s="82">
        <f t="shared" si="1"/>
        <v>1.1864000000000001</v>
      </c>
      <c r="F51" s="82">
        <f t="shared" si="1"/>
        <v>0</v>
      </c>
      <c r="G51" s="934">
        <f t="shared" si="1"/>
        <v>1.1864000000000001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</v>
      </c>
      <c r="G53" s="934">
        <f t="shared" si="1"/>
        <v>0</v>
      </c>
    </row>
    <row r="54" spans="4:7" ht="13.9" thickBot="1" x14ac:dyDescent="0.4">
      <c r="D54" s="504" t="s">
        <v>22</v>
      </c>
      <c r="E54" s="864">
        <f t="shared" si="1"/>
        <v>152.44748693409022</v>
      </c>
      <c r="F54" s="864">
        <f t="shared" si="1"/>
        <v>0</v>
      </c>
      <c r="G54" s="870">
        <f t="shared" si="1"/>
        <v>152.44748693409022</v>
      </c>
    </row>
    <row r="55" spans="4:7" ht="13.9" x14ac:dyDescent="0.4">
      <c r="D55" s="922" t="s">
        <v>631</v>
      </c>
      <c r="E55" s="935">
        <f>E34</f>
        <v>130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1259.7203679877844</v>
      </c>
      <c r="F58" s="82">
        <f>IF(Budget!$D$29&gt;0,F38/Budget!$D$29,)</f>
        <v>0</v>
      </c>
      <c r="G58" s="934">
        <f>IF(Budget!$D$29&gt;0,G38/Budget!$D$29,)</f>
        <v>1259.7203679877844</v>
      </c>
    </row>
    <row r="59" spans="4:7" ht="13.9" x14ac:dyDescent="0.4">
      <c r="D59" s="863" t="s">
        <v>243</v>
      </c>
      <c r="E59" s="82">
        <f>IF(Budget!$D$29&gt;0,E39/Budget!$D$29,)</f>
        <v>132.90166666666667</v>
      </c>
      <c r="F59" s="82">
        <f>IF(Budget!$D$29&gt;0,F39/Budget!$D$29,)</f>
        <v>0</v>
      </c>
      <c r="G59" s="934">
        <f>IF(Budget!$D$29&gt;0,G39/Budget!$D$29,)</f>
        <v>132.90166666666667</v>
      </c>
    </row>
    <row r="60" spans="4:7" ht="13.9" x14ac:dyDescent="0.4">
      <c r="D60" s="863" t="s">
        <v>615</v>
      </c>
      <c r="E60" s="82">
        <f>IF(Budget!$D$29&gt;0,E40/Budget!$D$29,)</f>
        <v>573.7720954887219</v>
      </c>
      <c r="F60" s="82">
        <f>IF(Budget!$D$29&gt;0,F40/Budget!$D$29,)</f>
        <v>0</v>
      </c>
      <c r="G60" s="934">
        <f>IF(Budget!$D$29&gt;0,G40/Budget!$D$29,)</f>
        <v>573.7720954887219</v>
      </c>
    </row>
    <row r="61" spans="4:7" ht="13.9" x14ac:dyDescent="0.4">
      <c r="D61" s="863" t="s">
        <v>55</v>
      </c>
      <c r="E61" s="82">
        <f>IF(Budget!$D$29&gt;0,E41/Budget!$D$29,)</f>
        <v>15.423200000000003</v>
      </c>
      <c r="F61" s="82">
        <f>IF(Budget!$D$29&gt;0,F41/Budget!$D$29,)</f>
        <v>0</v>
      </c>
      <c r="G61" s="934">
        <f>IF(Budget!$D$29&gt;0,G41/Budget!$D$29,)</f>
        <v>15.423200000000003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1981.817330143173</v>
      </c>
      <c r="F64" s="864">
        <f>IF(Budget!$D$29&gt;0,F44/Budget!$D$29,)</f>
        <v>0</v>
      </c>
      <c r="G64" s="870">
        <f>IF(Budget!$D$29&gt;0,G44/Budget!$D$29,)</f>
        <v>1981.817330143173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11381.826698568271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87.552513065909778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0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3.5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1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3.5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0</v>
      </c>
      <c r="C9" s="48">
        <f>Z1_Equipment_Calculations!AC19+Z1_Equipment_Calculations!AF19</f>
        <v>0</v>
      </c>
      <c r="D9" s="48">
        <f>Z1_Equipment_Calculations!AJ19</f>
        <v>0</v>
      </c>
      <c r="E9" s="48">
        <f>Z1_Equipment_Calculations!AM19</f>
        <v>0</v>
      </c>
      <c r="F9" s="53">
        <f t="shared" ref="F9:F18" si="0">SUM(B9:E9)</f>
        <v>0</v>
      </c>
      <c r="G9" s="62" t="str">
        <f>IF(Machine!$B19&gt;0,B9/Machine!$B19," ")</f>
        <v xml:space="preserve"> </v>
      </c>
      <c r="H9" s="48" t="str">
        <f>IF(Machine!$B19&gt;0,C9/Machine!$B19," ")</f>
        <v xml:space="preserve"> </v>
      </c>
      <c r="I9" s="48" t="str">
        <f>IF(Machine!$B19&gt;0,D9/Machine!$B19," ")</f>
        <v xml:space="preserve"> </v>
      </c>
      <c r="J9" s="48" t="str">
        <f>IF(Machine!$B19&gt;0,E9/Machine!$B19," ")</f>
        <v xml:space="preserve"> </v>
      </c>
      <c r="K9" s="53" t="str">
        <f>IF(Machine!$B19&gt;0,F9/Machine!$B19," ")</f>
        <v xml:space="preserve"> 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30.864406409146142</v>
      </c>
      <c r="C45" s="77">
        <f>SUM(C4:C44)</f>
        <v>5.2556829919865145</v>
      </c>
      <c r="D45" s="77">
        <f>SUM(D4:D44)</f>
        <v>5.1513435426802294</v>
      </c>
      <c r="E45" s="77">
        <f>SUM(E4:E44)</f>
        <v>3.4338687092920841</v>
      </c>
      <c r="F45" s="77">
        <f>SUM(F4:F44)</f>
        <v>44.705301653104968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48.607701685630119</v>
      </c>
      <c r="C59" s="75">
        <f>Z1_Equipment_Calculations!AC69+Z1_Equipment_Calculations!AF69</f>
        <v>9.0865286271162944</v>
      </c>
      <c r="D59" s="75">
        <f>Z1_Equipment_Calculations!AJ69</f>
        <v>3.9485510204081633</v>
      </c>
      <c r="E59" s="75">
        <f>Z1_Equipment_Calculations!AM69</f>
        <v>1.8476969387755104</v>
      </c>
      <c r="F59" s="75">
        <f t="shared" si="2"/>
        <v>63.490478271930087</v>
      </c>
      <c r="G59" s="74">
        <f>IF(Machine!$B69&gt;0,B59/Machine!$B69," ")</f>
        <v>48.607701685630119</v>
      </c>
      <c r="H59" s="75">
        <f>IF(Machine!$B69&gt;0,C59/Machine!$B69," ")</f>
        <v>9.0865286271162944</v>
      </c>
      <c r="I59" s="75">
        <f>IF(Machine!$B69&gt;0,D59/Machine!$B69," ")</f>
        <v>3.9485510204081633</v>
      </c>
      <c r="J59" s="75">
        <f>IF(Machine!$B69&gt;0,E59/Machine!$B69," ")</f>
        <v>1.8476969387755104</v>
      </c>
      <c r="K59" s="76">
        <f>IF(Machine!$B69&gt;0,F59/Machine!$B69," ")</f>
        <v>63.490478271930087</v>
      </c>
      <c r="L59" s="638">
        <f>Z1_Equipment_Calculations!N69</f>
        <v>8.9090909090909083</v>
      </c>
      <c r="M59" s="639">
        <f>Z1_Equipment_Calculations!O69</f>
        <v>0.11224489795918369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1.9140515819375326</v>
      </c>
      <c r="C63" s="48">
        <f>Z1_Equipment_Calculations!AC73+Z1_Equipment_Calculations!AF73</f>
        <v>1.2232506599167985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3.1373022418543313</v>
      </c>
      <c r="G63" s="62">
        <f>IF(Machine!$B73&gt;0,B63/Machine!$B73," ")</f>
        <v>1.9140515819375326</v>
      </c>
      <c r="H63" s="48">
        <f>IF(Machine!$B73&gt;0,C63/Machine!$B73," ")</f>
        <v>1.2232506599167985</v>
      </c>
      <c r="I63" s="48">
        <f>IF(Machine!$B73&gt;0,D63/Machine!$B73," ")</f>
        <v>0</v>
      </c>
      <c r="J63" s="48">
        <f>IF(Machine!$B73&gt;0,E63/Machine!$B73," ")</f>
        <v>0</v>
      </c>
      <c r="K63" s="53">
        <f>IF(Machine!$B73&gt;0,F63/Machine!$B73," ")</f>
        <v>3.1373022418543313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11.515529152064808</v>
      </c>
      <c r="C64" s="72">
        <f>Z1_Equipment_Calculations!AC74+Z1_Equipment_Calculations!AF74</f>
        <v>2.257319758747407</v>
      </c>
      <c r="D64" s="72">
        <f>Z1_Equipment_Calculations!AJ74</f>
        <v>2.3691306122448981</v>
      </c>
      <c r="E64" s="72">
        <f>Z1_Equipment_Calculations!AM74</f>
        <v>1.8476969387755104</v>
      </c>
      <c r="F64" s="72">
        <f t="shared" si="2"/>
        <v>17.989676461832623</v>
      </c>
      <c r="G64" s="71">
        <f>IF(Machine!$B74&gt;0,B64/Machine!$B74," ")</f>
        <v>11.515529152064808</v>
      </c>
      <c r="H64" s="72">
        <f>IF(Machine!$B74&gt;0,C64/Machine!$B74," ")</f>
        <v>2.257319758747407</v>
      </c>
      <c r="I64" s="72">
        <f>IF(Machine!$B74&gt;0,D64/Machine!$B74," ")</f>
        <v>2.3691306122448981</v>
      </c>
      <c r="J64" s="72">
        <f>IF(Machine!$B74&gt;0,E64/Machine!$B74," ")</f>
        <v>1.8476969387755104</v>
      </c>
      <c r="K64" s="73">
        <f>IF(Machine!$B74&gt;0,F64/Machine!$B74," ")</f>
        <v>17.989676461832623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62.037282419632461</v>
      </c>
      <c r="C72" s="77">
        <f>SUM(C54:C71)</f>
        <v>12.5670990457805</v>
      </c>
      <c r="D72" s="77">
        <f>SUM(D54:D71)</f>
        <v>6.3176816326530609</v>
      </c>
      <c r="E72" s="77">
        <f>SUM(E54:E71)</f>
        <v>3.6953938775510209</v>
      </c>
      <c r="F72" s="77">
        <f>SUM(F54:F71)</f>
        <v>84.617456975617046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92.901688828778603</v>
      </c>
      <c r="C74" s="77">
        <f>C45+C51+C72</f>
        <v>17.822782037767013</v>
      </c>
      <c r="D74" s="77">
        <f>D45+D51+D72</f>
        <v>11.469025175333289</v>
      </c>
      <c r="E74" s="77">
        <f>E45+E51+E72</f>
        <v>7.1292625868431045</v>
      </c>
      <c r="F74" s="77">
        <f>F45+F51+F72</f>
        <v>129.322758628722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96.901566768291104</v>
      </c>
      <c r="C76" s="77">
        <f>Budget!F30</f>
        <v>10.223205128205128</v>
      </c>
      <c r="D76" s="77">
        <f>Budget!F29</f>
        <v>44.136315037593988</v>
      </c>
      <c r="E76" s="77">
        <f>'C2_Irrigation_Calculations'!M41*Budget!E33</f>
        <v>1.1864000000000001</v>
      </c>
      <c r="F76" s="77">
        <f>SUM(B76:E76)</f>
        <v>152.44748693409019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42.935926957738964</v>
      </c>
      <c r="D59" s="1288">
        <f>SUM(Z2_Machine_Custom_Calculations!W69:Y69)</f>
        <v>5.6717747278911572</v>
      </c>
      <c r="E59" s="1288">
        <f>Z2_Machine_Custom_Calculations!AC69+Z2_Machine_Custom_Calculations!AF69</f>
        <v>9.0865286271162944</v>
      </c>
      <c r="F59" s="1288">
        <f>Z2_Machine_Custom_Calculations!AJ69</f>
        <v>3.9485510204081633</v>
      </c>
      <c r="G59" s="1288">
        <f>Z2_Machine_Custom_Calculations!AM69</f>
        <v>1.8476969387755104</v>
      </c>
      <c r="H59" s="1289">
        <f t="shared" si="10"/>
        <v>63.490478271930087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47.669917930021199</v>
      </c>
      <c r="T60" s="1292">
        <f t="shared" si="18"/>
        <v>6.2971281850340146</v>
      </c>
      <c r="U60" s="1292">
        <f t="shared" si="18"/>
        <v>12.511630474883329</v>
      </c>
      <c r="V60" s="1292">
        <f t="shared" si="18"/>
        <v>3.9485510204081633</v>
      </c>
      <c r="W60" s="1292">
        <f t="shared" si="18"/>
        <v>1.8476969387755104</v>
      </c>
      <c r="X60" s="1292">
        <f t="shared" si="18"/>
        <v>72.274924549122218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44.915201533779076</v>
      </c>
      <c r="T61" s="1292">
        <f t="shared" si="18"/>
        <v>5.9332340770975067</v>
      </c>
      <c r="U61" s="1292">
        <f t="shared" si="18"/>
        <v>10.518558609286933</v>
      </c>
      <c r="V61" s="1292">
        <f t="shared" si="18"/>
        <v>3.9485510204081633</v>
      </c>
      <c r="W61" s="1292">
        <f t="shared" si="18"/>
        <v>1.8476969387755104</v>
      </c>
      <c r="X61" s="1292">
        <f t="shared" si="18"/>
        <v>67.163242179347179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49.32925497185208</v>
      </c>
      <c r="T62" s="1292">
        <f t="shared" si="18"/>
        <v>6.5163242421768715</v>
      </c>
      <c r="U62" s="1292">
        <f t="shared" si="18"/>
        <v>13.712181638018166</v>
      </c>
      <c r="V62" s="1292">
        <f t="shared" si="18"/>
        <v>3.9485510204081633</v>
      </c>
      <c r="W62" s="1292">
        <f t="shared" si="18"/>
        <v>1.8476969387755104</v>
      </c>
      <c r="X62" s="1292">
        <f t="shared" si="18"/>
        <v>75.354008811230784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44.626638019268334</v>
      </c>
      <c r="T63" s="1292">
        <f t="shared" si="18"/>
        <v>5.8951152482993203</v>
      </c>
      <c r="U63" s="1292">
        <f t="shared" si="18"/>
        <v>10.309779287033093</v>
      </c>
      <c r="V63" s="1292">
        <f t="shared" si="18"/>
        <v>3.9485510204081633</v>
      </c>
      <c r="W63" s="1292">
        <f t="shared" si="18"/>
        <v>1.8476969387755104</v>
      </c>
      <c r="X63" s="1292">
        <f t="shared" si="18"/>
        <v>66.627780513784415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10.023150920772292</v>
      </c>
      <c r="D64" s="1298">
        <f>SUM(Z2_Machine_Custom_Calculations!W74:Y74)</f>
        <v>1.4923782312925171</v>
      </c>
      <c r="E64" s="1298">
        <f>Z2_Machine_Custom_Calculations!AC74+Z2_Machine_Custom_Calculations!AF74</f>
        <v>2.257319758747407</v>
      </c>
      <c r="F64" s="1298">
        <f>Z2_Machine_Custom_Calculations!AJ74</f>
        <v>2.3691306122448981</v>
      </c>
      <c r="G64" s="1298">
        <f>Z2_Machine_Custom_Calculations!AM74</f>
        <v>1.8476969387755104</v>
      </c>
      <c r="H64" s="1299">
        <f t="shared" si="10"/>
        <v>17.989676461832623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10.023150920772292</v>
      </c>
      <c r="T64" s="1292">
        <f t="shared" si="19"/>
        <v>1.4923782312925171</v>
      </c>
      <c r="U64" s="1292">
        <f t="shared" si="19"/>
        <v>2.257319758747407</v>
      </c>
      <c r="V64" s="1292">
        <f t="shared" si="19"/>
        <v>2.3691306122448981</v>
      </c>
      <c r="W64" s="1292">
        <f t="shared" si="19"/>
        <v>1.8476969387755104</v>
      </c>
      <c r="X64" s="1292">
        <f t="shared" si="19"/>
        <v>17.989676461832623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1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>
        <f>IF(O2&gt;0,A2_Budget_Look_Up!$C$4," ")</f>
        <v>12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105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105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4.75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4.75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350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350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150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150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120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120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0.17500000000000002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0.17500000000000002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1.1599999999999999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1.1599999999999999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7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7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1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1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10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Other Inputs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6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6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31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31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0.25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0.01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15.074999999999999</v>
      </c>
      <c r="H39" s="1049">
        <f>(1+2.2)+(0.005*500*Budget!$E$3)</f>
        <v>15.074999999999999</v>
      </c>
      <c r="I39" s="1049">
        <f>(1+2.2)+(0.005*500*Budget!$E$3)</f>
        <v>15.074999999999999</v>
      </c>
      <c r="J39" s="1049">
        <f>(1+2.2)+(0.005*500*Budget!$E$3)</f>
        <v>15.074999999999999</v>
      </c>
      <c r="K39" s="1049">
        <f>(1+2.2)+(0.005*500*Budget!$E$3)</f>
        <v>15.074999999999999</v>
      </c>
      <c r="L39" s="1049">
        <f>(1+2.2)+(0.005*500*Budget!$E$3)</f>
        <v>15.074999999999999</v>
      </c>
      <c r="M39" s="1049">
        <f>(1+2.2)+(0.005*500*Budget!$E$3)</f>
        <v>15.074999999999999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2.375E-2</v>
      </c>
      <c r="W39" s="1886">
        <f>(Budget!$E$3*(0.01/2))</f>
        <v>2.375E-2</v>
      </c>
      <c r="X39" s="1886">
        <f>(Budget!$E$3*(0.01/2))</f>
        <v>2.375E-2</v>
      </c>
      <c r="Y39" s="1886">
        <f>(Budget!$E$3*(0.01/2))</f>
        <v>2.375E-2</v>
      </c>
      <c r="Z39" s="1886">
        <f>(Budget!$E$3*(0.01/2))</f>
        <v>2.375E-2</v>
      </c>
      <c r="AA39" s="1886">
        <f>(Budget!$E$3*(0.01/2))</f>
        <v>2.375E-2</v>
      </c>
      <c r="AB39" s="1886">
        <f>(Budget!$E$3*(0.01/2))</f>
        <v>2.375E-2</v>
      </c>
      <c r="AC39" s="1886">
        <f>(Budget!$E$3*(0.01/2))</f>
        <v>2.375E-2</v>
      </c>
      <c r="AD39" s="1886">
        <f>(Budget!$E$3*(0.01/2))</f>
        <v>2.375E-2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2.375E-2</v>
      </c>
      <c r="AM39" s="1886">
        <f>(Budget!$E$3*(0.01/2))</f>
        <v>2.375E-2</v>
      </c>
      <c r="AN39" s="1886">
        <f>(Budget!$E$3*(0.01/2))</f>
        <v>2.375E-2</v>
      </c>
      <c r="AO39" s="1049">
        <f>(1+2.2)+(0.005*500*Budget!$E$3)</f>
        <v>15.074999999999999</v>
      </c>
      <c r="AP39" s="1049">
        <f>(1+2.2)+(0.005*500*Budget!$E$3)</f>
        <v>15.074999999999999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0.01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4.16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4.16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6.5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6.5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2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2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0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2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1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1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1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1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1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1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130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12597.203679877843</v>
      </c>
      <c r="C7" s="1224">
        <f>Irrigation!F38</f>
        <v>0</v>
      </c>
      <c r="D7" s="1225">
        <f>Irrigation!G38</f>
        <v>12597.203679877843</v>
      </c>
    </row>
    <row r="8" spans="1:4" ht="13.9" x14ac:dyDescent="0.4">
      <c r="A8" s="1222" t="str">
        <f>Irrigation!D39</f>
        <v>Repairs</v>
      </c>
      <c r="B8" s="1224">
        <f>Irrigation!E39</f>
        <v>1329.0166666666667</v>
      </c>
      <c r="C8" s="1224">
        <f>Irrigation!F39</f>
        <v>0</v>
      </c>
      <c r="D8" s="1225">
        <f>Irrigation!G39</f>
        <v>1329.0166666666667</v>
      </c>
    </row>
    <row r="9" spans="1:4" ht="13.9" x14ac:dyDescent="0.4">
      <c r="A9" s="1222" t="str">
        <f>Irrigation!D40</f>
        <v>Fuel, Energy</v>
      </c>
      <c r="B9" s="1224">
        <f>Irrigation!E40</f>
        <v>5737.7209548872188</v>
      </c>
      <c r="C9" s="1224">
        <f>Irrigation!F40</f>
        <v>0</v>
      </c>
      <c r="D9" s="1225">
        <f>Irrigation!G40</f>
        <v>5737.7209548872188</v>
      </c>
    </row>
    <row r="10" spans="1:4" ht="13.9" x14ac:dyDescent="0.4">
      <c r="A10" s="1222" t="str">
        <f>Irrigation!D41</f>
        <v>Labor</v>
      </c>
      <c r="B10" s="1224">
        <f>Irrigation!E41</f>
        <v>154.23200000000003</v>
      </c>
      <c r="C10" s="1224">
        <f>Irrigation!F41</f>
        <v>0</v>
      </c>
      <c r="D10" s="1225">
        <f>Irrigation!G41</f>
        <v>154.23200000000003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19818.173301431729</v>
      </c>
      <c r="C13" s="1227">
        <f>Irrigation!F44</f>
        <v>0</v>
      </c>
      <c r="D13" s="1228">
        <f>Irrigation!G44</f>
        <v>19818.173301431729</v>
      </c>
    </row>
    <row r="14" spans="1:4" ht="13.9" x14ac:dyDescent="0.4">
      <c r="A14" s="1219" t="str">
        <f>Irrigation!D45</f>
        <v>Irrigation Expenses per Acre</v>
      </c>
      <c r="B14" s="1229">
        <f>Irrigation!E45</f>
        <v>10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96.901566768291104</v>
      </c>
      <c r="C17" s="1230">
        <f>Irrigation!F48</f>
        <v>0</v>
      </c>
      <c r="D17" s="1231">
        <f>Irrigation!G48</f>
        <v>96.901566768291104</v>
      </c>
    </row>
    <row r="18" spans="1:4" ht="13.9" x14ac:dyDescent="0.4">
      <c r="A18" s="1222" t="str">
        <f>Irrigation!D49</f>
        <v>Repairs</v>
      </c>
      <c r="B18" s="1230">
        <f>Irrigation!E49</f>
        <v>10.223205128205128</v>
      </c>
      <c r="C18" s="1230">
        <f>Irrigation!F49</f>
        <v>0</v>
      </c>
      <c r="D18" s="1231">
        <f>Irrigation!G49</f>
        <v>10.223205128205128</v>
      </c>
    </row>
    <row r="19" spans="1:4" ht="13.9" x14ac:dyDescent="0.4">
      <c r="A19" s="1222" t="str">
        <f>Irrigation!D50</f>
        <v>Fuel, Energy</v>
      </c>
      <c r="B19" s="1230">
        <f>Irrigation!E50</f>
        <v>44.136315037593988</v>
      </c>
      <c r="C19" s="1230">
        <f>Irrigation!F50</f>
        <v>0</v>
      </c>
      <c r="D19" s="1231">
        <f>Irrigation!G50</f>
        <v>44.136315037593988</v>
      </c>
    </row>
    <row r="20" spans="1:4" ht="13.9" x14ac:dyDescent="0.4">
      <c r="A20" s="1222" t="str">
        <f>Irrigation!D51</f>
        <v>Labor</v>
      </c>
      <c r="B20" s="1230">
        <f>Irrigation!E51</f>
        <v>1.1864000000000001</v>
      </c>
      <c r="C20" s="1230">
        <f>Irrigation!F51</f>
        <v>0</v>
      </c>
      <c r="D20" s="1231">
        <f>Irrigation!G51</f>
        <v>1.1864000000000001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</v>
      </c>
      <c r="D22" s="1231">
        <f>Irrigation!G53</f>
        <v>0</v>
      </c>
    </row>
    <row r="23" spans="1:4" ht="13.9" thickBot="1" x14ac:dyDescent="0.4">
      <c r="A23" s="1226" t="str">
        <f>Irrigation!D54</f>
        <v>Total</v>
      </c>
      <c r="B23" s="1232">
        <f>Irrigation!E54</f>
        <v>152.44748693409022</v>
      </c>
      <c r="C23" s="1232">
        <f>Irrigation!F54</f>
        <v>0</v>
      </c>
      <c r="D23" s="1233">
        <f>Irrigation!G54</f>
        <v>152.44748693409022</v>
      </c>
    </row>
    <row r="24" spans="1:4" ht="13.9" x14ac:dyDescent="0.4">
      <c r="A24" s="1219" t="str">
        <f>Irrigation!D55</f>
        <v>Irrigation Expenses per Inch</v>
      </c>
      <c r="B24" s="1229">
        <f>Irrigation!E55</f>
        <v>130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1259.7203679877844</v>
      </c>
      <c r="C27" s="1230">
        <f>Irrigation!F58</f>
        <v>0</v>
      </c>
      <c r="D27" s="1231">
        <f>Irrigation!G58</f>
        <v>1259.7203679877844</v>
      </c>
    </row>
    <row r="28" spans="1:4" ht="13.9" x14ac:dyDescent="0.4">
      <c r="A28" s="1222" t="str">
        <f>Irrigation!D59</f>
        <v>Repairs</v>
      </c>
      <c r="B28" s="1230">
        <f>Irrigation!E59</f>
        <v>132.90166666666667</v>
      </c>
      <c r="C28" s="1230">
        <f>Irrigation!F59</f>
        <v>0</v>
      </c>
      <c r="D28" s="1231">
        <f>Irrigation!G59</f>
        <v>132.90166666666667</v>
      </c>
    </row>
    <row r="29" spans="1:4" ht="13.9" x14ac:dyDescent="0.4">
      <c r="A29" s="1222" t="str">
        <f>Irrigation!D60</f>
        <v>Fuel, Energy</v>
      </c>
      <c r="B29" s="1230">
        <f>Irrigation!E60</f>
        <v>573.7720954887219</v>
      </c>
      <c r="C29" s="1230">
        <f>Irrigation!F60</f>
        <v>0</v>
      </c>
      <c r="D29" s="1231">
        <f>Irrigation!G60</f>
        <v>573.7720954887219</v>
      </c>
    </row>
    <row r="30" spans="1:4" ht="13.9" x14ac:dyDescent="0.4">
      <c r="A30" s="1222" t="str">
        <f>Irrigation!D61</f>
        <v>Labor</v>
      </c>
      <c r="B30" s="1230">
        <f>Irrigation!E61</f>
        <v>15.423200000000003</v>
      </c>
      <c r="C30" s="1230">
        <f>Irrigation!F61</f>
        <v>0</v>
      </c>
      <c r="D30" s="1231">
        <f>Irrigation!G61</f>
        <v>15.423200000000003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1981.817330143173</v>
      </c>
      <c r="C33" s="1232">
        <f>Irrigation!F64</f>
        <v>0</v>
      </c>
      <c r="D33" s="1233">
        <f>Irrigation!G64</f>
        <v>1981.817330143173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3.5</v>
      </c>
      <c r="M69" s="224">
        <f>EquipmentSpecs!C69</f>
        <v>0.7</v>
      </c>
      <c r="N69" s="89">
        <f t="shared" si="30"/>
        <v>8.9090909090909083</v>
      </c>
      <c r="O69" s="226">
        <f t="shared" si="31"/>
        <v>0.11224489795918369</v>
      </c>
      <c r="P69" s="270"/>
      <c r="Q69" s="20"/>
      <c r="R69" s="339">
        <f>Machine!H69</f>
        <v>325</v>
      </c>
      <c r="S69" s="1197">
        <v>1</v>
      </c>
      <c r="T69" s="89">
        <f t="shared" si="32"/>
        <v>42.935926957738964</v>
      </c>
      <c r="U69" s="269"/>
      <c r="V69" s="269"/>
      <c r="W69" s="1144">
        <f t="shared" si="33"/>
        <v>1.9423886054421771</v>
      </c>
      <c r="X69" s="1144">
        <f t="shared" si="33"/>
        <v>1.9423886054421771</v>
      </c>
      <c r="Y69" s="1144">
        <f t="shared" si="33"/>
        <v>1.7869975170068029</v>
      </c>
      <c r="Z69" s="1136">
        <f t="shared" si="34"/>
        <v>48.607701685630119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9.0865286271162944</v>
      </c>
      <c r="AD69" s="271"/>
      <c r="AE69" s="272"/>
      <c r="AF69" s="269"/>
      <c r="AG69" s="229">
        <f t="shared" si="35"/>
        <v>14.299999999999999</v>
      </c>
      <c r="AH69" s="89">
        <f t="shared" si="36"/>
        <v>3.9485510204081633</v>
      </c>
      <c r="AI69" s="89">
        <f t="shared" si="37"/>
        <v>0.39485510204081636</v>
      </c>
      <c r="AJ69" s="89">
        <f t="shared" si="38"/>
        <v>3.9485510204081633</v>
      </c>
      <c r="AK69" s="227">
        <f>EquipmentSpecs!L69</f>
        <v>1.1100000000000001</v>
      </c>
      <c r="AL69" s="226">
        <f t="shared" si="39"/>
        <v>0.1245918367346939</v>
      </c>
      <c r="AM69" s="230">
        <f t="shared" si="40"/>
        <v>1.8476969387755104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3.5</v>
      </c>
      <c r="M74" s="233">
        <f>EquipmentSpecs!C74</f>
        <v>0.7</v>
      </c>
      <c r="N74" s="235">
        <f t="shared" si="30"/>
        <v>8.9090909090909083</v>
      </c>
      <c r="O74" s="236">
        <f t="shared" si="31"/>
        <v>0.11224489795918369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3.155290210669544</v>
      </c>
      <c r="U74" s="235">
        <f>(((P74-(AQ74*P74))*AS74)+(AR74*(AQ74*P74)))/AO74</f>
        <v>61.186395417279016</v>
      </c>
      <c r="V74" s="235">
        <f>U74*O74*S74</f>
        <v>6.8678607101027476</v>
      </c>
      <c r="W74" s="1146">
        <f t="shared" si="33"/>
        <v>0.51108843537414972</v>
      </c>
      <c r="X74" s="1146">
        <f t="shared" si="33"/>
        <v>0.51108843537414972</v>
      </c>
      <c r="Y74" s="1146">
        <f t="shared" si="33"/>
        <v>0.47020136054421779</v>
      </c>
      <c r="Z74" s="1139">
        <f t="shared" si="34"/>
        <v>11.515529152064808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1.6195577179310805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0.63776204081632659</v>
      </c>
      <c r="AG74" s="240">
        <f>0.044*R74</f>
        <v>8.58</v>
      </c>
      <c r="AH74" s="235">
        <f t="shared" ref="AH74:AH81" si="41">AG74*O74*$AJ$11*S74</f>
        <v>2.3691306122448981</v>
      </c>
      <c r="AI74" s="235">
        <f>AH74*0.1</f>
        <v>0.23691306122448982</v>
      </c>
      <c r="AJ74" s="235">
        <f>AH74</f>
        <v>2.3691306122448981</v>
      </c>
      <c r="AK74" s="459">
        <f>EquipmentSpecs!L74</f>
        <v>1.1100000000000001</v>
      </c>
      <c r="AL74" s="236">
        <f t="shared" si="39"/>
        <v>0.1245918367346939</v>
      </c>
      <c r="AM74" s="241">
        <f t="shared" si="40"/>
        <v>1.8476969387755104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301.45491777108435</v>
      </c>
      <c r="U83" s="17"/>
      <c r="V83" s="257">
        <f>SUM(V64:V81)</f>
        <v>1537.4836020947846</v>
      </c>
      <c r="W83" s="1147"/>
      <c r="X83" s="1147">
        <f>Z83-(T83+V83)</f>
        <v>265.63668398527329</v>
      </c>
      <c r="Y83" s="1148">
        <f>(Z83-(T83+V83))/(T83+V83)</f>
        <v>0.14445109562697542</v>
      </c>
      <c r="Z83" s="257">
        <f>SUM(Z64:Z81)</f>
        <v>2104.5752038511423</v>
      </c>
      <c r="AA83" s="17"/>
      <c r="AB83" s="17"/>
      <c r="AC83" s="257">
        <f>SUM(AC64:AC81)</f>
        <v>111.18009884491087</v>
      </c>
      <c r="AD83" s="258"/>
      <c r="AE83" s="17"/>
      <c r="AF83" s="257">
        <f>SUM(AF64:AF81)</f>
        <v>142.72949949508899</v>
      </c>
      <c r="AG83" s="17"/>
      <c r="AH83" s="257">
        <f>SUM(AH64:AH81)</f>
        <v>970.30588149575181</v>
      </c>
      <c r="AI83" s="257">
        <f>SUM(AI64:AI81)</f>
        <v>97.030588149575181</v>
      </c>
      <c r="AJ83" s="257"/>
      <c r="AK83" s="17"/>
      <c r="AL83" s="259">
        <f>SUM(AL64:AL81)</f>
        <v>42.048991475132567</v>
      </c>
      <c r="AM83" s="257">
        <f>SUM(AM64:AM81)</f>
        <v>623.58654357621606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105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105</v>
      </c>
    </row>
    <row r="5" spans="2:14" ht="13.9" x14ac:dyDescent="0.4">
      <c r="B5" s="4" t="s">
        <v>21</v>
      </c>
      <c r="C5" s="1792">
        <f>Print_Budget!E3</f>
        <v>4.75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4.75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498.75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27.04</v>
      </c>
      <c r="D9" s="3"/>
      <c r="E9" s="1190"/>
      <c r="F9" s="3"/>
      <c r="G9" s="1185" t="s">
        <v>223</v>
      </c>
      <c r="H9" s="1800">
        <f>C9</f>
        <v>27.04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185.44166666666666</v>
      </c>
      <c r="D10" s="3"/>
      <c r="E10" s="1190"/>
      <c r="F10" s="3"/>
      <c r="G10" s="1185" t="s">
        <v>420</v>
      </c>
      <c r="H10" s="1794">
        <f t="shared" ref="H10:H21" si="0">C10</f>
        <v>185.44166666666666</v>
      </c>
      <c r="I10" s="3"/>
      <c r="J10" s="3"/>
      <c r="K10" s="1190"/>
      <c r="L10" s="3"/>
      <c r="M10" s="648" t="s">
        <v>777</v>
      </c>
      <c r="N10" s="1542">
        <f>Print_Summary!B20</f>
        <v>420.96445687959397</v>
      </c>
    </row>
    <row r="11" spans="2:14" ht="13.9" x14ac:dyDescent="0.4">
      <c r="B11" s="1185" t="s">
        <v>494</v>
      </c>
      <c r="C11" s="1794">
        <f>SUM(Print_Budget!F13:F17)</f>
        <v>62.027450000000009</v>
      </c>
      <c r="D11" s="3"/>
      <c r="E11" s="1190"/>
      <c r="F11" s="3"/>
      <c r="G11" s="1185" t="s">
        <v>494</v>
      </c>
      <c r="H11" s="1794">
        <f t="shared" si="0"/>
        <v>62.027450000000009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111.66501715140213</v>
      </c>
    </row>
    <row r="12" spans="2:14" ht="13.9" x14ac:dyDescent="0.4">
      <c r="B12" s="1185" t="s">
        <v>225</v>
      </c>
      <c r="C12" s="1794">
        <f>SUM(Print_Budget!F19:F22)</f>
        <v>76.5</v>
      </c>
      <c r="D12" s="3"/>
      <c r="E12" s="1190"/>
      <c r="F12" s="3"/>
      <c r="G12" s="1185" t="s">
        <v>225</v>
      </c>
      <c r="H12" s="1794">
        <f t="shared" si="0"/>
        <v>76.5</v>
      </c>
      <c r="I12" s="3"/>
      <c r="J12" s="3"/>
      <c r="K12" s="1190"/>
      <c r="L12" s="3"/>
      <c r="M12" s="648" t="s">
        <v>168</v>
      </c>
      <c r="N12" s="182">
        <f>SUM(N10:N11)</f>
        <v>532.62947403099611</v>
      </c>
    </row>
    <row r="13" spans="2:14" ht="13.9" x14ac:dyDescent="0.4">
      <c r="B13" s="1185" t="s">
        <v>421</v>
      </c>
      <c r="C13" s="1794">
        <f>Print_Budget!F30+Print_Budget!F31</f>
        <v>0</v>
      </c>
      <c r="D13" s="3"/>
      <c r="E13" s="1190"/>
      <c r="F13" s="3"/>
      <c r="G13" s="1185" t="s">
        <v>780</v>
      </c>
      <c r="H13" s="1794">
        <f t="shared" si="0"/>
        <v>0</v>
      </c>
      <c r="I13" s="3"/>
      <c r="J13" s="3"/>
      <c r="K13" s="1190"/>
      <c r="L13" s="3"/>
      <c r="M13" s="648" t="s">
        <v>790</v>
      </c>
      <c r="N13" s="1804">
        <f>Print_Summary!B27</f>
        <v>27.3</v>
      </c>
    </row>
    <row r="14" spans="2:14" ht="13.9" x14ac:dyDescent="0.4">
      <c r="B14" s="1185" t="s">
        <v>779</v>
      </c>
      <c r="C14" s="1794">
        <f>Print_Budget!F24+Print_Budget!F26</f>
        <v>11.469025175333289</v>
      </c>
      <c r="D14" s="3"/>
      <c r="E14" s="1190"/>
      <c r="F14" s="3"/>
      <c r="G14" s="1185" t="s">
        <v>779</v>
      </c>
      <c r="H14" s="1794">
        <f t="shared" si="0"/>
        <v>11.469025175333289</v>
      </c>
      <c r="I14" s="3"/>
      <c r="J14" s="3"/>
      <c r="K14" s="1190"/>
      <c r="L14" s="3"/>
      <c r="M14" s="652" t="s">
        <v>1007</v>
      </c>
      <c r="N14" s="173">
        <f>SUM(N12:N13)-N8</f>
        <v>559.92947403099606</v>
      </c>
    </row>
    <row r="15" spans="2:14" ht="13.9" x14ac:dyDescent="0.4">
      <c r="B15" s="1185" t="s">
        <v>422</v>
      </c>
      <c r="C15" s="1794">
        <f>Print_Budget!F28</f>
        <v>44.136315037593988</v>
      </c>
      <c r="D15" s="3"/>
      <c r="E15" s="1190"/>
      <c r="F15" s="3"/>
      <c r="G15" s="1185" t="s">
        <v>422</v>
      </c>
      <c r="H15" s="1794">
        <f t="shared" si="0"/>
        <v>44.136315037593988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6</v>
      </c>
      <c r="D16" s="3"/>
      <c r="E16" s="1190"/>
      <c r="F16" s="3"/>
      <c r="G16" s="1185" t="s">
        <v>778</v>
      </c>
      <c r="H16" s="1794">
        <f t="shared" si="0"/>
        <v>6</v>
      </c>
      <c r="I16" s="3"/>
      <c r="J16" s="3"/>
      <c r="K16" s="1190"/>
      <c r="L16" s="3"/>
      <c r="M16" s="652" t="s">
        <v>233</v>
      </c>
      <c r="N16" s="173">
        <f>N7-N14-N15</f>
        <v>-61.179474030996062</v>
      </c>
    </row>
    <row r="17" spans="2:14" ht="13.9" x14ac:dyDescent="0.4">
      <c r="B17" s="1185" t="s">
        <v>1</v>
      </c>
      <c r="C17" s="1794">
        <f>Print_Budget!F35</f>
        <v>31</v>
      </c>
      <c r="D17" s="3"/>
      <c r="E17" s="1190"/>
      <c r="F17" s="3"/>
      <c r="G17" s="1185" t="s">
        <v>1</v>
      </c>
      <c r="H17" s="1794">
        <f t="shared" si="0"/>
        <v>31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28.045987165972143</v>
      </c>
      <c r="D18" s="3"/>
      <c r="E18" s="1190"/>
      <c r="F18" s="3"/>
      <c r="G18" s="1185" t="s">
        <v>205</v>
      </c>
      <c r="H18" s="1794">
        <f t="shared" si="0"/>
        <v>28.045987165972143</v>
      </c>
      <c r="I18" s="3"/>
      <c r="J18" s="3"/>
      <c r="K18" s="1190"/>
      <c r="L18" s="3"/>
      <c r="M18" s="648" t="s">
        <v>249</v>
      </c>
      <c r="N18" s="1803">
        <f>Print_Summary!B32</f>
        <v>194.44834003850866</v>
      </c>
    </row>
    <row r="19" spans="2:14" ht="13.9" x14ac:dyDescent="0.4">
      <c r="B19" s="1185" t="s">
        <v>214</v>
      </c>
      <c r="C19" s="1794">
        <f>Trips!E45+Trips!E51+Trips!E72+Trips!E76</f>
        <v>8.3156625868431053</v>
      </c>
      <c r="D19" s="3"/>
      <c r="E19" s="1190"/>
      <c r="F19" s="3"/>
      <c r="G19" s="1185" t="s">
        <v>214</v>
      </c>
      <c r="H19" s="1794">
        <f t="shared" si="0"/>
        <v>8.3156625868431053</v>
      </c>
      <c r="I19" s="3"/>
      <c r="J19" s="3"/>
      <c r="K19" s="1190"/>
      <c r="L19" s="3"/>
      <c r="M19" s="308" t="s">
        <v>650</v>
      </c>
      <c r="N19" s="173">
        <f>N14+N18</f>
        <v>754.37781406950467</v>
      </c>
    </row>
    <row r="20" spans="2:14" ht="13.9" x14ac:dyDescent="0.4">
      <c r="B20" s="1185" t="s">
        <v>28</v>
      </c>
      <c r="C20" s="1794">
        <f>Print_Budget!F36</f>
        <v>21.100567398586879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-255.62781406950467</v>
      </c>
    </row>
    <row r="22" spans="2:14" ht="13.9" x14ac:dyDescent="0.4">
      <c r="B22" s="1185" t="s">
        <v>790</v>
      </c>
      <c r="C22" s="1794">
        <f>Print_Budget!F39+Print_Budget!F40</f>
        <v>26.25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1.05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189.80325559706972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92.901688828778603</v>
      </c>
      <c r="D26" s="3"/>
      <c r="E26" s="1190"/>
      <c r="F26" s="3"/>
      <c r="G26" s="648" t="s">
        <v>647</v>
      </c>
      <c r="H26" s="1801">
        <f>C28</f>
        <v>4.6450844414389305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96.901566768291104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4.6450844414389305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406.61445687959394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479.9761066324092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528.37667403099601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194.44834003850866</v>
      </c>
    </row>
    <row r="34" spans="2:3" ht="13.5" x14ac:dyDescent="0.35">
      <c r="B34" s="308" t="s">
        <v>650</v>
      </c>
      <c r="C34" s="173">
        <f>C32+C33</f>
        <v>722.82501406950473</v>
      </c>
    </row>
    <row r="35" spans="2:3" ht="13.5" x14ac:dyDescent="0.35">
      <c r="B35" s="308" t="s">
        <v>761</v>
      </c>
      <c r="C35" s="173">
        <f>(C4*C5*C6)-C24-C34</f>
        <v>-224.07501406950473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 t="str">
        <f>IF(Machine!B19&gt;0,Machine!B19," ")</f>
        <v xml:space="preserve"> </v>
      </c>
      <c r="E10" s="1525"/>
      <c r="F10" s="1354" t="str">
        <f>IF(Machine!$B19&gt;0,E10*Trips!$M9*$D10," ")</f>
        <v xml:space="preserve"> </v>
      </c>
      <c r="G10" s="1394">
        <f>IF(AND($D10&gt;0,Machine!$H19&lt;=170),$E10,0)</f>
        <v>0</v>
      </c>
      <c r="H10" s="1393" t="str">
        <f>IF(Machine!$B19&gt;0,G10*Trips!$M9*$D10," ")</f>
        <v xml:space="preserve"> </v>
      </c>
      <c r="I10" s="1398">
        <f>IF(AND($D10&gt;0,Machine!$H19&gt;170,Machine!$H19&lt;200),$E10,0)</f>
        <v>0</v>
      </c>
      <c r="J10" s="1399" t="str">
        <f>IF(Machine!$B19&gt;0,I10*Trips!$M9*$D10," ")</f>
        <v xml:space="preserve"> </v>
      </c>
      <c r="K10" s="1404">
        <f>IF(AND($D10&gt;0,Machine!$H19&gt;=200,Machine!$H19&lt;250),$E10,0)</f>
        <v>0</v>
      </c>
      <c r="L10" s="1405" t="str">
        <f>IF(Machine!$B19&gt;0,K10*Trips!$M9*$D10," ")</f>
        <v xml:space="preserve"> </v>
      </c>
      <c r="M10" s="1413">
        <f>IF(AND($D10&gt;0,Machine!$H19&gt;=250),$E10,0)</f>
        <v>0</v>
      </c>
      <c r="N10" s="1412" t="str">
        <f>IF(Machine!$B19&gt;0,M10*Trips!$M9*$D10," ")</f>
        <v xml:space="preserve"> 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>
        <f>IF(Machine!B73&gt;0,Machine!B73," ")</f>
        <v>1</v>
      </c>
      <c r="E64" s="1525"/>
      <c r="F64" s="1354">
        <f>IF(Machine!$B73&gt;0,E64*Trips!$M$59*$D64," ")</f>
        <v>0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58.760683760683754</v>
      </c>
      <c r="K73" s="3"/>
      <c r="L73" s="1359">
        <f>SUM(L5:L72)</f>
        <v>157.10231461005455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118.4</v>
      </c>
      <c r="C4" s="182">
        <f>SUM(A5_Chem_Look_Up!G24:G33)+SUM(A5_Chem_Look_Up!G38:G39)</f>
        <v>18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118.4</v>
      </c>
      <c r="C6" s="182">
        <f>C4+C5</f>
        <v>18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3.5015082510202875</v>
      </c>
      <c r="C7" s="1456">
        <f>C6/$E$6</f>
        <v>0.53232388951321941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22.549713136570652</v>
      </c>
      <c r="C9" s="1459">
        <f>C7*C8</f>
        <v>2.8958419589519138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350</v>
      </c>
      <c r="D15" s="1456">
        <f>C15/$B$12</f>
        <v>158.75715824686739</v>
      </c>
      <c r="E15" s="1456">
        <v>1.3</v>
      </c>
      <c r="F15" s="1456">
        <f>D15*E15</f>
        <v>206.38430572092761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150</v>
      </c>
      <c r="D16" s="1456">
        <f>C16/$B$12</f>
        <v>68.038782105800308</v>
      </c>
      <c r="E16" s="1456">
        <v>0.2</v>
      </c>
      <c r="F16" s="1456">
        <f>D16*E16</f>
        <v>13.607756421160062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120</v>
      </c>
      <c r="D17" s="1456">
        <f>C17/$B$12</f>
        <v>54.431025684640247</v>
      </c>
      <c r="E17" s="1456">
        <v>0.16</v>
      </c>
      <c r="F17" s="1456">
        <f>D17*E17</f>
        <v>8.708964109542439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228.70102625163011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350</v>
      </c>
      <c r="D22" s="1456">
        <f>C22/$B$12</f>
        <v>158.75715824686739</v>
      </c>
      <c r="E22" s="1456">
        <v>1.27</v>
      </c>
      <c r="F22" s="1459">
        <f>D22*E22</f>
        <v>201.62159097352159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4.6622053558265408</v>
      </c>
      <c r="D28" s="1456">
        <f>C28/$B$25</f>
        <v>17.648504204968546</v>
      </c>
      <c r="E28" s="1456">
        <v>0.84</v>
      </c>
      <c r="F28" s="1456">
        <f>D28*E28</f>
        <v>14.824743532173578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17.941591478696743</v>
      </c>
      <c r="D29" s="1450">
        <f>C29/$B$25</f>
        <v>67.916839454505592</v>
      </c>
      <c r="E29" s="1450">
        <v>0.84</v>
      </c>
      <c r="F29" s="1450">
        <f>D29*E29</f>
        <v>57.050145141784697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71.874888673958282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527.64306099463249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1303.8587680238363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498.22711345466917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805.63165456916715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12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12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1.5</v>
      </c>
      <c r="F7" s="82">
        <f>D7*E7</f>
        <v>6.5625</v>
      </c>
      <c r="G7" s="1166">
        <f>VLOOKUP(2,$I$6:$P$3099,8,FALSE)</f>
        <v>24</v>
      </c>
      <c r="H7" s="1073">
        <f>VLOOKUP(2,$I$6:$Q$3099,9,FALSE)</f>
        <v>12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Metolachlor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5.0387500000000003</v>
      </c>
      <c r="E8" s="1165">
        <f>VLOOKUP(3,$I$6:$P$3099,6,FALSE)</f>
        <v>1.3</v>
      </c>
      <c r="F8" s="82">
        <f t="shared" ref="F8:F19" si="2">D8*E8</f>
        <v>6.5503750000000007</v>
      </c>
      <c r="G8" s="1166">
        <f>VLOOKUP(3,$I$6:$P$3099,8,FALSE)</f>
        <v>20.8</v>
      </c>
      <c r="H8" s="1073">
        <f>VLOOKUP(3,$I$6:$Q$3099,9,FALSE)</f>
        <v>12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Metolachlor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5.0387500000000003</v>
      </c>
      <c r="E9" s="1165">
        <f>VLOOKUP(4,$I$6:$P$3099,6,FALSE)</f>
        <v>1.3</v>
      </c>
      <c r="F9" s="82">
        <f t="shared" si="2"/>
        <v>6.5503750000000007</v>
      </c>
      <c r="G9" s="1166">
        <f>VLOOKUP(4,$I$6:$P$3099,8,FALSE)</f>
        <v>41.6</v>
      </c>
      <c r="H9" s="1073">
        <f>VLOOKUP(4,$I$6:$Q$3099,9,FALSE)</f>
        <v>12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Atrazine</v>
      </c>
      <c r="B10" s="1166" t="str">
        <f>VLOOKUP(5,$I$6:$P$3099,3,FALSE)</f>
        <v/>
      </c>
      <c r="C10" s="1166" t="str">
        <f>VLOOKUP(5,$I$6:$P$3099,4,FALSE)</f>
        <v>qt</v>
      </c>
      <c r="D10" s="1165">
        <f>VLOOKUP(5,$I$6:$P$3099,5,FALSE)</f>
        <v>4.1124999999999998</v>
      </c>
      <c r="E10" s="1165">
        <f>VLOOKUP(5,$I$6:$P$3099,6,FALSE)</f>
        <v>2</v>
      </c>
      <c r="F10" s="82">
        <f t="shared" si="2"/>
        <v>8.2249999999999996</v>
      </c>
      <c r="G10" s="1166">
        <f>VLOOKUP(5,$I$6:$P$3099,8,FALSE)</f>
        <v>0</v>
      </c>
      <c r="H10" s="1073">
        <f>VLOOKUP(5,$I$6:$Q$3099,9,FALSE)</f>
        <v>12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Other</v>
      </c>
      <c r="B11" s="1166" t="str">
        <f>VLOOKUP(6,$I$6:$P$3099,3,FALSE)</f>
        <v/>
      </c>
      <c r="C11" s="1166">
        <f>VLOOKUP(6,$I$6:$P$3099,4,FALSE)</f>
        <v>0</v>
      </c>
      <c r="D11" s="1165">
        <f>VLOOKUP(6,$I$6:$P$3099,5,FALSE)</f>
        <v>0</v>
      </c>
      <c r="E11" s="1165">
        <f>VLOOKUP(6,$I$6:$P$3099,6,FALSE)</f>
        <v>0</v>
      </c>
      <c r="F11" s="82">
        <f t="shared" si="2"/>
        <v>0</v>
      </c>
      <c r="G11" s="1166">
        <f>VLOOKUP(6,$I$6:$P$3099,8,FALSE)</f>
        <v>0</v>
      </c>
      <c r="H11" s="1073">
        <f>VLOOKUP(6,$I$6:$Q$3099,9,FALSE)</f>
        <v>12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Other</v>
      </c>
      <c r="B12" s="1166" t="str">
        <f>VLOOKUP(7,$I$6:$P$3099,3,FALSE)</f>
        <v/>
      </c>
      <c r="C12" s="1166">
        <f>VLOOKUP(7,$I$6:$P$3099,4,FALSE)</f>
        <v>0</v>
      </c>
      <c r="D12" s="1165">
        <f>VLOOKUP(7,$I$6:$P$3099,5,FALSE)</f>
        <v>0</v>
      </c>
      <c r="E12" s="1165">
        <f>VLOOKUP(7,$I$6:$P$3099,6,FALSE)</f>
        <v>0</v>
      </c>
      <c r="F12" s="82">
        <f t="shared" si="2"/>
        <v>0</v>
      </c>
      <c r="G12" s="1166">
        <f>VLOOKUP(7,$I$6:$P$3099,8,FALSE)</f>
        <v>0</v>
      </c>
      <c r="H12" s="1073">
        <f>VLOOKUP(7,$I$6:$Q$3099,9,FALSE)</f>
        <v>12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Other</v>
      </c>
      <c r="B13" s="1166" t="str">
        <f>VLOOKUP(8,$I$6:$P$3099,3,FALSE)</f>
        <v/>
      </c>
      <c r="C13" s="1166">
        <f>VLOOKUP(8,$I$6:$P$3099,4,FALSE)</f>
        <v>0</v>
      </c>
      <c r="D13" s="1165">
        <f>VLOOKUP(8,$I$6:$P$3099,5,FALSE)</f>
        <v>0</v>
      </c>
      <c r="E13" s="1165">
        <f>VLOOKUP(8,$I$6:$P$3099,6,FALSE)</f>
        <v>0</v>
      </c>
      <c r="F13" s="82">
        <f t="shared" si="2"/>
        <v>0</v>
      </c>
      <c r="G13" s="1166">
        <f>VLOOKUP(8,$I$6:$P$3099,8,FALSE)</f>
        <v>0</v>
      </c>
      <c r="H13" s="1073">
        <f>VLOOKUP(8,$I$6:$Q$3099,9,FALSE)</f>
        <v>12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12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12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12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12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12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12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32.388250000000006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Prevathon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1.05</v>
      </c>
      <c r="E24" s="1165">
        <f>VLOOKUP(15,$I$6:$P$3099,6,FALSE)</f>
        <v>14</v>
      </c>
      <c r="F24" s="82">
        <f t="shared" ref="F24:F33" si="4">D24*E24</f>
        <v>14.700000000000001</v>
      </c>
      <c r="G24" s="1166">
        <f>VLOOKUP(15,$I$6:$P$3099,8,FALSE)</f>
        <v>14</v>
      </c>
      <c r="H24" s="1073">
        <f>VLOOKUP(15,$I$6:$Q$3099,9,FALSE)</f>
        <v>12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Sivanto Prime</v>
      </c>
      <c r="B25" s="1166" t="str">
        <f>VLOOKUP(16,$I$6:$P$3099,3,FALSE)</f>
        <v/>
      </c>
      <c r="C25" s="1166" t="str">
        <f>VLOOKUP(16,$I$6:$P$3099,4,FALSE)</f>
        <v>oz</v>
      </c>
      <c r="D25" s="1165">
        <f>VLOOKUP(16,$I$6:$P$3099,5,FALSE)</f>
        <v>3.01</v>
      </c>
      <c r="E25" s="1165">
        <f>VLOOKUP(16,$I$6:$P$3099,6,FALSE)</f>
        <v>4</v>
      </c>
      <c r="F25" s="82">
        <f t="shared" si="4"/>
        <v>12.04</v>
      </c>
      <c r="G25" s="1166">
        <f>VLOOKUP(16,$I$6:$P$3099,8,FALSE)</f>
        <v>4</v>
      </c>
      <c r="H25" s="1073">
        <f>VLOOKUP(16,$I$6:$Q$3099,9,FALSE)</f>
        <v>12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Warrior</v>
      </c>
      <c r="B26" s="1166" t="str">
        <f>VLOOKUP(17,$I$6:$P$3099,3,FALSE)</f>
        <v/>
      </c>
      <c r="C26" s="1166" t="str">
        <f>VLOOKUP(17,$I$6:$P$3099,4,FALSE)</f>
        <v>oz</v>
      </c>
      <c r="D26" s="1165">
        <f>VLOOKUP(17,$I$6:$P$3099,5,FALSE)</f>
        <v>3.02</v>
      </c>
      <c r="E26" s="1165">
        <f>VLOOKUP(17,$I$6:$P$3099,6,FALSE)</f>
        <v>0.96</v>
      </c>
      <c r="F26" s="82">
        <f t="shared" si="4"/>
        <v>2.8992</v>
      </c>
      <c r="G26" s="1166">
        <f>VLOOKUP(17,$I$6:$P$3099,8,FALSE)</f>
        <v>0</v>
      </c>
      <c r="H26" s="1073">
        <f>VLOOKUP(17,$I$6:$Q$3099,9,FALSE)</f>
        <v>12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12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12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12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12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12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12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12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29.639200000000002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12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12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12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12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12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12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12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12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12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12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12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12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12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12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12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12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1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12</v>
      </c>
    </row>
    <row r="689" spans="9:17" ht="13.9" x14ac:dyDescent="0.4">
      <c r="I689" s="1073">
        <f t="shared" ref="I689:I701" si="144">IF($A$1=12,I688+1,0)</f>
        <v>2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12</v>
      </c>
    </row>
    <row r="690" spans="9:17" ht="13.9" x14ac:dyDescent="0.4">
      <c r="I690" s="1073">
        <f t="shared" si="144"/>
        <v>3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12</v>
      </c>
    </row>
    <row r="691" spans="9:17" ht="13.9" x14ac:dyDescent="0.4">
      <c r="I691" s="1073">
        <f t="shared" si="144"/>
        <v>4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12</v>
      </c>
    </row>
    <row r="692" spans="9:17" ht="13.9" x14ac:dyDescent="0.4">
      <c r="I692" s="1073">
        <f t="shared" si="144"/>
        <v>5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12</v>
      </c>
    </row>
    <row r="693" spans="9:17" ht="13.9" x14ac:dyDescent="0.4">
      <c r="I693" s="1073">
        <f t="shared" si="144"/>
        <v>6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12</v>
      </c>
    </row>
    <row r="694" spans="9:17" ht="13.9" x14ac:dyDescent="0.4">
      <c r="I694" s="1073">
        <f t="shared" si="144"/>
        <v>7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12</v>
      </c>
    </row>
    <row r="695" spans="9:17" ht="13.9" x14ac:dyDescent="0.4">
      <c r="I695" s="1073">
        <f t="shared" si="144"/>
        <v>8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12</v>
      </c>
    </row>
    <row r="696" spans="9:17" ht="13.9" x14ac:dyDescent="0.4">
      <c r="I696" s="1073">
        <f t="shared" si="144"/>
        <v>9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12</v>
      </c>
    </row>
    <row r="697" spans="9:17" ht="13.9" x14ac:dyDescent="0.4">
      <c r="I697" s="1073">
        <f t="shared" si="144"/>
        <v>10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12</v>
      </c>
    </row>
    <row r="698" spans="9:17" ht="13.9" x14ac:dyDescent="0.4">
      <c r="I698" s="1073">
        <f t="shared" si="144"/>
        <v>11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12</v>
      </c>
    </row>
    <row r="699" spans="9:17" ht="13.9" x14ac:dyDescent="0.4">
      <c r="I699" s="1073">
        <f t="shared" si="144"/>
        <v>12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12</v>
      </c>
    </row>
    <row r="700" spans="9:17" ht="13.9" x14ac:dyDescent="0.4">
      <c r="I700" s="1073">
        <f t="shared" si="144"/>
        <v>13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12</v>
      </c>
    </row>
    <row r="701" spans="9:17" ht="13.9" x14ac:dyDescent="0.4">
      <c r="I701" s="1073">
        <f t="shared" si="144"/>
        <v>14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12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15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12</v>
      </c>
    </row>
    <row r="707" spans="9:17" ht="13.9" x14ac:dyDescent="0.4">
      <c r="I707" s="1073">
        <f t="shared" ref="I707:I715" si="146">IF($A$1=12,I706+1,0)</f>
        <v>16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12</v>
      </c>
    </row>
    <row r="708" spans="9:17" ht="13.9" x14ac:dyDescent="0.4">
      <c r="I708" s="1073">
        <f t="shared" si="146"/>
        <v>17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12</v>
      </c>
    </row>
    <row r="709" spans="9:17" ht="13.9" x14ac:dyDescent="0.4">
      <c r="I709" s="1073">
        <f t="shared" si="146"/>
        <v>18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12</v>
      </c>
    </row>
    <row r="710" spans="9:17" ht="13.9" x14ac:dyDescent="0.4">
      <c r="I710" s="1073">
        <f t="shared" si="146"/>
        <v>19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12</v>
      </c>
    </row>
    <row r="711" spans="9:17" ht="13.9" x14ac:dyDescent="0.4">
      <c r="I711" s="1073">
        <f t="shared" si="146"/>
        <v>20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12</v>
      </c>
    </row>
    <row r="712" spans="9:17" ht="13.9" x14ac:dyDescent="0.4">
      <c r="I712" s="1073">
        <f t="shared" si="146"/>
        <v>21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12</v>
      </c>
    </row>
    <row r="713" spans="9:17" ht="13.9" x14ac:dyDescent="0.4">
      <c r="I713" s="1073">
        <f t="shared" si="146"/>
        <v>22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12</v>
      </c>
    </row>
    <row r="714" spans="9:17" ht="13.9" x14ac:dyDescent="0.4">
      <c r="I714" s="1073">
        <f t="shared" si="146"/>
        <v>23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12</v>
      </c>
    </row>
    <row r="715" spans="9:17" ht="13.9" x14ac:dyDescent="0.4">
      <c r="I715" s="1073">
        <f t="shared" si="146"/>
        <v>24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12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25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12</v>
      </c>
    </row>
    <row r="721" spans="9:17" ht="13.9" x14ac:dyDescent="0.4">
      <c r="I721" s="1073">
        <f>IF($A$1=12,I720+1,0)</f>
        <v>26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12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27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12</v>
      </c>
    </row>
    <row r="727" spans="9:17" ht="13.9" x14ac:dyDescent="0.4">
      <c r="I727" s="1073">
        <f t="shared" ref="I727:I732" si="150">IF($A$1=12,I726+1,0)</f>
        <v>28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12</v>
      </c>
    </row>
    <row r="728" spans="9:17" ht="13.9" x14ac:dyDescent="0.4">
      <c r="I728" s="1073">
        <f t="shared" si="150"/>
        <v>29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12</v>
      </c>
    </row>
    <row r="729" spans="9:17" ht="13.9" x14ac:dyDescent="0.4">
      <c r="I729" s="1073">
        <f t="shared" si="150"/>
        <v>30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12</v>
      </c>
    </row>
    <row r="730" spans="9:17" ht="13.9" x14ac:dyDescent="0.4">
      <c r="I730" s="1073">
        <f t="shared" si="150"/>
        <v>31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12</v>
      </c>
    </row>
    <row r="731" spans="9:17" ht="13.9" x14ac:dyDescent="0.4">
      <c r="I731" s="1073">
        <f t="shared" si="150"/>
        <v>32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12</v>
      </c>
    </row>
    <row r="732" spans="9:17" ht="13.9" x14ac:dyDescent="0.4">
      <c r="I732" s="1073">
        <f t="shared" si="150"/>
        <v>33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12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34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12</v>
      </c>
    </row>
    <row r="738" spans="9:17" ht="13.9" x14ac:dyDescent="0.4">
      <c r="I738" s="1073">
        <f t="shared" ref="I738:I743" si="153">IF($A$1=12,I737+1,0)</f>
        <v>35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12</v>
      </c>
    </row>
    <row r="739" spans="9:17" ht="13.9" x14ac:dyDescent="0.4">
      <c r="I739" s="1073">
        <f t="shared" si="153"/>
        <v>36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12</v>
      </c>
    </row>
    <row r="740" spans="9:17" ht="13.9" x14ac:dyDescent="0.4">
      <c r="I740" s="1073">
        <f t="shared" si="153"/>
        <v>37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12</v>
      </c>
    </row>
    <row r="741" spans="9:17" ht="13.9" x14ac:dyDescent="0.4">
      <c r="I741" s="1073">
        <f t="shared" si="153"/>
        <v>38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12</v>
      </c>
    </row>
    <row r="742" spans="9:17" ht="13.9" x14ac:dyDescent="0.4">
      <c r="I742" s="1073">
        <f t="shared" si="153"/>
        <v>39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12</v>
      </c>
    </row>
    <row r="743" spans="9:17" ht="13.9" x14ac:dyDescent="0.4">
      <c r="I743" s="1073">
        <f t="shared" si="153"/>
        <v>40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12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3.5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3.5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3.5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3.5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3.5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3.5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3.5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8. Details of Chemicals Applied, Grain Sorghum, Pivot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Metolachlor</v>
      </c>
      <c r="B6" s="104" t="e">
        <f>Seed_Chemical!#REF!</f>
        <v>#REF!</v>
      </c>
      <c r="C6" s="104" t="str">
        <f>Seed_Chemical!C14</f>
        <v>pt</v>
      </c>
      <c r="D6" s="96">
        <f>Seed_Chemical!D14</f>
        <v>5.0387500000000003</v>
      </c>
      <c r="E6" s="96">
        <f>Seed_Chemical!E14</f>
        <v>1.3</v>
      </c>
      <c r="F6" s="96">
        <f>Seed_Chemical!F14</f>
        <v>6.5503750000000007</v>
      </c>
      <c r="G6" s="106" t="e">
        <f>Seed_Chemical!#REF!</f>
        <v>#REF!</v>
      </c>
    </row>
    <row r="7" spans="1:7" ht="13.9" x14ac:dyDescent="0.4">
      <c r="A7" s="96" t="str">
        <f>Seed_Chemical!A15</f>
        <v>Metolachlor</v>
      </c>
      <c r="B7" s="104" t="e">
        <f>Seed_Chemical!#REF!</f>
        <v>#REF!</v>
      </c>
      <c r="C7" s="104" t="str">
        <f>Seed_Chemical!C15</f>
        <v>pt</v>
      </c>
      <c r="D7" s="96">
        <f>Seed_Chemical!D15</f>
        <v>5.0387500000000003</v>
      </c>
      <c r="E7" s="96">
        <f>Seed_Chemical!E15</f>
        <v>1.3</v>
      </c>
      <c r="F7" s="96">
        <f>Seed_Chemical!F15</f>
        <v>6.5503750000000007</v>
      </c>
      <c r="G7" s="106" t="e">
        <f>Seed_Chemical!#REF!</f>
        <v>#REF!</v>
      </c>
    </row>
    <row r="8" spans="1:7" ht="13.9" x14ac:dyDescent="0.4">
      <c r="A8" s="96" t="str">
        <f>Seed_Chemical!A16</f>
        <v>Atrazine</v>
      </c>
      <c r="B8" s="104" t="e">
        <f>Seed_Chemical!#REF!</f>
        <v>#REF!</v>
      </c>
      <c r="C8" s="104" t="str">
        <f>Seed_Chemical!C16</f>
        <v>qt</v>
      </c>
      <c r="D8" s="96">
        <f>Seed_Chemical!D16</f>
        <v>4.1124999999999998</v>
      </c>
      <c r="E8" s="96">
        <f>Seed_Chemical!E16</f>
        <v>2</v>
      </c>
      <c r="F8" s="96">
        <f>Seed_Chemical!F16</f>
        <v>8.2249999999999996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32.388250000000006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Prevathon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1.05</v>
      </c>
      <c r="E22" s="96">
        <f>Seed_Chemical!E30</f>
        <v>14</v>
      </c>
      <c r="F22" s="96">
        <f>Seed_Chemical!F30</f>
        <v>14.700000000000001</v>
      </c>
      <c r="G22" s="106" t="e">
        <f>Seed_Chemical!#REF!</f>
        <v>#REF!</v>
      </c>
    </row>
    <row r="23" spans="1:7" ht="13.9" x14ac:dyDescent="0.4">
      <c r="A23" s="96" t="str">
        <f>Seed_Chemical!A31</f>
        <v>Sivanto Prime</v>
      </c>
      <c r="B23" s="104" t="e">
        <f>Seed_Chemical!#REF!</f>
        <v>#REF!</v>
      </c>
      <c r="C23" s="104" t="str">
        <f>Seed_Chemical!C31</f>
        <v>oz</v>
      </c>
      <c r="D23" s="96">
        <f>Seed_Chemical!D31</f>
        <v>3.01</v>
      </c>
      <c r="E23" s="96">
        <f>Seed_Chemical!E31</f>
        <v>4</v>
      </c>
      <c r="F23" s="96">
        <f>Seed_Chemical!F31</f>
        <v>12.04</v>
      </c>
      <c r="G23" s="106" t="e">
        <f>Seed_Chemical!#REF!</f>
        <v>#REF!</v>
      </c>
    </row>
    <row r="24" spans="1:7" ht="13.9" x14ac:dyDescent="0.4">
      <c r="A24" s="96" t="str">
        <f>Seed_Chemical!A32</f>
        <v>Warrior</v>
      </c>
      <c r="B24" s="104" t="e">
        <f>Seed_Chemical!#REF!</f>
        <v>#REF!</v>
      </c>
      <c r="C24" s="104" t="str">
        <f>Seed_Chemical!C32</f>
        <v>oz</v>
      </c>
      <c r="D24" s="96">
        <f>Seed_Chemical!D32</f>
        <v>3.02</v>
      </c>
      <c r="E24" s="96">
        <f>Seed_Chemical!E32</f>
        <v>0.96</v>
      </c>
      <c r="F24" s="96">
        <f>Seed_Chemical!F32</f>
        <v>2.8992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29.639200000000002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8. Details of Chemicals Applied, Grain Sorghum, Pivot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Metolachlor</v>
      </c>
      <c r="B6" s="104" t="e">
        <f>Seed_Chemical!#REF!</f>
        <v>#REF!</v>
      </c>
      <c r="C6" s="104" t="str">
        <f>Seed_Chemical!C14</f>
        <v>pt</v>
      </c>
      <c r="D6" s="96">
        <f>Seed_Chemical!D14</f>
        <v>5.0387500000000003</v>
      </c>
      <c r="E6" s="96">
        <f>Seed_Chemical!E14</f>
        <v>1.3</v>
      </c>
      <c r="F6" s="96">
        <f>Seed_Chemical!F14</f>
        <v>6.5503750000000007</v>
      </c>
      <c r="G6" s="106" t="e">
        <f>Seed_Chemical!#REF!</f>
        <v>#REF!</v>
      </c>
    </row>
    <row r="7" spans="1:7" ht="13.9" x14ac:dyDescent="0.4">
      <c r="A7" s="96" t="str">
        <f>Seed_Chemical!A15</f>
        <v>Metolachlor</v>
      </c>
      <c r="B7" s="104" t="e">
        <f>Seed_Chemical!#REF!</f>
        <v>#REF!</v>
      </c>
      <c r="C7" s="104" t="str">
        <f>Seed_Chemical!C15</f>
        <v>pt</v>
      </c>
      <c r="D7" s="96">
        <f>Seed_Chemical!D15</f>
        <v>5.0387500000000003</v>
      </c>
      <c r="E7" s="96">
        <f>Seed_Chemical!E15</f>
        <v>1.3</v>
      </c>
      <c r="F7" s="96">
        <f>Seed_Chemical!F15</f>
        <v>6.5503750000000007</v>
      </c>
      <c r="G7" s="106" t="e">
        <f>Seed_Chemical!#REF!</f>
        <v>#REF!</v>
      </c>
    </row>
    <row r="8" spans="1:7" ht="13.9" x14ac:dyDescent="0.4">
      <c r="A8" s="96" t="str">
        <f>Seed_Chemical!A16</f>
        <v>Atrazine</v>
      </c>
      <c r="B8" s="104" t="e">
        <f>Seed_Chemical!#REF!</f>
        <v>#REF!</v>
      </c>
      <c r="C8" s="104" t="str">
        <f>Seed_Chemical!C16</f>
        <v>qt</v>
      </c>
      <c r="D8" s="96">
        <f>Seed_Chemical!D16</f>
        <v>4.1124999999999998</v>
      </c>
      <c r="E8" s="96">
        <f>Seed_Chemical!E16</f>
        <v>2</v>
      </c>
      <c r="F8" s="96">
        <f>Seed_Chemical!F16</f>
        <v>8.2249999999999996</v>
      </c>
      <c r="G8" s="106" t="e">
        <f>Seed_Chemical!#REF!</f>
        <v>#REF!</v>
      </c>
    </row>
    <row r="9" spans="1:7" ht="13.9" x14ac:dyDescent="0.4">
      <c r="A9" s="96" t="str">
        <f>Seed_Chemical!A17</f>
        <v xml:space="preserve"> </v>
      </c>
      <c r="B9" s="104" t="e">
        <f>Seed_Chemical!#REF!</f>
        <v>#REF!</v>
      </c>
      <c r="C9" s="104" t="str">
        <f>Seed_Chemical!C17</f>
        <v xml:space="preserve"> </v>
      </c>
      <c r="D9" s="96">
        <f>Seed_Chemical!D17</f>
        <v>0</v>
      </c>
      <c r="E9" s="96">
        <f>Seed_Chemical!E17</f>
        <v>0</v>
      </c>
      <c r="F9" s="96">
        <f>Seed_Chemical!F17</f>
        <v>0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32.388250000000006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Prevathon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1.05</v>
      </c>
      <c r="E18" s="96">
        <f>Seed_Chemical!E30</f>
        <v>14</v>
      </c>
      <c r="F18" s="96">
        <f>Seed_Chemical!F30</f>
        <v>14.700000000000001</v>
      </c>
      <c r="G18" s="106" t="e">
        <f>Seed_Chemical!#REF!</f>
        <v>#REF!</v>
      </c>
    </row>
    <row r="19" spans="1:7" ht="13.9" x14ac:dyDescent="0.4">
      <c r="A19" s="96" t="str">
        <f>Seed_Chemical!A31</f>
        <v>Sivanto Prime</v>
      </c>
      <c r="B19" s="104" t="e">
        <f>Seed_Chemical!#REF!</f>
        <v>#REF!</v>
      </c>
      <c r="C19" s="104" t="str">
        <f>Seed_Chemical!C31</f>
        <v>oz</v>
      </c>
      <c r="D19" s="96">
        <f>Seed_Chemical!D31</f>
        <v>3.01</v>
      </c>
      <c r="E19" s="96">
        <f>Seed_Chemical!E31</f>
        <v>4</v>
      </c>
      <c r="F19" s="96">
        <f>Seed_Chemical!F31</f>
        <v>12.04</v>
      </c>
      <c r="G19" s="106" t="e">
        <f>Seed_Chemical!#REF!</f>
        <v>#REF!</v>
      </c>
    </row>
    <row r="20" spans="1:7" ht="13.9" x14ac:dyDescent="0.4">
      <c r="A20" s="96" t="str">
        <f>Seed_Chemical!A32</f>
        <v>Warrior</v>
      </c>
      <c r="B20" s="104" t="e">
        <f>Seed_Chemical!#REF!</f>
        <v>#REF!</v>
      </c>
      <c r="C20" s="104" t="str">
        <f>Seed_Chemical!C32</f>
        <v>oz</v>
      </c>
      <c r="D20" s="96">
        <f>Seed_Chemical!D32</f>
        <v>3.02</v>
      </c>
      <c r="E20" s="96">
        <f>Seed_Chemical!E32</f>
        <v>0.96</v>
      </c>
      <c r="F20" s="96">
        <f>Seed_Chemical!F32</f>
        <v>2.8992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29.639200000000002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