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10" documentId="8_{0533F737-57CF-4911-9B40-717531BA859B}" xr6:coauthVersionLast="47" xr6:coauthVersionMax="47" xr10:uidLastSave="{C1F37AA2-9579-4B7C-BFA8-3E480A369403}"/>
  <bookViews>
    <workbookView xWindow="47850" yWindow="3390" windowWidth="15825" windowHeight="10515" firstSheet="18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6" l="1"/>
  <c r="G10" i="25"/>
  <c r="F10" i="25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2 -</t>
        </r>
        <r>
          <rPr>
            <sz val="9"/>
            <color indexed="81"/>
            <rFont val="Tahoma"/>
            <family val="2"/>
          </rPr>
          <t xml:space="preserve">
3 oz Valor EZ, 2 pt Prowl H2O 
</t>
        </r>
        <r>
          <rPr>
            <i/>
            <u/>
            <sz val="9"/>
            <color indexed="81"/>
            <rFont val="Tahoma"/>
            <family val="2"/>
          </rPr>
          <t xml:space="preserve">Custom Ground App 3 -  </t>
        </r>
        <r>
          <rPr>
            <sz val="9"/>
            <color indexed="81"/>
            <rFont val="Tahoma"/>
            <family val="2"/>
          </rPr>
          <t xml:space="preserve">
3.25 oz Zidua SC, 2 pt Ultra Blazer, 0.5 pt 2,4-DB
</t>
        </r>
        <r>
          <rPr>
            <i/>
            <u/>
            <sz val="9"/>
            <color indexed="81"/>
            <rFont val="Tahoma"/>
            <family val="2"/>
          </rPr>
          <t xml:space="preserve">Custom Ground App 4 - </t>
        </r>
        <r>
          <rPr>
            <sz val="9"/>
            <color indexed="81"/>
            <rFont val="Tahoma"/>
            <family val="2"/>
          </rPr>
          <t xml:space="preserve">
12 oz Select Max for grasses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In-Furrow at Plant- </t>
        </r>
        <r>
          <rPr>
            <sz val="9"/>
            <color indexed="81"/>
            <rFont val="Tahoma"/>
            <family val="2"/>
          </rPr>
          <t xml:space="preserve">
9 oz Admire Pro
</t>
        </r>
      </text>
    </comment>
    <comment ref="F17" authorId="0" shapeId="0" xr:uid="{AED18358-2D0E-4B52-903B-7DD2B2487C4F}">
      <text>
        <r>
          <rPr>
            <b/>
            <u/>
            <sz val="9"/>
            <color indexed="81"/>
            <rFont val="Tahoma"/>
            <family val="2"/>
          </rPr>
          <t>Fungicide:</t>
        </r>
        <r>
          <rPr>
            <i/>
            <u/>
            <sz val="9"/>
            <color indexed="81"/>
            <rFont val="Tahoma"/>
            <family val="2"/>
          </rPr>
          <t xml:space="preserve">
Custom Ground App 5 - 
</t>
        </r>
        <r>
          <rPr>
            <sz val="9"/>
            <color indexed="81"/>
            <rFont val="Tahoma"/>
            <family val="2"/>
          </rPr>
          <t xml:space="preserve">2 pt Muscle ADV
</t>
        </r>
        <r>
          <rPr>
            <i/>
            <u/>
            <sz val="9"/>
            <color indexed="81"/>
            <rFont val="Tahoma"/>
            <family val="2"/>
          </rPr>
          <t xml:space="preserve">Custom Ground App 6 - 
</t>
        </r>
        <r>
          <rPr>
            <sz val="9"/>
            <color indexed="81"/>
            <rFont val="Tahoma"/>
            <family val="2"/>
          </rPr>
          <t xml:space="preserve">1.5 pt Convoy
</t>
        </r>
        <r>
          <rPr>
            <i/>
            <u/>
            <sz val="9"/>
            <color indexed="81"/>
            <rFont val="Tahoma"/>
            <family val="2"/>
          </rPr>
          <t xml:space="preserve">Custom Ground App 7 - 
</t>
        </r>
        <r>
          <rPr>
            <sz val="9"/>
            <color indexed="81"/>
            <rFont val="Tahoma"/>
            <family val="2"/>
          </rPr>
          <t xml:space="preserve">2 pt Muscle ADV
</t>
        </r>
      </text>
    </comment>
    <comment ref="F18" authorId="0" shapeId="0" xr:uid="{80A947F1-4AD2-4E19-8F59-8297486C0C92}">
      <text>
        <r>
          <rPr>
            <b/>
            <u/>
            <sz val="9"/>
            <color indexed="81"/>
            <rFont val="Tahoma"/>
            <family val="2"/>
          </rPr>
          <t xml:space="preserve">Innoculant:
</t>
        </r>
        <r>
          <rPr>
            <i/>
            <u/>
            <sz val="9"/>
            <color indexed="81"/>
            <rFont val="Tahoma"/>
            <family val="2"/>
          </rPr>
          <t xml:space="preserve">In Furrow at Plant:
</t>
        </r>
        <r>
          <rPr>
            <sz val="9"/>
            <color indexed="81"/>
            <rFont val="Tahoma"/>
            <family val="2"/>
          </rPr>
          <t xml:space="preserve">14 oz Optimize
</t>
        </r>
      </text>
    </comment>
    <comment ref="F33" authorId="0" shapeId="0" xr:uid="{5A81CDC3-0A0A-4B58-A919-4A11248AB6E0}">
      <text>
        <r>
          <rPr>
            <b/>
            <u/>
            <sz val="9"/>
            <color indexed="81"/>
            <rFont val="Tahoma"/>
            <family val="2"/>
          </rPr>
          <t>Labor: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Field Activities: $22.15/ac</t>
        </r>
        <r>
          <rPr>
            <sz val="9"/>
            <color indexed="81"/>
            <rFont val="Tahoma"/>
            <family val="2"/>
          </rPr>
          <t xml:space="preserve">
1.5244 hrs @ $14.35/hr
</t>
        </r>
        <r>
          <rPr>
            <i/>
            <sz val="9"/>
            <color indexed="81"/>
            <rFont val="Tahoma"/>
            <family val="2"/>
          </rPr>
          <t xml:space="preserve">Irrigation: $1.39/ac
</t>
        </r>
        <r>
          <rPr>
            <sz val="9"/>
            <color indexed="81"/>
            <rFont val="Tahoma"/>
            <family val="2"/>
          </rPr>
          <t>0.0957 hrs @ $14.35/hr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Disk x 1
Subsoiler x 1
Field Cultivator x 1
Hipper x 1
Do-All x 1
Planter x 1
Polypipe; Roll Out, Punch, Take Up x 1
Peanut Digger x 1
Peanut Conditioner x 1
Peanut Harvester, with Tractor x 1
Peanut Dump Cart with Tractor x 1</t>
        </r>
      </text>
    </comment>
  </commentList>
</comments>
</file>

<file path=xl/sharedStrings.xml><?xml version="1.0" encoding="utf-8"?>
<sst xmlns="http://schemas.openxmlformats.org/spreadsheetml/2006/main" count="8688" uniqueCount="1247">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</sst>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2.6</v>
      </c>
      <c r="Q2" s="1177">
        <f>P2</f>
        <v>2.6</v>
      </c>
      <c r="R2" s="650">
        <v>220</v>
      </c>
      <c r="S2" s="1177">
        <f>IF(Irrigation!$B$2&lt;3,(Q2*$Q$36)+(R2*$R$36),A1_Link!Q2)</f>
        <v>104.17007580569413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2.6</v>
      </c>
      <c r="D3" s="3"/>
      <c r="E3" s="1190"/>
      <c r="F3" s="4" t="s">
        <v>2</v>
      </c>
      <c r="G3" s="1272" t="str">
        <f>Budget!C3</f>
        <v>Tons</v>
      </c>
      <c r="H3" s="3"/>
      <c r="I3" s="1190"/>
      <c r="J3" s="651" t="s">
        <v>493</v>
      </c>
      <c r="K3" s="1183">
        <f>C3</f>
        <v>2.6</v>
      </c>
      <c r="L3" s="182"/>
      <c r="M3" s="1190"/>
      <c r="N3" s="3"/>
      <c r="O3" s="648" t="s">
        <v>21</v>
      </c>
      <c r="P3" s="1181">
        <f>Budget!E3</f>
        <v>500</v>
      </c>
      <c r="Q3" s="1177">
        <f>P3</f>
        <v>500</v>
      </c>
      <c r="R3" s="650">
        <v>4</v>
      </c>
      <c r="S3" s="1177">
        <f>IF(Irrigation!$B$2&lt;3,(Q3*$Q$36)+(R3*$R$36),A1_Link!Q3)</f>
        <v>268.26698436235381</v>
      </c>
      <c r="T3" s="650"/>
      <c r="U3" s="1190"/>
      <c r="V3" s="3"/>
      <c r="W3" s="3"/>
      <c r="X3" s="648" t="s">
        <v>21</v>
      </c>
      <c r="Y3" s="650">
        <f>Budget!E3</f>
        <v>500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50.024999999999999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500</v>
      </c>
      <c r="D4" s="3"/>
      <c r="E4" s="1190"/>
      <c r="F4" s="4" t="s">
        <v>788</v>
      </c>
      <c r="G4" s="1189">
        <f>C3</f>
        <v>2.6</v>
      </c>
      <c r="H4" s="3"/>
      <c r="I4" s="1190"/>
      <c r="J4" s="651" t="s">
        <v>494</v>
      </c>
      <c r="K4" s="1245">
        <f>C4</f>
        <v>500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>
        <f>IF(Irrigation!$B$2&lt;3,(IF(A2_Budget_Look_Up!B7&gt;0,Q4,0)*$Q$36)+(IF(A2_Budget_Look_Up!B7&gt;0,R4,0)*$R$36),A1_Link!Q4)</f>
        <v>0</v>
      </c>
      <c r="T4" s="650"/>
      <c r="U4" s="1190"/>
      <c r="V4" s="3"/>
      <c r="W4" s="3"/>
      <c r="X4" s="648" t="s">
        <v>15</v>
      </c>
      <c r="Y4" s="650">
        <f>Budget!D3</f>
        <v>2.6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50.024999999999999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500</v>
      </c>
      <c r="H6" s="3"/>
      <c r="I6" s="1190"/>
      <c r="J6" s="652" t="s">
        <v>231</v>
      </c>
      <c r="K6" s="173">
        <f>K3*K4*(K5)</f>
        <v>1300</v>
      </c>
      <c r="L6" s="182"/>
      <c r="M6" s="1190"/>
      <c r="N6" s="3"/>
      <c r="O6" s="648" t="s">
        <v>482</v>
      </c>
      <c r="P6" s="1181">
        <f>Budget!F6</f>
        <v>100.05</v>
      </c>
      <c r="Q6" s="1177">
        <f t="shared" ref="Q6:Q26" si="0">P6</f>
        <v>100.05</v>
      </c>
      <c r="R6" s="650">
        <v>125.73</v>
      </c>
      <c r="S6" s="1177">
        <f>IF(Irrigation!$B$2&lt;3,(Q6*$Q$36)+(R6*$R$36),A1_Link!Q6)</f>
        <v>112.04779000317491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0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0</v>
      </c>
      <c r="Q7" s="1177">
        <f t="shared" si="0"/>
        <v>0</v>
      </c>
      <c r="R7" s="650">
        <v>104.82639999999999</v>
      </c>
      <c r="S7" s="1177">
        <f>IF(Irrigation!$B$2&lt;3,(Q7*$Q$36)+(R7*$R$36),A1_Link!Q7)</f>
        <v>48.975277803302731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510.65581119065951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22.424999999999997</v>
      </c>
      <c r="AI7" s="3"/>
    </row>
    <row r="8" spans="2:35" ht="13.9" x14ac:dyDescent="0.4">
      <c r="B8" s="1185" t="s">
        <v>223</v>
      </c>
      <c r="C8" s="1186">
        <f>Budget!F6</f>
        <v>100.05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22.424999999999997</v>
      </c>
      <c r="Q8" s="1177">
        <f t="shared" si="0"/>
        <v>22.424999999999997</v>
      </c>
      <c r="R8" s="650">
        <v>30</v>
      </c>
      <c r="S8" s="1177">
        <f>IF(Irrigation!$B$2&lt;3,(Q8*$Q$36)+(R8*$R$36),A1_Link!Q8)</f>
        <v>25.964067728740261</v>
      </c>
      <c r="T8" s="650"/>
      <c r="U8" s="1190"/>
      <c r="V8" s="3"/>
      <c r="W8" s="3"/>
      <c r="X8" s="648" t="s">
        <v>1</v>
      </c>
      <c r="Y8" s="650">
        <f>Budget!F36</f>
        <v>22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21.25</v>
      </c>
      <c r="AI8" s="3"/>
    </row>
    <row r="9" spans="2:35" ht="13.9" x14ac:dyDescent="0.4">
      <c r="B9" s="1185" t="s">
        <v>224</v>
      </c>
      <c r="C9" s="1186">
        <f>SUM(Budget!F7:F13)</f>
        <v>43.674999999999997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457.61556421685577</v>
      </c>
      <c r="L9" s="182">
        <v>491.31931557339078</v>
      </c>
      <c r="M9" s="1190"/>
      <c r="N9" s="3"/>
      <c r="O9" s="648" t="s">
        <v>484</v>
      </c>
      <c r="P9" s="1181">
        <f>Budget!F9</f>
        <v>21.25</v>
      </c>
      <c r="Q9" s="1177">
        <f t="shared" si="0"/>
        <v>21.25</v>
      </c>
      <c r="R9" s="650">
        <v>33.299999999999997</v>
      </c>
      <c r="S9" s="1177">
        <f>IF(Irrigation!$B$2&lt;3,(Q9*$Q$36)+(R9*$R$36),A1_Link!Q9)</f>
        <v>26.879804109745233</v>
      </c>
      <c r="T9" s="650"/>
      <c r="U9" s="1190"/>
      <c r="V9" s="3"/>
      <c r="W9" s="3"/>
      <c r="X9" s="648" t="s">
        <v>55</v>
      </c>
      <c r="Y9" s="650">
        <f>Trips!E45+Trips!E51+(Trips!E72*(1-W10))+Trips!E76</f>
        <v>23.54699715750268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0</v>
      </c>
      <c r="AI9" s="3"/>
    </row>
    <row r="10" spans="2:35" ht="13.9" x14ac:dyDescent="0.4">
      <c r="B10" s="1185" t="s">
        <v>495</v>
      </c>
      <c r="C10" s="1186">
        <f>SUM(Budget!F14:F18)</f>
        <v>157.62460937499998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22</v>
      </c>
      <c r="L10" s="182">
        <v>0</v>
      </c>
      <c r="M10" s="1190"/>
      <c r="N10" s="3"/>
      <c r="O10" s="648" t="s">
        <v>485</v>
      </c>
      <c r="P10" s="1181">
        <f>SUM(Budget!F10:F13)</f>
        <v>0</v>
      </c>
      <c r="Q10" s="1177">
        <f t="shared" si="0"/>
        <v>0</v>
      </c>
      <c r="R10" s="650">
        <v>22.159999999999997</v>
      </c>
      <c r="S10" s="1177">
        <f>IF(Irrigation!$B$2&lt;3,(Q10*$Q$36)+(R10*$R$36),A1_Link!Q10)</f>
        <v>10.353233118004514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2.6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80.849609375</v>
      </c>
      <c r="AI10" s="3"/>
    </row>
    <row r="11" spans="2:35" ht="13.9" x14ac:dyDescent="0.4">
      <c r="B11" s="1185" t="s">
        <v>225</v>
      </c>
      <c r="C11" s="1186">
        <f>SUM(Budget!F20:F23)</f>
        <v>59.5</v>
      </c>
      <c r="D11" s="3"/>
      <c r="E11" s="1190"/>
      <c r="F11" s="1185" t="s">
        <v>223</v>
      </c>
      <c r="G11" s="1186">
        <f>C8</f>
        <v>100.05</v>
      </c>
      <c r="H11" s="3"/>
      <c r="I11" s="1190"/>
      <c r="J11" s="648" t="s">
        <v>791</v>
      </c>
      <c r="K11" s="665">
        <f>K30+SUM(K32:K35)</f>
        <v>94.075908098917751</v>
      </c>
      <c r="L11" s="182">
        <v>58.670258247720405</v>
      </c>
      <c r="M11" s="1190"/>
      <c r="N11" s="3"/>
      <c r="O11" s="648" t="s">
        <v>183</v>
      </c>
      <c r="P11" s="1181">
        <f>Budget!F14</f>
        <v>80.849609375</v>
      </c>
      <c r="Q11" s="1177">
        <f t="shared" si="0"/>
        <v>80.849609375</v>
      </c>
      <c r="R11" s="650">
        <v>23.8</v>
      </c>
      <c r="S11" s="1177">
        <f>IF(Irrigation!$B$2&lt;3,(Q11*$Q$36)+(R11*$R$36),A1_Link!Q11)</f>
        <v>54.19582304149499</v>
      </c>
      <c r="T11" s="650"/>
      <c r="U11" s="1190"/>
      <c r="V11" s="3"/>
      <c r="W11" s="3"/>
      <c r="X11" s="648" t="s">
        <v>814</v>
      </c>
      <c r="Y11" s="650">
        <f>Budget!F27</f>
        <v>17.488663967611338</v>
      </c>
      <c r="Z11" s="650">
        <f>Budget!D$3</f>
        <v>2.6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23.04</v>
      </c>
      <c r="AI11" s="3"/>
    </row>
    <row r="12" spans="2:35" ht="13.9" x14ac:dyDescent="0.4">
      <c r="B12" s="1185" t="s">
        <v>422</v>
      </c>
      <c r="C12" s="1186">
        <f>Budget!F31+Budget!F32</f>
        <v>0</v>
      </c>
      <c r="D12" s="3"/>
      <c r="E12" s="1190"/>
      <c r="F12" s="1185" t="s">
        <v>421</v>
      </c>
      <c r="G12" s="1186">
        <f t="shared" ref="G12:G21" si="2">C9</f>
        <v>43.674999999999997</v>
      </c>
      <c r="H12" s="3"/>
      <c r="I12" s="1190"/>
      <c r="J12" s="648" t="s">
        <v>792</v>
      </c>
      <c r="K12" s="664">
        <f>SUM(K36:K37)</f>
        <v>93.73</v>
      </c>
      <c r="L12" s="182">
        <v>105.03</v>
      </c>
      <c r="M12" s="1190"/>
      <c r="N12" s="3"/>
      <c r="O12" s="648" t="s">
        <v>184</v>
      </c>
      <c r="P12" s="1181">
        <f>Budget!F15</f>
        <v>23.04</v>
      </c>
      <c r="Q12" s="1177">
        <f t="shared" si="0"/>
        <v>23.04</v>
      </c>
      <c r="R12" s="650">
        <v>0</v>
      </c>
      <c r="S12" s="1177">
        <f>IF(Irrigation!$B$2&lt;3,(Q12*$Q$36)+(R12*$R$36),A1_Link!Q12)</f>
        <v>12.275627660702884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2.6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53.734999999999999</v>
      </c>
      <c r="AI12" s="3"/>
    </row>
    <row r="13" spans="2:35" ht="13.9" x14ac:dyDescent="0.4">
      <c r="B13" s="1185" t="s">
        <v>781</v>
      </c>
      <c r="C13" s="1186">
        <f>Budget!F25+Budget!F27</f>
        <v>36.48220747343472</v>
      </c>
      <c r="D13" s="3"/>
      <c r="E13" s="1190"/>
      <c r="F13" s="1185" t="s">
        <v>495</v>
      </c>
      <c r="G13" s="1186">
        <f t="shared" si="2"/>
        <v>157.62460937499998</v>
      </c>
      <c r="H13" s="3"/>
      <c r="I13" s="1190"/>
      <c r="J13" s="652" t="s">
        <v>168</v>
      </c>
      <c r="K13" s="173">
        <f>SUM(K9:K12)-K7</f>
        <v>667.4214723157736</v>
      </c>
      <c r="L13" s="182"/>
      <c r="M13" s="1190"/>
      <c r="N13" s="3"/>
      <c r="O13" s="648" t="s">
        <v>91</v>
      </c>
      <c r="P13" s="1181">
        <f>SUM(Budget!F16:F18)</f>
        <v>53.734999999999999</v>
      </c>
      <c r="Q13" s="1177">
        <f t="shared" si="0"/>
        <v>53.734999999999999</v>
      </c>
      <c r="R13" s="650">
        <v>0</v>
      </c>
      <c r="S13" s="1177">
        <f>IF(Irrigation!$B$2&lt;3,(Q13*$Q$36)+(R13*$R$36),A1_Link!Q13)</f>
        <v>28.629811299820727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93.73</v>
      </c>
      <c r="Z13" s="650">
        <f>SUM(Y7:Y13)-Y5</f>
        <v>667.4214723157736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59.5</v>
      </c>
      <c r="AI13" s="3"/>
    </row>
    <row r="14" spans="2:35" ht="13.9" x14ac:dyDescent="0.4">
      <c r="B14" s="1185" t="s">
        <v>423</v>
      </c>
      <c r="C14" s="1186">
        <f>Budget!F29</f>
        <v>60.283747368421054</v>
      </c>
      <c r="D14" s="3"/>
      <c r="E14" s="1190"/>
      <c r="F14" s="1185" t="s">
        <v>225</v>
      </c>
      <c r="G14" s="1186">
        <f t="shared" si="2"/>
        <v>59.5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59.5</v>
      </c>
      <c r="Q14" s="1177">
        <f t="shared" si="0"/>
        <v>59.5</v>
      </c>
      <c r="R14" s="650">
        <v>7.0000000000000009</v>
      </c>
      <c r="S14" s="1177">
        <f>IF(Irrigation!$B$2&lt;3,(Q14*$Q$36)+(R14*$R$36),A1_Link!Q14)</f>
        <v>34.971807820612042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18.993543505823382</v>
      </c>
      <c r="AI14" s="3"/>
    </row>
    <row r="15" spans="2:35" ht="13.9" x14ac:dyDescent="0.4">
      <c r="B15" s="1185" t="s">
        <v>780</v>
      </c>
      <c r="C15" s="1186">
        <f>Budget!F34+Budget!F35</f>
        <v>10</v>
      </c>
      <c r="D15" s="3"/>
      <c r="E15" s="1190"/>
      <c r="F15" s="1185" t="s">
        <v>782</v>
      </c>
      <c r="G15" s="1186">
        <f t="shared" si="2"/>
        <v>0</v>
      </c>
      <c r="H15" s="3"/>
      <c r="I15" s="1190"/>
      <c r="J15" s="652" t="s">
        <v>233</v>
      </c>
      <c r="K15" s="173">
        <f>(K3*K4*K5)-K13-K14</f>
        <v>632.5785276842264</v>
      </c>
      <c r="L15" s="182"/>
      <c r="M15" s="1190"/>
      <c r="N15" s="3"/>
      <c r="O15" s="648" t="s">
        <v>425</v>
      </c>
      <c r="P15" s="1181">
        <f>Budget!F25</f>
        <v>18.993543505823382</v>
      </c>
      <c r="Q15" s="1177">
        <f t="shared" si="0"/>
        <v>18.993543505823382</v>
      </c>
      <c r="R15" s="650">
        <v>10.547472063880164</v>
      </c>
      <c r="S15" s="1177">
        <f>IF(Irrigation!$B$2&lt;3,(Q15*$Q$36)+(R15*$R$36),A1_Link!Q15)</f>
        <v>15.04750801079817</v>
      </c>
      <c r="T15" s="650"/>
      <c r="U15" s="1190"/>
      <c r="V15" s="3"/>
      <c r="W15" s="3"/>
      <c r="X15" s="648" t="s">
        <v>585</v>
      </c>
      <c r="Y15" s="650">
        <f>Budget!F48</f>
        <v>187.45739337976346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13.889370802067734</v>
      </c>
      <c r="AI15" s="3"/>
    </row>
    <row r="16" spans="2:35" ht="13.9" x14ac:dyDescent="0.4">
      <c r="B16" s="1185" t="s">
        <v>1</v>
      </c>
      <c r="C16" s="1186">
        <f>Budget!F36</f>
        <v>22</v>
      </c>
      <c r="D16" s="3"/>
      <c r="E16" s="1190"/>
      <c r="F16" s="1185" t="s">
        <v>781</v>
      </c>
      <c r="G16" s="1186">
        <f t="shared" si="2"/>
        <v>36.48220747343472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13.889370802067734</v>
      </c>
      <c r="Q16" s="1177">
        <f t="shared" si="0"/>
        <v>13.889370802067734</v>
      </c>
      <c r="R16" s="650">
        <v>9.3388892486480266</v>
      </c>
      <c r="S16" s="1177">
        <f>IF(Irrigation!$B$2&lt;3,(Q16*$Q$36)+(R16*$R$36),A1_Link!Q16)</f>
        <v>11.763369163000336</v>
      </c>
      <c r="T16" s="650"/>
      <c r="U16" s="1190"/>
      <c r="V16" s="3"/>
      <c r="W16" s="3"/>
      <c r="X16" s="648" t="s">
        <v>304</v>
      </c>
      <c r="Y16" s="650">
        <f>Budget!F49</f>
        <v>105.51775493978874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17.488663967611338</v>
      </c>
      <c r="AI16" s="3"/>
    </row>
    <row r="17" spans="2:35" ht="13.9" x14ac:dyDescent="0.4">
      <c r="B17" s="1185" t="s">
        <v>226</v>
      </c>
      <c r="C17" s="1186">
        <f>Budget!F26+Budget!F28+Budget!F30</f>
        <v>35.824493473271723</v>
      </c>
      <c r="D17" s="3"/>
      <c r="E17" s="1190"/>
      <c r="F17" s="1185" t="s">
        <v>423</v>
      </c>
      <c r="G17" s="1186">
        <f t="shared" si="2"/>
        <v>60.283747368421054</v>
      </c>
      <c r="H17" s="3"/>
      <c r="I17" s="1190"/>
      <c r="J17" s="648" t="s">
        <v>249</v>
      </c>
      <c r="K17" s="978">
        <f>SUM(K40:K42)</f>
        <v>302.34801798854039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17.488663967611338</v>
      </c>
      <c r="Q17" s="1177">
        <f t="shared" si="0"/>
        <v>17.488663967611338</v>
      </c>
      <c r="R17" s="650">
        <v>7.4958759183673482</v>
      </c>
      <c r="S17" s="1177">
        <f>IF(Irrigation!$B$2&lt;3,(Q17*$Q$36)+(R17*$R$36),A1_Link!Q17)</f>
        <v>12.819996811806618</v>
      </c>
      <c r="T17" s="650"/>
      <c r="U17" s="1190"/>
      <c r="V17" s="3"/>
      <c r="W17" s="3"/>
      <c r="X17" s="648" t="s">
        <v>586</v>
      </c>
      <c r="Y17" s="650">
        <f>Budget!F50</f>
        <v>9.372869668988173</v>
      </c>
      <c r="Z17" s="650">
        <f>SUM(Y15:Y17)</f>
        <v>302.34801798854039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11.48266113274245</v>
      </c>
      <c r="AI17" s="3"/>
    </row>
    <row r="18" spans="2:35" ht="13.9" x14ac:dyDescent="0.4">
      <c r="B18" s="1185" t="s">
        <v>214</v>
      </c>
      <c r="C18" s="1186">
        <f>Trips!E45+Trips!E51+Trips!E72+Trips!E76</f>
        <v>23.54699715750268</v>
      </c>
      <c r="D18" s="3"/>
      <c r="E18" s="1190"/>
      <c r="F18" s="1185" t="s">
        <v>780</v>
      </c>
      <c r="G18" s="1186">
        <f t="shared" si="2"/>
        <v>10</v>
      </c>
      <c r="H18" s="3"/>
      <c r="I18" s="1190"/>
      <c r="J18" s="308" t="s">
        <v>651</v>
      </c>
      <c r="K18" s="173">
        <f>K13+K17</f>
        <v>969.76949030431399</v>
      </c>
      <c r="L18" s="182"/>
      <c r="M18" s="1190"/>
      <c r="N18" s="3"/>
      <c r="O18" s="648" t="s">
        <v>17</v>
      </c>
      <c r="P18" s="1181">
        <f>(Budget!F28/Budget!D3)*P2</f>
        <v>11.48266113274245</v>
      </c>
      <c r="Q18" s="1177">
        <f t="shared" si="0"/>
        <v>11.48266113274245</v>
      </c>
      <c r="R18" s="650">
        <v>12.958564105965449</v>
      </c>
      <c r="S18" s="1177">
        <f>IF(Irrigation!$B$2&lt;3,(Q18*$Q$36)+(R18*$R$36),A1_Link!Q18)</f>
        <v>12.172208404463284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60.283747368421054</v>
      </c>
      <c r="AI18" s="3"/>
    </row>
    <row r="19" spans="2:35" ht="13.9" x14ac:dyDescent="0.4">
      <c r="B19" s="1185" t="s">
        <v>28</v>
      </c>
      <c r="C19" s="1186">
        <f>Budget!F37</f>
        <v>24.704417468143355</v>
      </c>
      <c r="D19" s="3"/>
      <c r="E19" s="1190"/>
      <c r="F19" s="1185" t="s">
        <v>1</v>
      </c>
      <c r="G19" s="1186">
        <f t="shared" si="2"/>
        <v>22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60.283747368421054</v>
      </c>
      <c r="Q19" s="1177">
        <f t="shared" si="0"/>
        <v>60.283747368421054</v>
      </c>
      <c r="R19" s="650">
        <v>27.046874608695653</v>
      </c>
      <c r="S19" s="1177">
        <f>IF(Irrigation!$B$2&lt;3,(Q19*$Q$36)+(R19*$R$36),A1_Link!Q19)</f>
        <v>44.755358749518024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10.45246153846154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35.824493473271723</v>
      </c>
      <c r="H20" s="3"/>
      <c r="I20" s="1190"/>
      <c r="J20" s="308" t="s">
        <v>763</v>
      </c>
      <c r="K20" s="173">
        <f>(K3*K4*K5)-K14-K18</f>
        <v>330.23050969568601</v>
      </c>
      <c r="L20" s="182"/>
      <c r="M20" s="1190"/>
      <c r="N20" s="3"/>
      <c r="O20" s="648" t="s">
        <v>296</v>
      </c>
      <c r="P20" s="1181">
        <f>Budget!F30</f>
        <v>10.45246153846154</v>
      </c>
      <c r="Q20" s="1177">
        <f t="shared" si="0"/>
        <v>10.45246153846154</v>
      </c>
      <c r="R20" s="650">
        <v>1.6916666666666667</v>
      </c>
      <c r="S20" s="1177">
        <f>IF(Irrigation!$B$2&lt;3,(Q20*$Q$36)+(R20*$R$36),A1_Link!Q20)</f>
        <v>6.3593861049457088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78</v>
      </c>
      <c r="D21" s="3"/>
      <c r="E21" s="1190"/>
      <c r="F21" s="1185" t="s">
        <v>214</v>
      </c>
      <c r="G21" s="1186">
        <f t="shared" si="2"/>
        <v>23.54699715750268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1.6118526289312085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15.73</v>
      </c>
      <c r="D22" s="3"/>
      <c r="E22" s="1190"/>
      <c r="F22" s="1185" t="s">
        <v>786</v>
      </c>
      <c r="G22" s="1186">
        <f>SUM(G11:G21)*(0.0475/2)</f>
        <v>13.038442552631215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</v>
      </c>
      <c r="Q22" s="1177">
        <f t="shared" si="0"/>
        <v>0</v>
      </c>
      <c r="R22" s="650">
        <v>0</v>
      </c>
      <c r="S22" s="1177">
        <f>IF(Irrigation!$B$2&lt;3,(Q22*$Q$36)+(R22*$R$36),A1_Link!Q22)</f>
        <v>0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100.05</v>
      </c>
      <c r="L23" s="1251">
        <v>1</v>
      </c>
      <c r="M23" s="1190"/>
      <c r="N23" s="3"/>
      <c r="O23" s="648" t="s">
        <v>214</v>
      </c>
      <c r="P23" s="1181">
        <f>Budget!F33</f>
        <v>23.54699715750268</v>
      </c>
      <c r="Q23" s="1177">
        <f t="shared" si="0"/>
        <v>23.54699715750268</v>
      </c>
      <c r="R23" s="650">
        <v>11.817977438585899</v>
      </c>
      <c r="S23" s="1177">
        <f>IF(Irrigation!$B$2&lt;3,(Q23*$Q$36)+(R23*$R$36),A1_Link!Q23)</f>
        <v>18.067156210047031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23.54699715750268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93.73</v>
      </c>
      <c r="H24" s="3"/>
      <c r="I24" s="1190"/>
      <c r="J24" s="1185" t="s">
        <v>224</v>
      </c>
      <c r="K24" s="1249">
        <f t="shared" ref="K24:K38" si="3">C9*L24</f>
        <v>43.674999999999997</v>
      </c>
      <c r="L24" s="1251">
        <v>1</v>
      </c>
      <c r="M24" s="1190"/>
      <c r="N24" s="3"/>
      <c r="O24" s="648" t="s">
        <v>23</v>
      </c>
      <c r="P24" s="1181">
        <f>Budget!F34</f>
        <v>10</v>
      </c>
      <c r="Q24" s="1177">
        <f t="shared" si="0"/>
        <v>10</v>
      </c>
      <c r="R24" s="650">
        <v>0</v>
      </c>
      <c r="S24" s="1177">
        <f>IF(Irrigation!$B$2&lt;3,(Q24*$Q$36)+(R24*$R$36),A1_Link!Q24)</f>
        <v>5.3279633944022944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10</v>
      </c>
      <c r="AI24" s="3"/>
    </row>
    <row r="25" spans="2:35" ht="13.9" x14ac:dyDescent="0.4">
      <c r="B25" s="648" t="s">
        <v>123</v>
      </c>
      <c r="C25" s="665">
        <f>Budget!F48</f>
        <v>187.45739337976346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157.62460937499998</v>
      </c>
      <c r="L25" s="1251">
        <v>1</v>
      </c>
      <c r="M25" s="1190"/>
      <c r="N25" s="3"/>
      <c r="O25" s="648" t="s">
        <v>488</v>
      </c>
      <c r="P25" s="1181">
        <f>Budget!F35</f>
        <v>0</v>
      </c>
      <c r="Q25" s="1177">
        <f t="shared" si="0"/>
        <v>0</v>
      </c>
      <c r="R25" s="650">
        <v>0</v>
      </c>
      <c r="S25" s="1177">
        <f>IF(Irrigation!$B$2&lt;3,(Q25*$Q$36)+(R25*$R$36),A1_Link!Q25)</f>
        <v>0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0</v>
      </c>
      <c r="AI25" s="3"/>
    </row>
    <row r="26" spans="2:35" ht="13.9" x14ac:dyDescent="0.4">
      <c r="B26" s="648" t="s">
        <v>304</v>
      </c>
      <c r="C26" s="665">
        <f>Budget!F49</f>
        <v>105.51775493978874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59.5</v>
      </c>
      <c r="L26" s="1251">
        <v>1</v>
      </c>
      <c r="M26" s="1190"/>
      <c r="N26" s="3"/>
      <c r="O26" s="648" t="s">
        <v>1</v>
      </c>
      <c r="P26" s="1181">
        <f>Budget!F36</f>
        <v>22</v>
      </c>
      <c r="Q26" s="1177">
        <f t="shared" si="0"/>
        <v>22</v>
      </c>
      <c r="R26" s="650">
        <v>0</v>
      </c>
      <c r="S26" s="1177">
        <f>IF(Irrigation!$B$2&lt;3,(Q26*$Q$36)+(R26*$R$36),A1_Link!Q26)</f>
        <v>11.721519467685047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24.704417468143355</v>
      </c>
      <c r="AI26" s="650">
        <f>SUM(AH3:AH26)</f>
        <v>551.69147231577347</v>
      </c>
    </row>
    <row r="27" spans="2:35" ht="13.9" x14ac:dyDescent="0.4">
      <c r="B27" s="648" t="s">
        <v>586</v>
      </c>
      <c r="C27" s="664">
        <f>Budget!F50</f>
        <v>9.372869668988173</v>
      </c>
      <c r="D27" s="3"/>
      <c r="E27" s="1190"/>
      <c r="F27" s="648" t="s">
        <v>1004</v>
      </c>
      <c r="G27" s="1186">
        <f>C25+C26</f>
        <v>292.9751483195522</v>
      </c>
      <c r="H27" s="3"/>
      <c r="I27" s="1190"/>
      <c r="J27" s="1185" t="s">
        <v>422</v>
      </c>
      <c r="K27" s="1249">
        <f t="shared" si="3"/>
        <v>0</v>
      </c>
      <c r="L27" s="1251">
        <v>1</v>
      </c>
      <c r="M27" s="1190"/>
      <c r="N27" s="173"/>
      <c r="O27" s="648" t="s">
        <v>263</v>
      </c>
      <c r="P27" s="1181">
        <f>SUM(P6:P26)*((Budget!D37/100)/2)</f>
        <v>24.704417468143355</v>
      </c>
      <c r="Q27" s="1177">
        <f>P27</f>
        <v>24.704417468143355</v>
      </c>
      <c r="R27" s="650">
        <v>10.240138351206717</v>
      </c>
      <c r="S27" s="1177">
        <f>IF(Irrigation!$B$2&lt;3,(Q27*$Q$36)+(R27*$R$36),A1_Link!Q27)</f>
        <v>17.946653317352311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26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9.372869668988173</v>
      </c>
      <c r="H28" s="3"/>
      <c r="I28" s="1190"/>
      <c r="J28" s="1185" t="s">
        <v>781</v>
      </c>
      <c r="K28" s="1249">
        <f t="shared" si="3"/>
        <v>36.48220747343472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26</v>
      </c>
      <c r="Q28" s="1177">
        <f>P28</f>
        <v>26</v>
      </c>
      <c r="R28" s="650">
        <v>41.8</v>
      </c>
      <c r="S28" s="1177">
        <f>IF(Irrigation!$B$2&lt;3,(Q28*$Q$36)+(R28*$R$36),A1_Link!Q28)</f>
        <v>33.381817836844377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52</v>
      </c>
      <c r="AI28" s="3"/>
    </row>
    <row r="29" spans="2:35" ht="13.9" x14ac:dyDescent="0.4">
      <c r="B29" s="652" t="s">
        <v>779</v>
      </c>
      <c r="C29" s="173">
        <f>SUM(C8:C14)</f>
        <v>457.61556421685577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60.283747368421054</v>
      </c>
      <c r="L29" s="1251">
        <v>1</v>
      </c>
      <c r="M29" s="1190"/>
      <c r="N29" s="3"/>
      <c r="O29" s="648" t="s">
        <v>490</v>
      </c>
      <c r="P29" s="1181">
        <f>Budget!F41</f>
        <v>52</v>
      </c>
      <c r="Q29" s="1177">
        <f>P29</f>
        <v>52</v>
      </c>
      <c r="R29" s="650">
        <v>55</v>
      </c>
      <c r="S29" s="1177">
        <f>IF(Irrigation!$B$2&lt;3,(Q29*$Q$36)+(R29*$R$36),A1_Link!Q29)</f>
        <v>53.401610981679312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15.73</v>
      </c>
      <c r="AI29" s="3"/>
    </row>
    <row r="30" spans="2:35" ht="13.9" x14ac:dyDescent="0.4">
      <c r="B30" s="652" t="s">
        <v>641</v>
      </c>
      <c r="C30" s="173">
        <f>SUM(C8:C18)</f>
        <v>548.98705484763013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10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15.73</v>
      </c>
      <c r="Q30" s="1177">
        <f>P30</f>
        <v>15.73</v>
      </c>
      <c r="R30" s="650">
        <v>2.2000000000000002</v>
      </c>
      <c r="S30" s="1177">
        <f>IF(Irrigation!$B$2&lt;3,(Q30*$Q$36)+(R30*$R$36),A1_Link!Q30)</f>
        <v>9.4087344726263034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667.42147231577349</v>
      </c>
      <c r="D31" s="3"/>
      <c r="E31" s="1190"/>
      <c r="F31" s="1308">
        <f>SUM(C8:C22)</f>
        <v>667.42147231577349</v>
      </c>
      <c r="G31" s="3"/>
      <c r="H31" s="3"/>
      <c r="I31" s="1190"/>
      <c r="J31" s="1185" t="s">
        <v>1</v>
      </c>
      <c r="K31" s="1249">
        <f t="shared" si="3"/>
        <v>22</v>
      </c>
      <c r="L31" s="1251">
        <v>1</v>
      </c>
      <c r="M31" s="1190"/>
      <c r="N31" s="534"/>
      <c r="O31" s="1309">
        <f>P31+IF(A2_Budget_Look_Up!B7&gt;0,P4,0)</f>
        <v>667.42147231577349</v>
      </c>
      <c r="P31" s="1178">
        <f>SUM(P6:P30)-IF(A2_Budget_Look_Up!B7&gt;0,P4,0)</f>
        <v>667.42147231577349</v>
      </c>
      <c r="Q31" s="1178">
        <f>SUM(Q6:Q30)-IF(A2_Budget_Look_Up!B7&gt;0,Q4,0)</f>
        <v>667.42147231577349</v>
      </c>
      <c r="R31" s="1178">
        <f>SUM(R6:R30)-IF(A2_Budget_Look_Up!B7&gt;0,R4,0)</f>
        <v>540.40385840201589</v>
      </c>
      <c r="S31" s="1179">
        <f>SUM(S6:S30)-IF(A2_Budget_Look_Up!B7&gt;0,S4,0)</f>
        <v>608.07837813969809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187.45739337976346</v>
      </c>
      <c r="AI31" s="3"/>
    </row>
    <row r="32" spans="2:35" ht="13.9" x14ac:dyDescent="0.4">
      <c r="B32" s="173" t="s">
        <v>249</v>
      </c>
      <c r="C32" s="173">
        <f>SUM(C25:C27)</f>
        <v>302.34801798854039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35.824493473271723</v>
      </c>
      <c r="L32" s="1251">
        <v>1</v>
      </c>
      <c r="M32" s="1190"/>
      <c r="N32" s="183"/>
      <c r="O32" s="648" t="s">
        <v>123</v>
      </c>
      <c r="P32" s="1181">
        <f>Budget!F48</f>
        <v>187.45739337976346</v>
      </c>
      <c r="Q32" s="1177">
        <f>P32</f>
        <v>187.45739337976346</v>
      </c>
      <c r="R32" s="650">
        <v>62.654368717931924</v>
      </c>
      <c r="S32" s="1177">
        <f>IF(Irrigation!$B$2&lt;3,(Q32*$Q$36)+(R32*$R$36),A1_Link!Q32)</f>
        <v>129.14896340882444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105.51775493978874</v>
      </c>
      <c r="AI32" s="3"/>
    </row>
    <row r="33" spans="2:35" ht="13.9" x14ac:dyDescent="0.4">
      <c r="B33" s="308" t="s">
        <v>651</v>
      </c>
      <c r="C33" s="173">
        <f>C31+C32</f>
        <v>969.76949030431388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23.54699715750268</v>
      </c>
      <c r="L33" s="1251">
        <v>1</v>
      </c>
      <c r="M33" s="1190"/>
      <c r="N33" s="182"/>
      <c r="O33" s="648" t="s">
        <v>304</v>
      </c>
      <c r="P33" s="1181">
        <f>Budget!F49</f>
        <v>105.51775493978874</v>
      </c>
      <c r="Q33" s="1177">
        <f>P33</f>
        <v>105.51775493978874</v>
      </c>
      <c r="R33" s="650">
        <v>11.440610711903465</v>
      </c>
      <c r="S33" s="1177">
        <f>IF(Irrigation!$B$2&lt;3,(Q33*$Q$36)+(R33*$R$36),A1_Link!Q33)</f>
        <v>61.564568781511255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9.372869668988173</v>
      </c>
      <c r="AI33" s="3"/>
    </row>
    <row r="34" spans="2:35" ht="13.9" x14ac:dyDescent="0.4">
      <c r="B34" s="308" t="s">
        <v>763</v>
      </c>
      <c r="C34" s="173">
        <f>(C3*C4*C5)-C23-C33</f>
        <v>330.23050969568612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24.704417468143355</v>
      </c>
      <c r="L34" s="1251">
        <v>1</v>
      </c>
      <c r="M34" s="1190"/>
      <c r="N34" s="182"/>
      <c r="O34" s="648" t="s">
        <v>492</v>
      </c>
      <c r="P34" s="1181">
        <f>Budget!F50</f>
        <v>9.372869668988173</v>
      </c>
      <c r="Q34" s="1177">
        <f>P34</f>
        <v>9.372869668988173</v>
      </c>
      <c r="R34" s="650">
        <v>7.4094979429835393</v>
      </c>
      <c r="S34" s="1177">
        <f>IF(Irrigation!$B$2&lt;3,(Q34*$Q$36)+(R34*$R$36),A1_Link!Q34)</f>
        <v>8.4555752115592533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302.34801798854039</v>
      </c>
      <c r="Q35" s="1178">
        <f>SUM(Q32:Q34)</f>
        <v>302.34801798854039</v>
      </c>
      <c r="R35" s="1178">
        <f>SUM(R32:R34)</f>
        <v>81.504477372818926</v>
      </c>
      <c r="S35" s="1179">
        <f>SUM(S32:S34)</f>
        <v>199.16910740189493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78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352.23050969568612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15.73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187.45739337976346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105.51775493978874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9.372869668988173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28. 2025 Peanut Enterprise Budget, Center Pivot Irrigation</v>
      </c>
      <c r="E3" s="4"/>
      <c r="F3" s="436">
        <v>1</v>
      </c>
      <c r="G3" s="1343" t="s">
        <v>1059</v>
      </c>
      <c r="H3" s="668" t="s">
        <v>657</v>
      </c>
      <c r="I3" s="1244" t="s">
        <v>1230</v>
      </c>
      <c r="J3" s="1244" t="s">
        <v>1230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30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1230</v>
      </c>
      <c r="J4" s="1244" t="s">
        <v>1230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1230</v>
      </c>
      <c r="J5" s="1244" t="s">
        <v>1230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1240</v>
      </c>
      <c r="I6" s="1244" t="s">
        <v>1230</v>
      </c>
      <c r="J6" s="1244" t="s">
        <v>1230</v>
      </c>
      <c r="K6" s="4" t="s">
        <v>1193</v>
      </c>
      <c r="L6" s="4" t="s">
        <v>1199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Peanuts, Pivot</v>
      </c>
      <c r="E7" s="4"/>
      <c r="F7" s="436">
        <f t="shared" si="0"/>
        <v>5</v>
      </c>
      <c r="G7" s="1345" t="s">
        <v>1085</v>
      </c>
      <c r="H7" s="668" t="s">
        <v>1241</v>
      </c>
      <c r="I7" s="1244" t="s">
        <v>1230</v>
      </c>
      <c r="J7" s="1244" t="s">
        <v>1230</v>
      </c>
      <c r="K7" s="4" t="s">
        <v>1194</v>
      </c>
      <c r="L7" s="4" t="s">
        <v>1200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1242</v>
      </c>
      <c r="I8" s="1244" t="s">
        <v>1230</v>
      </c>
      <c r="J8" s="1244" t="s">
        <v>1230</v>
      </c>
      <c r="K8" s="4" t="s">
        <v>1195</v>
      </c>
      <c r="L8" s="4" t="s">
        <v>1201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1243</v>
      </c>
      <c r="I9" s="1244" t="s">
        <v>1230</v>
      </c>
      <c r="J9" s="1244" t="s">
        <v>1230</v>
      </c>
      <c r="K9" s="4" t="s">
        <v>1196</v>
      </c>
      <c r="L9" s="4" t="s">
        <v>1202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1244</v>
      </c>
      <c r="I10" s="1244" t="s">
        <v>1230</v>
      </c>
      <c r="J10" s="1244" t="s">
        <v>1230</v>
      </c>
      <c r="K10" s="4" t="s">
        <v>1197</v>
      </c>
      <c r="L10" s="4" t="s">
        <v>1203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Lbs</v>
      </c>
      <c r="E11" s="183" t="str">
        <f>LOOKUP(C4,F3:F52,J3:J52)</f>
        <v>Lbs</v>
      </c>
      <c r="F11" s="436">
        <f t="shared" si="0"/>
        <v>9</v>
      </c>
      <c r="G11" s="1345" t="s">
        <v>1089</v>
      </c>
      <c r="H11" s="668" t="s">
        <v>1245</v>
      </c>
      <c r="I11" s="1244" t="s">
        <v>1230</v>
      </c>
      <c r="J11" s="1244" t="s">
        <v>1230</v>
      </c>
      <c r="K11" s="4" t="s">
        <v>1198</v>
      </c>
      <c r="L11" s="4" t="s">
        <v>1204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1187</v>
      </c>
      <c r="H12" s="668" t="s">
        <v>1246</v>
      </c>
      <c r="I12" s="1244" t="s">
        <v>1230</v>
      </c>
      <c r="J12" s="1244" t="s">
        <v>1230</v>
      </c>
      <c r="K12" s="4" t="s">
        <v>1188</v>
      </c>
      <c r="L12" s="4" t="s">
        <v>1189</v>
      </c>
    </row>
    <row r="13" spans="1:12" ht="13.9" x14ac:dyDescent="0.4">
      <c r="A13" s="505" t="s">
        <v>309</v>
      </c>
      <c r="B13" s="401">
        <v>1</v>
      </c>
      <c r="C13" s="4"/>
      <c r="D13" s="1241" t="str">
        <f>LOOKUP(C4,F3:F52,K3:K52)</f>
        <v>Table 28. Details of Chemicals Applied, Peanuts, Pivot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28. Machinery Capital Recovery and Operating Costs, Peanuts, Pivot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28. 2025 Peanut Enterprise Budget, Center Pivot Irrigation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1230</v>
      </c>
      <c r="J18" s="1244" t="s">
        <v>1230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0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1230</v>
      </c>
      <c r="J19" s="1244" t="s">
        <v>1230</v>
      </c>
      <c r="K19" s="4" t="s">
        <v>1182</v>
      </c>
      <c r="L19" s="4" t="s">
        <v>1181</v>
      </c>
    </row>
    <row r="20" spans="1:12" ht="13.9" x14ac:dyDescent="0.4">
      <c r="A20" s="3"/>
      <c r="B20" s="978">
        <f>Budget!F45</f>
        <v>667.42147231577349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187.45739337976346</v>
      </c>
      <c r="C21" s="4" t="s">
        <v>746</v>
      </c>
      <c r="D21" s="4"/>
      <c r="E21" s="4"/>
      <c r="F21" s="436">
        <f t="shared" si="0"/>
        <v>19</v>
      </c>
      <c r="G21" s="1346" t="s">
        <v>1161</v>
      </c>
      <c r="H21" s="668" t="s">
        <v>1232</v>
      </c>
      <c r="I21" s="1244" t="s">
        <v>5</v>
      </c>
      <c r="J21" s="1244" t="s">
        <v>5</v>
      </c>
      <c r="K21" s="4" t="s">
        <v>1162</v>
      </c>
      <c r="L21" s="4" t="s">
        <v>1163</v>
      </c>
    </row>
    <row r="22" spans="1:12" ht="13.9" x14ac:dyDescent="0.4">
      <c r="A22" s="3"/>
      <c r="B22" s="978">
        <f>Budget!F51</f>
        <v>302.34801798854039</v>
      </c>
      <c r="C22" s="4" t="s">
        <v>747</v>
      </c>
      <c r="D22" s="4"/>
      <c r="E22" s="4"/>
      <c r="F22" s="436">
        <f t="shared" si="0"/>
        <v>20</v>
      </c>
      <c r="G22" s="1346" t="s">
        <v>1164</v>
      </c>
      <c r="H22" s="668" t="s">
        <v>1233</v>
      </c>
      <c r="I22" s="1244" t="s">
        <v>5</v>
      </c>
      <c r="J22" s="1244" t="s">
        <v>5</v>
      </c>
      <c r="K22" s="4" t="s">
        <v>1167</v>
      </c>
      <c r="L22" s="4" t="s">
        <v>1168</v>
      </c>
    </row>
    <row r="23" spans="1:12" ht="13.9" x14ac:dyDescent="0.4">
      <c r="A23" s="3"/>
      <c r="B23" s="978">
        <f>Budget!F53</f>
        <v>330.23050969568612</v>
      </c>
      <c r="C23" s="4" t="s">
        <v>748</v>
      </c>
      <c r="D23" s="4"/>
      <c r="E23" s="4"/>
      <c r="F23" s="436">
        <f t="shared" si="0"/>
        <v>21</v>
      </c>
      <c r="G23" s="1346" t="s">
        <v>1165</v>
      </c>
      <c r="H23" s="668" t="s">
        <v>1234</v>
      </c>
      <c r="I23" s="1244" t="s">
        <v>5</v>
      </c>
      <c r="J23" s="1244" t="s">
        <v>5</v>
      </c>
      <c r="K23" s="4" t="s">
        <v>1169</v>
      </c>
      <c r="L23" s="4" t="s">
        <v>1170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1166</v>
      </c>
      <c r="H24" s="668" t="s">
        <v>1235</v>
      </c>
      <c r="I24" s="1244" t="s">
        <v>5</v>
      </c>
      <c r="J24" s="1244" t="s">
        <v>5</v>
      </c>
      <c r="K24" s="4" t="s">
        <v>1171</v>
      </c>
      <c r="L24" s="4" t="s">
        <v>1172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1183</v>
      </c>
      <c r="H25" s="668" t="s">
        <v>1236</v>
      </c>
      <c r="I25" s="1244" t="s">
        <v>5</v>
      </c>
      <c r="J25" s="1244" t="s">
        <v>5</v>
      </c>
      <c r="K25" s="4" t="s">
        <v>1173</v>
      </c>
      <c r="L25" s="4" t="s">
        <v>1177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1184</v>
      </c>
      <c r="H26" s="668" t="s">
        <v>1237</v>
      </c>
      <c r="I26" s="1244" t="s">
        <v>5</v>
      </c>
      <c r="J26" s="1244" t="s">
        <v>5</v>
      </c>
      <c r="K26" s="4" t="s">
        <v>1174</v>
      </c>
      <c r="L26" s="4" t="s">
        <v>1178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1185</v>
      </c>
      <c r="H27" s="668" t="s">
        <v>1238</v>
      </c>
      <c r="I27" s="1244" t="s">
        <v>5</v>
      </c>
      <c r="J27" s="1244" t="s">
        <v>5</v>
      </c>
      <c r="K27" s="4" t="s">
        <v>1175</v>
      </c>
      <c r="L27" s="4" t="s">
        <v>1179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1186</v>
      </c>
      <c r="H28" s="668" t="s">
        <v>1239</v>
      </c>
      <c r="I28" s="1244" t="s">
        <v>5</v>
      </c>
      <c r="J28" s="1244" t="s">
        <v>5</v>
      </c>
      <c r="K28" s="4" t="s">
        <v>1176</v>
      </c>
      <c r="L28" s="4" t="s">
        <v>1180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1230</v>
      </c>
      <c r="J34" s="1244" t="s">
        <v>1230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1230</v>
      </c>
      <c r="J35" s="1244" t="s">
        <v>1230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1230</v>
      </c>
      <c r="J36" s="1244" t="s">
        <v>1230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1230</v>
      </c>
      <c r="J40" s="1244" t="s">
        <v>1230</v>
      </c>
      <c r="K40" s="4" t="s">
        <v>1190</v>
      </c>
      <c r="L40" s="4" t="s">
        <v>1191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1230</v>
      </c>
      <c r="J41" s="1244" t="s">
        <v>1230</v>
      </c>
      <c r="K41" s="4" t="s">
        <v>947</v>
      </c>
      <c r="L41" s="4" t="s">
        <v>1192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1230</v>
      </c>
      <c r="J44" s="1244" t="s">
        <v>1230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1230</v>
      </c>
      <c r="J45" s="1244" t="s">
        <v>1230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1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>
        <f>IF(AG2&gt;0,A2_Budget_Look_Up!$C$4," ")</f>
        <v>30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1149</v>
      </c>
      <c r="H3" s="1155" t="s">
        <v>1150</v>
      </c>
      <c r="I3" s="1155" t="s">
        <v>1151</v>
      </c>
      <c r="J3" s="1155" t="s">
        <v>1152</v>
      </c>
      <c r="K3" s="1155" t="s">
        <v>1153</v>
      </c>
      <c r="L3" s="1155" t="s">
        <v>1154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1224</v>
      </c>
      <c r="W3" s="1155" t="s">
        <v>1223</v>
      </c>
      <c r="X3" s="1155" t="s">
        <v>1222</v>
      </c>
      <c r="Y3" s="1155" t="s">
        <v>1221</v>
      </c>
      <c r="Z3" s="1155" t="s">
        <v>1155</v>
      </c>
      <c r="AA3" s="1155" t="s">
        <v>1156</v>
      </c>
      <c r="AB3" s="1155" t="s">
        <v>1157</v>
      </c>
      <c r="AC3" s="1155" t="s">
        <v>1158</v>
      </c>
      <c r="AD3" s="1155" t="s">
        <v>1220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1225</v>
      </c>
      <c r="AJ3" s="1155" t="s">
        <v>1226</v>
      </c>
      <c r="AK3" s="1155" t="s">
        <v>1159</v>
      </c>
      <c r="AL3" s="1155" t="s">
        <v>1216</v>
      </c>
      <c r="AM3" s="1155" t="s">
        <v>1217</v>
      </c>
      <c r="AN3" s="1155" t="s">
        <v>1218</v>
      </c>
      <c r="AO3" s="1155" t="s">
        <v>854</v>
      </c>
      <c r="AP3" s="1155" t="s">
        <v>1219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2.6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80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2.6</v>
      </c>
      <c r="AG4" s="1031">
        <v>2.6</v>
      </c>
      <c r="AH4" s="1031">
        <v>1.25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2.6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500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500</v>
      </c>
      <c r="AG5" s="1031">
        <v>500</v>
      </c>
      <c r="AH5" s="1031">
        <v>500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500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65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65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85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85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0</v>
      </c>
      <c r="C20" s="1030"/>
      <c r="D20" s="1031">
        <v>0</v>
      </c>
      <c r="E20" s="1031">
        <v>0</v>
      </c>
      <c r="F20" s="1031">
        <v>0</v>
      </c>
      <c r="G20" s="1031">
        <v>0</v>
      </c>
      <c r="H20" s="1031">
        <v>0</v>
      </c>
      <c r="I20" s="1031">
        <v>0</v>
      </c>
      <c r="J20" s="1031">
        <v>0</v>
      </c>
      <c r="K20" s="1031">
        <v>0</v>
      </c>
      <c r="L20" s="1031">
        <v>0</v>
      </c>
      <c r="M20" s="1031">
        <v>0</v>
      </c>
      <c r="N20" s="1031">
        <v>0</v>
      </c>
      <c r="O20" s="1031">
        <v>0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</v>
      </c>
      <c r="W20" s="1031">
        <v>0</v>
      </c>
      <c r="X20" s="1031">
        <v>0</v>
      </c>
      <c r="Y20" s="1031">
        <v>0</v>
      </c>
      <c r="Z20" s="1031">
        <v>0</v>
      </c>
      <c r="AA20" s="1031">
        <v>0</v>
      </c>
      <c r="AB20" s="1031">
        <v>0</v>
      </c>
      <c r="AC20" s="1031">
        <v>0</v>
      </c>
      <c r="AD20" s="1031">
        <v>0</v>
      </c>
      <c r="AE20" s="1031">
        <v>0</v>
      </c>
      <c r="AF20" s="1031">
        <v>0</v>
      </c>
      <c r="AG20" s="1031">
        <v>0</v>
      </c>
      <c r="AH20" s="1031">
        <v>0</v>
      </c>
      <c r="AI20" s="1031">
        <v>0</v>
      </c>
      <c r="AJ20" s="1031">
        <v>0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7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7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0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12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12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Other Inputs</v>
      </c>
      <c r="B31" s="1024">
        <f>IF(B$2=1,SUM(BC31:CZ31),"Error")</f>
        <v>0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10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10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0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22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22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10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10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20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20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2.5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1253.2</v>
      </c>
      <c r="H39" s="1049">
        <f>(1+2.2)+(0.005*500*Budget!$E$3)</f>
        <v>1253.2</v>
      </c>
      <c r="I39" s="1049">
        <f>(1+2.2)+(0.005*500*Budget!$E$3)</f>
        <v>1253.2</v>
      </c>
      <c r="J39" s="1049">
        <f>(1+2.2)+(0.005*500*Budget!$E$3)</f>
        <v>1253.2</v>
      </c>
      <c r="K39" s="1049">
        <f>(1+2.2)+(0.005*500*Budget!$E$3)</f>
        <v>1253.2</v>
      </c>
      <c r="L39" s="1049">
        <f>(1+2.2)+(0.005*500*Budget!$E$3)</f>
        <v>1253.2</v>
      </c>
      <c r="M39" s="1049">
        <f>(1+2.2)+(0.005*500*Budget!$E$3)</f>
        <v>1253.2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2.5</v>
      </c>
      <c r="W39" s="1887">
        <f>(Budget!$E$3*(0.01/2))</f>
        <v>2.5</v>
      </c>
      <c r="X39" s="1887">
        <f>(Budget!$E$3*(0.01/2))</f>
        <v>2.5</v>
      </c>
      <c r="Y39" s="1887">
        <f>(Budget!$E$3*(0.01/2))</f>
        <v>2.5</v>
      </c>
      <c r="Z39" s="1887">
        <f>(Budget!$E$3*(0.01/2))</f>
        <v>2.5</v>
      </c>
      <c r="AA39" s="1887">
        <f>(Budget!$E$3*(0.01/2))</f>
        <v>2.5</v>
      </c>
      <c r="AB39" s="1887">
        <f>(Budget!$E$3*(0.01/2))</f>
        <v>2.5</v>
      </c>
      <c r="AC39" s="1887">
        <f>(Budget!$E$3*(0.01/2))</f>
        <v>2.5</v>
      </c>
      <c r="AD39" s="1887">
        <f>(Budget!$E$3*(0.01/2))</f>
        <v>2.5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2.5</v>
      </c>
      <c r="AM39" s="1887">
        <f>(Budget!$E$3*(0.01/2))</f>
        <v>2.5</v>
      </c>
      <c r="AN39" s="1887">
        <f>(Budget!$E$3*(0.01/2))</f>
        <v>2.5</v>
      </c>
      <c r="AO39" s="1049">
        <f>(1+2.2)+(0.005*500*Budget!$E$3)</f>
        <v>1253.2</v>
      </c>
      <c r="AP39" s="1049">
        <f>(1+2.2)+(0.005*500*Budget!$E$3)</f>
        <v>1253.2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2.5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0.87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2.35</v>
      </c>
      <c r="K43" s="1132">
        <v>2.35</v>
      </c>
      <c r="L43" s="1132">
        <v>2.35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0.87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115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115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2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2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1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1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1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1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1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0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1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1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0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1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1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0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0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0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1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1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1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1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0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0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1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1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1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1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>
      <selection activeCell="K8" sqref="K8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1212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1214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1206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1227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1207</v>
      </c>
      <c r="I8" s="302" t="s">
        <v>238</v>
      </c>
      <c r="J8" s="1262">
        <v>3.39</v>
      </c>
      <c r="K8" s="300" t="s">
        <v>1228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1160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1205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1208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1209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1210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1211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1213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673" zoomScaleNormal="100" workbookViewId="0">
      <selection activeCell="J1614" sqref="J1614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30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Prowl H20</v>
      </c>
      <c r="B6" s="1166" t="str">
        <f>VLOOKUP(1,$I$6:$P$3099,3,FALSE)</f>
        <v/>
      </c>
      <c r="C6" s="1166" t="str">
        <f>VLOOKUP(1,$I$6:$P$3099,4,FALSE)</f>
        <v>pt</v>
      </c>
      <c r="D6" s="1165">
        <f>VLOOKUP(1,$I$6:$P$3099,5,FALSE)</f>
        <v>5</v>
      </c>
      <c r="E6" s="1165">
        <f>VLOOKUP(1,$I$6:$P$3099,6,FALSE)</f>
        <v>2</v>
      </c>
      <c r="F6" s="82">
        <f>D6*E6</f>
        <v>10</v>
      </c>
      <c r="G6" s="1166">
        <f>VLOOKUP(1,$I$6:$P$3099,8,FALSE)</f>
        <v>32</v>
      </c>
      <c r="H6" s="1073">
        <f>VLOOKUP(1,$I$6:$Q$3099,9,FALSE)</f>
        <v>30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Valor EZ</v>
      </c>
      <c r="B7" s="1166" t="str">
        <f>VLOOKUP(2,$I$6:$P$3099,3,FALSE)</f>
        <v/>
      </c>
      <c r="C7" s="1166" t="str">
        <f>VLOOKUP(2,$I$6:$P$3099,4,FALSE)</f>
        <v>oz</v>
      </c>
      <c r="D7" s="1165">
        <f>VLOOKUP(2,$I$6:$P$3099,5,FALSE)</f>
        <v>5.9375</v>
      </c>
      <c r="E7" s="1165">
        <f>VLOOKUP(2,$I$6:$P$3099,6,FALSE)</f>
        <v>3</v>
      </c>
      <c r="F7" s="82">
        <f>D7*E7</f>
        <v>17.8125</v>
      </c>
      <c r="G7" s="1166">
        <f>VLOOKUP(2,$I$6:$P$3099,8,FALSE)</f>
        <v>3</v>
      </c>
      <c r="H7" s="1073">
        <f>VLOOKUP(2,$I$6:$Q$3099,9,FALSE)</f>
        <v>30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Select Max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0.78125</v>
      </c>
      <c r="E8" s="1165">
        <f>VLOOKUP(3,$I$6:$P$3099,6,FALSE)</f>
        <v>12</v>
      </c>
      <c r="F8" s="82">
        <f t="shared" ref="F8:F19" si="2">D8*E8</f>
        <v>9.375</v>
      </c>
      <c r="G8" s="1166">
        <f>VLOOKUP(3,$I$6:$P$3099,8,FALSE)</f>
        <v>12</v>
      </c>
      <c r="H8" s="1073">
        <f>VLOOKUP(3,$I$6:$Q$3099,9,FALSE)</f>
        <v>30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Zidua SC</v>
      </c>
      <c r="B9" s="1166" t="str">
        <f>VLOOKUP(4,$I$6:$P$3099,3,FALSE)</f>
        <v/>
      </c>
      <c r="C9" s="1166" t="str">
        <f>VLOOKUP(4,$I$6:$P$3099,4,FALSE)</f>
        <v>oz</v>
      </c>
      <c r="D9" s="1165">
        <f>VLOOKUP(4,$I$6:$P$3099,5,FALSE)</f>
        <v>5.7421875</v>
      </c>
      <c r="E9" s="1165">
        <f>VLOOKUP(4,$I$6:$P$3099,6,FALSE)</f>
        <v>3.25</v>
      </c>
      <c r="F9" s="82">
        <f t="shared" si="2"/>
        <v>18.662109375</v>
      </c>
      <c r="G9" s="1166">
        <f>VLOOKUP(4,$I$6:$P$3099,8,FALSE)</f>
        <v>52</v>
      </c>
      <c r="H9" s="1073">
        <f>VLOOKUP(4,$I$6:$Q$3099,9,FALSE)</f>
        <v>30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Ultra Blazer</v>
      </c>
      <c r="B10" s="1166" t="str">
        <f>VLOOKUP(5,$I$6:$P$3099,3,FALSE)</f>
        <v/>
      </c>
      <c r="C10" s="1166" t="str">
        <f>VLOOKUP(5,$I$6:$P$3099,4,FALSE)</f>
        <v>pt</v>
      </c>
      <c r="D10" s="1165">
        <f>VLOOKUP(5,$I$6:$P$3099,5,FALSE)</f>
        <v>11.25</v>
      </c>
      <c r="E10" s="1165">
        <f>VLOOKUP(5,$I$6:$P$3099,6,FALSE)</f>
        <v>2</v>
      </c>
      <c r="F10" s="82">
        <f t="shared" si="2"/>
        <v>22.5</v>
      </c>
      <c r="G10" s="1166">
        <f>VLOOKUP(5,$I$6:$P$3099,8,FALSE)</f>
        <v>32</v>
      </c>
      <c r="H10" s="1073">
        <f>VLOOKUP(5,$I$6:$Q$3099,9,FALSE)</f>
        <v>30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2,4-DB</v>
      </c>
      <c r="B11" s="1166" t="str">
        <f>VLOOKUP(6,$I$6:$P$3099,3,FALSE)</f>
        <v/>
      </c>
      <c r="C11" s="1166" t="str">
        <f>VLOOKUP(6,$I$6:$P$3099,4,FALSE)</f>
        <v>pt</v>
      </c>
      <c r="D11" s="1165">
        <f>VLOOKUP(6,$I$6:$P$3099,5,FALSE)</f>
        <v>5</v>
      </c>
      <c r="E11" s="1165">
        <f>VLOOKUP(6,$I$6:$P$3099,6,FALSE)</f>
        <v>0.5</v>
      </c>
      <c r="F11" s="82">
        <f t="shared" si="2"/>
        <v>2.5</v>
      </c>
      <c r="G11" s="1166">
        <f>VLOOKUP(6,$I$6:$P$3099,8,FALSE)</f>
        <v>8</v>
      </c>
      <c r="H11" s="1073">
        <f>VLOOKUP(6,$I$6:$Q$3099,9,FALSE)</f>
        <v>30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Other</v>
      </c>
      <c r="B12" s="1166" t="str">
        <f>VLOOKUP(7,$I$6:$P$3099,3,FALSE)</f>
        <v/>
      </c>
      <c r="C12" s="1166">
        <f>VLOOKUP(7,$I$6:$P$3099,4,FALSE)</f>
        <v>0</v>
      </c>
      <c r="D12" s="1165">
        <f>VLOOKUP(7,$I$6:$P$3099,5,FALSE)</f>
        <v>0</v>
      </c>
      <c r="E12" s="1165">
        <f>VLOOKUP(7,$I$6:$P$3099,6,FALSE)</f>
        <v>0</v>
      </c>
      <c r="F12" s="82">
        <f t="shared" si="2"/>
        <v>0</v>
      </c>
      <c r="G12" s="1166">
        <f>VLOOKUP(7,$I$6:$P$3099,8,FALSE)</f>
        <v>0</v>
      </c>
      <c r="H12" s="1073">
        <f>VLOOKUP(7,$I$6:$Q$3099,9,FALSE)</f>
        <v>30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Other</v>
      </c>
      <c r="B13" s="1166" t="str">
        <f>VLOOKUP(8,$I$6:$P$3099,3,FALSE)</f>
        <v/>
      </c>
      <c r="C13" s="1166">
        <f>VLOOKUP(8,$I$6:$P$3099,4,FALSE)</f>
        <v>0</v>
      </c>
      <c r="D13" s="1165">
        <f>VLOOKUP(8,$I$6:$P$3099,5,FALSE)</f>
        <v>0</v>
      </c>
      <c r="E13" s="1165">
        <f>VLOOKUP(8,$I$6:$P$3099,6,FALSE)</f>
        <v>0</v>
      </c>
      <c r="F13" s="82">
        <f t="shared" si="2"/>
        <v>0</v>
      </c>
      <c r="G13" s="1166">
        <f>VLOOKUP(8,$I$6:$P$3099,8,FALSE)</f>
        <v>0</v>
      </c>
      <c r="H13" s="1073">
        <f>VLOOKUP(8,$I$6:$Q$3099,9,FALSE)</f>
        <v>30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30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30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30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30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30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30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80.849609375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Admire Pro, furrow</v>
      </c>
      <c r="B24" s="1166" t="str">
        <f>VLOOKUP(15,$I$6:$P$3099,3,FALSE)</f>
        <v>In-furrow</v>
      </c>
      <c r="C24" s="1166" t="str">
        <f>VLOOKUP(15,$I$6:$P$3099,4,FALSE)</f>
        <v>oz</v>
      </c>
      <c r="D24" s="1165">
        <f>VLOOKUP(15,$I$6:$P$3099,5,FALSE)</f>
        <v>2.56</v>
      </c>
      <c r="E24" s="1165">
        <f>VLOOKUP(15,$I$6:$P$3099,6,FALSE)</f>
        <v>9</v>
      </c>
      <c r="F24" s="82">
        <f t="shared" ref="F24:F33" si="4">D24*E24</f>
        <v>23.04</v>
      </c>
      <c r="G24" s="1166">
        <f>VLOOKUP(15,$I$6:$P$3099,8,FALSE)</f>
        <v>9</v>
      </c>
      <c r="H24" s="1073">
        <f>VLOOKUP(15,$I$6:$Q$3099,9,FALSE)</f>
        <v>30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30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30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30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30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30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30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30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30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30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23.04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Nematicide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Nematicide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Other</v>
      </c>
      <c r="B38" s="1166" t="str">
        <f>VLOOKUP(25,$I$6:$P$3099,3,FALSE)</f>
        <v/>
      </c>
      <c r="C38" s="1166">
        <f>VLOOKUP(25,$I$6:$P$3099,4,FALSE)</f>
        <v>0</v>
      </c>
      <c r="D38" s="1165">
        <f>VLOOKUP(25,$I$6:$P$3099,5,FALSE)</f>
        <v>0</v>
      </c>
      <c r="E38" s="1165">
        <f>VLOOKUP(25,$I$6:$P$3099,6,FALSE)</f>
        <v>0</v>
      </c>
      <c r="F38" s="82">
        <f>D38*E38</f>
        <v>0</v>
      </c>
      <c r="G38" s="1166">
        <f>VLOOKUP(25,$I$6:$P$3099,8,FALSE)</f>
        <v>0</v>
      </c>
      <c r="H38" s="1073">
        <f>VLOOKUP(25,$I$6:$Q$3099,9,FALSE)</f>
        <v>30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30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0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Fungicide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Fungicide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Musle ADV</v>
      </c>
      <c r="B44" s="1166" t="str">
        <f>VLOOKUP(27,$I$6:$P$3099,3,FALSE)</f>
        <v/>
      </c>
      <c r="C44" s="1166" t="str">
        <f>VLOOKUP(27,$I$6:$P$3099,4,FALSE)</f>
        <v>pt</v>
      </c>
      <c r="D44" s="1165">
        <f>VLOOKUP(27,$I$6:$P$3099,5,FALSE)</f>
        <v>4.4937500000000004</v>
      </c>
      <c r="E44" s="1165">
        <f>VLOOKUP(27,$I$6:$P$3099,6,FALSE)</f>
        <v>2</v>
      </c>
      <c r="F44" s="82">
        <f t="shared" ref="F44:F50" si="8">D44*E44</f>
        <v>8.9875000000000007</v>
      </c>
      <c r="G44" s="1166">
        <f>VLOOKUP(27,$I$6:$P$3099,8,FALSE)</f>
        <v>2</v>
      </c>
      <c r="H44" s="1073">
        <f>VLOOKUP(27,$I$6:$Q$3099,9,FALSE)</f>
        <v>30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Convoy</v>
      </c>
      <c r="B45" s="1166" t="str">
        <f>VLOOKUP(28,$I$6:$P$3099,3,FALSE)</f>
        <v/>
      </c>
      <c r="C45" s="1166" t="str">
        <f>VLOOKUP(28,$I$6:$P$3099,4,FALSE)</f>
        <v>oz</v>
      </c>
      <c r="D45" s="1165">
        <f>VLOOKUP(28,$I$6:$P$3099,5,FALSE)</f>
        <v>23.04</v>
      </c>
      <c r="E45" s="1165">
        <f>VLOOKUP(28,$I$6:$P$3099,6,FALSE)</f>
        <v>1.5</v>
      </c>
      <c r="F45" s="82">
        <f t="shared" si="8"/>
        <v>34.56</v>
      </c>
      <c r="G45" s="1166">
        <f>VLOOKUP(28,$I$6:$P$3099,8,FALSE)</f>
        <v>24</v>
      </c>
      <c r="H45" s="1073">
        <f>VLOOKUP(28,$I$6:$Q$3099,9,FALSE)</f>
        <v>30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Musle ADV</v>
      </c>
      <c r="B46" s="1166" t="str">
        <f>VLOOKUP(29,$I$6:$P$3099,3,FALSE)</f>
        <v/>
      </c>
      <c r="C46" s="1166" t="str">
        <f>VLOOKUP(29,$I$6:$P$3099,4,FALSE)</f>
        <v>pt</v>
      </c>
      <c r="D46" s="1165">
        <f>VLOOKUP(29,$I$6:$P$3099,5,FALSE)</f>
        <v>4.4937500000000004</v>
      </c>
      <c r="E46" s="1165">
        <f>VLOOKUP(29,$I$6:$P$3099,6,FALSE)</f>
        <v>2</v>
      </c>
      <c r="F46" s="82">
        <f t="shared" si="8"/>
        <v>8.9875000000000007</v>
      </c>
      <c r="G46" s="1166">
        <f>VLOOKUP(29,$I$6:$P$3099,8,FALSE)</f>
        <v>32</v>
      </c>
      <c r="H46" s="1073">
        <f>VLOOKUP(29,$I$6:$Q$3099,9,FALSE)</f>
        <v>30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30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30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30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30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52.534999999999997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Optimize LIFT</v>
      </c>
      <c r="B55" s="1166" t="str">
        <f>VLOOKUP(34,$I$6:$P$3099,3,FALSE)</f>
        <v>Innoculant, In-furrow</v>
      </c>
      <c r="C55" s="1166" t="str">
        <f>VLOOKUP(34,$I$6:$P$3099,4,FALSE)</f>
        <v>oz</v>
      </c>
      <c r="D55" s="1165">
        <f>VLOOKUP(34,$I$6:$P$3099,5,FALSE)</f>
        <v>0.15</v>
      </c>
      <c r="E55" s="1165">
        <f>VLOOKUP(34,$I$6:$P$3099,6,FALSE)</f>
        <v>8</v>
      </c>
      <c r="F55" s="82">
        <f t="shared" ref="F55:F61" si="12">D55*E55</f>
        <v>1.2</v>
      </c>
      <c r="G55" s="1166">
        <f>VLOOKUP(34,$I$6:$P$3099,8,FALSE)</f>
        <v>8</v>
      </c>
      <c r="H55" s="1073">
        <f>VLOOKUP(34,$I$6:$Q$3099,9,FALSE)</f>
        <v>30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30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30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30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30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30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30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1.2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Nematicide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Fungicide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Nematicide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Fungicide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Nematicide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Fungicide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Nematicide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Fungicide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Nematicide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Fungicide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Nematicide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Fungicide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Nematicide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Fungicide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Nematicide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Fungicide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Nematicide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Fungicide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Nematicide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Fungicide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Nematicide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Fungicide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Nematicide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Fungicide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Nematicide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Fungicide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Nematicide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Fungicide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Nematicide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Fungicide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Nematicide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Fungicide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Nematicide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Fungicide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Nematicide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Fungicide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Nematicide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Fungicide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Nematicide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Fungicide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Nematicide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Fungicide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Nematicide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Fungicide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Nematicide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Fungicide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Nematicide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Fungicide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Nematicide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Fungicide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Nematicide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Fungicide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Nematicide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Fungicide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Nematicide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Fungicide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1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30</v>
      </c>
    </row>
    <row r="1805" spans="9:17" ht="13.9" x14ac:dyDescent="0.4">
      <c r="I1805" s="1073">
        <f t="shared" ref="I1805:I1817" si="360">IF($A$1=30,I1804+1,0)</f>
        <v>2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30</v>
      </c>
    </row>
    <row r="1806" spans="9:17" ht="13.9" x14ac:dyDescent="0.4">
      <c r="I1806" s="1073">
        <f t="shared" si="360"/>
        <v>3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30</v>
      </c>
    </row>
    <row r="1807" spans="9:17" ht="13.9" x14ac:dyDescent="0.4">
      <c r="I1807" s="1073">
        <f t="shared" si="360"/>
        <v>4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30</v>
      </c>
    </row>
    <row r="1808" spans="9:17" ht="13.9" x14ac:dyDescent="0.4">
      <c r="I1808" s="1073">
        <f t="shared" si="360"/>
        <v>5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30</v>
      </c>
    </row>
    <row r="1809" spans="9:17" ht="13.9" x14ac:dyDescent="0.4">
      <c r="I1809" s="1073">
        <f t="shared" si="360"/>
        <v>6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30</v>
      </c>
    </row>
    <row r="1810" spans="9:17" ht="13.9" x14ac:dyDescent="0.4">
      <c r="I1810" s="1073">
        <f t="shared" si="360"/>
        <v>7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30</v>
      </c>
    </row>
    <row r="1811" spans="9:17" ht="13.9" x14ac:dyDescent="0.4">
      <c r="I1811" s="1073">
        <f t="shared" si="360"/>
        <v>8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30</v>
      </c>
    </row>
    <row r="1812" spans="9:17" ht="13.9" x14ac:dyDescent="0.4">
      <c r="I1812" s="1073">
        <f t="shared" si="360"/>
        <v>9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30</v>
      </c>
    </row>
    <row r="1813" spans="9:17" ht="13.9" x14ac:dyDescent="0.4">
      <c r="I1813" s="1073">
        <f t="shared" si="360"/>
        <v>10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30</v>
      </c>
    </row>
    <row r="1814" spans="9:17" ht="13.9" x14ac:dyDescent="0.4">
      <c r="I1814" s="1073">
        <f t="shared" si="360"/>
        <v>11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30</v>
      </c>
    </row>
    <row r="1815" spans="9:17" ht="13.9" x14ac:dyDescent="0.4">
      <c r="I1815" s="1073">
        <f t="shared" si="360"/>
        <v>12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30</v>
      </c>
    </row>
    <row r="1816" spans="9:17" ht="13.9" x14ac:dyDescent="0.4">
      <c r="I1816" s="1073">
        <f t="shared" si="360"/>
        <v>13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30</v>
      </c>
    </row>
    <row r="1817" spans="9:17" ht="13.9" x14ac:dyDescent="0.4">
      <c r="I1817" s="1073">
        <f t="shared" si="360"/>
        <v>14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30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15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30</v>
      </c>
    </row>
    <row r="1823" spans="9:17" ht="13.9" x14ac:dyDescent="0.4">
      <c r="I1823" s="1073">
        <f t="shared" ref="I1823:I1831" si="363">IF($A$1=30,I1822+1,0)</f>
        <v>16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30</v>
      </c>
    </row>
    <row r="1824" spans="9:17" ht="13.9" x14ac:dyDescent="0.4">
      <c r="I1824" s="1073">
        <f t="shared" si="363"/>
        <v>17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30</v>
      </c>
    </row>
    <row r="1825" spans="9:17" ht="13.9" x14ac:dyDescent="0.4">
      <c r="I1825" s="1073">
        <f t="shared" si="363"/>
        <v>18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30</v>
      </c>
    </row>
    <row r="1826" spans="9:17" ht="13.9" x14ac:dyDescent="0.4">
      <c r="I1826" s="1073">
        <f t="shared" si="363"/>
        <v>19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30</v>
      </c>
    </row>
    <row r="1827" spans="9:17" ht="13.9" x14ac:dyDescent="0.4">
      <c r="I1827" s="1073">
        <f t="shared" si="363"/>
        <v>20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30</v>
      </c>
    </row>
    <row r="1828" spans="9:17" ht="13.9" x14ac:dyDescent="0.4">
      <c r="I1828" s="1073">
        <f t="shared" si="363"/>
        <v>21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30</v>
      </c>
    </row>
    <row r="1829" spans="9:17" ht="13.9" x14ac:dyDescent="0.4">
      <c r="I1829" s="1073">
        <f t="shared" si="363"/>
        <v>22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30</v>
      </c>
    </row>
    <row r="1830" spans="9:17" ht="13.9" x14ac:dyDescent="0.4">
      <c r="I1830" s="1073">
        <f t="shared" si="363"/>
        <v>23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30</v>
      </c>
    </row>
    <row r="1831" spans="9:17" ht="13.9" x14ac:dyDescent="0.4">
      <c r="I1831" s="1073">
        <f t="shared" si="363"/>
        <v>24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30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Nematicide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25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30</v>
      </c>
    </row>
    <row r="1837" spans="9:17" ht="13.9" x14ac:dyDescent="0.4">
      <c r="I1837" s="1073">
        <f>IF($A$1=30,I1836+1,0)</f>
        <v>26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30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Fungicide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27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30</v>
      </c>
    </row>
    <row r="1843" spans="9:17" ht="13.9" x14ac:dyDescent="0.4">
      <c r="I1843" s="1073">
        <f t="shared" ref="I1843:I1848" si="366">IF($A$1=30,I1842+1,0)</f>
        <v>28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30</v>
      </c>
    </row>
    <row r="1844" spans="9:17" ht="13.9" x14ac:dyDescent="0.4">
      <c r="I1844" s="1073">
        <f t="shared" si="366"/>
        <v>29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30</v>
      </c>
    </row>
    <row r="1845" spans="9:17" ht="13.9" x14ac:dyDescent="0.4">
      <c r="I1845" s="1073">
        <f t="shared" si="366"/>
        <v>30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30</v>
      </c>
    </row>
    <row r="1846" spans="9:17" ht="13.9" x14ac:dyDescent="0.4">
      <c r="I1846" s="1073">
        <f t="shared" si="366"/>
        <v>31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30</v>
      </c>
    </row>
    <row r="1847" spans="9:17" ht="13.9" x14ac:dyDescent="0.4">
      <c r="I1847" s="1073">
        <f t="shared" si="366"/>
        <v>32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30</v>
      </c>
    </row>
    <row r="1848" spans="9:17" ht="13.9" x14ac:dyDescent="0.4">
      <c r="I1848" s="1073">
        <f t="shared" si="366"/>
        <v>33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30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34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30</v>
      </c>
    </row>
    <row r="1854" spans="9:17" ht="13.9" x14ac:dyDescent="0.4">
      <c r="I1854" s="1073">
        <f t="shared" ref="I1854:I1859" si="369">IF($A$1=30,I1853+1,0)</f>
        <v>35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30</v>
      </c>
    </row>
    <row r="1855" spans="9:17" ht="13.9" x14ac:dyDescent="0.4">
      <c r="I1855" s="1073">
        <f t="shared" si="369"/>
        <v>36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30</v>
      </c>
    </row>
    <row r="1856" spans="9:17" ht="13.9" x14ac:dyDescent="0.4">
      <c r="I1856" s="1073">
        <f t="shared" si="369"/>
        <v>37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30</v>
      </c>
    </row>
    <row r="1857" spans="9:17" ht="13.9" x14ac:dyDescent="0.4">
      <c r="I1857" s="1073">
        <f t="shared" si="369"/>
        <v>38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30</v>
      </c>
    </row>
    <row r="1858" spans="9:17" ht="13.9" x14ac:dyDescent="0.4">
      <c r="I1858" s="1073">
        <f t="shared" si="369"/>
        <v>39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30</v>
      </c>
    </row>
    <row r="1859" spans="9:17" ht="13.9" x14ac:dyDescent="0.4">
      <c r="I1859" s="1073">
        <f t="shared" si="369"/>
        <v>40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30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Nematicide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Fungicide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Nematicide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Fungicide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Nematicide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Fungicide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Nematicide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Fungicide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Nematicide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Fungicide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Nematicide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Fungicide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Nematicide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Fungicide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Nematicide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Fungicide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Nematicide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Fungicide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Nematicide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Fungicide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Nematicide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Fungicide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Nematicide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Fungicide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Nematicide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Fungicide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Nematicide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Fungicide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Nematicide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Fungicide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Nematicide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Fungicide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Nematicide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Fungicide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Nematicide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Fungicide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Nematicide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Fungicide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Nematicide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Fungicide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1</v>
      </c>
      <c r="D69" s="1927">
        <f>VLOOKUP(50,$N$14:$Z$303,5,FALSE)</f>
        <v>1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1</v>
      </c>
      <c r="D74" s="1925">
        <f>VLOOKUP(55,$N$14:$Z$303,5,FALSE)</f>
        <v>1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1</v>
      </c>
      <c r="R74" s="1926">
        <f>R69</f>
        <v>1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1</v>
      </c>
      <c r="R148" s="1926">
        <f>R143</f>
        <v>1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1</v>
      </c>
      <c r="R222" s="1926">
        <f>R217</f>
        <v>1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1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1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1</v>
      </c>
      <c r="R296" s="1926">
        <f>R291</f>
        <v>1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28. Details of Chemicals Applied, Peanuts, Pivot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Prowl H20</v>
      </c>
      <c r="B4" s="104" t="e">
        <f>Seed_Chemical!#REF!</f>
        <v>#REF!</v>
      </c>
      <c r="C4" s="104" t="str">
        <f>Seed_Chemical!C12</f>
        <v>pt</v>
      </c>
      <c r="D4" s="96">
        <f>Seed_Chemical!D12</f>
        <v>5</v>
      </c>
      <c r="E4" s="96">
        <f>Seed_Chemical!E12</f>
        <v>2</v>
      </c>
      <c r="F4" s="96">
        <f>Seed_Chemical!F12</f>
        <v>10</v>
      </c>
      <c r="G4" s="106" t="e">
        <f>Seed_Chemical!#REF!</f>
        <v>#REF!</v>
      </c>
    </row>
    <row r="5" spans="1:7" ht="13.9" x14ac:dyDescent="0.4">
      <c r="A5" s="96" t="str">
        <f>Seed_Chemical!A13</f>
        <v>Valor EZ</v>
      </c>
      <c r="B5" s="104" t="e">
        <f>Seed_Chemical!#REF!</f>
        <v>#REF!</v>
      </c>
      <c r="C5" s="104" t="str">
        <f>Seed_Chemical!C13</f>
        <v>oz</v>
      </c>
      <c r="D5" s="96">
        <f>Seed_Chemical!D13</f>
        <v>5.9375</v>
      </c>
      <c r="E5" s="96">
        <f>Seed_Chemical!E13</f>
        <v>3</v>
      </c>
      <c r="F5" s="96">
        <f>Seed_Chemical!F13</f>
        <v>17.8125</v>
      </c>
      <c r="G5" s="106" t="e">
        <f>Seed_Chemical!#REF!</f>
        <v>#REF!</v>
      </c>
    </row>
    <row r="6" spans="1:7" ht="13.9" x14ac:dyDescent="0.4">
      <c r="A6" s="96" t="str">
        <f>Seed_Chemical!A14</f>
        <v>Select Max</v>
      </c>
      <c r="B6" s="104" t="e">
        <f>Seed_Chemical!#REF!</f>
        <v>#REF!</v>
      </c>
      <c r="C6" s="104" t="str">
        <f>Seed_Chemical!C14</f>
        <v>oz</v>
      </c>
      <c r="D6" s="96">
        <f>Seed_Chemical!D14</f>
        <v>0.78125</v>
      </c>
      <c r="E6" s="96">
        <f>Seed_Chemical!E14</f>
        <v>12</v>
      </c>
      <c r="F6" s="96">
        <f>Seed_Chemical!F14</f>
        <v>9.375</v>
      </c>
      <c r="G6" s="106" t="e">
        <f>Seed_Chemical!#REF!</f>
        <v>#REF!</v>
      </c>
    </row>
    <row r="7" spans="1:7" ht="13.9" x14ac:dyDescent="0.4">
      <c r="A7" s="96" t="str">
        <f>Seed_Chemical!A15</f>
        <v>Zidua SC</v>
      </c>
      <c r="B7" s="104" t="e">
        <f>Seed_Chemical!#REF!</f>
        <v>#REF!</v>
      </c>
      <c r="C7" s="104" t="str">
        <f>Seed_Chemical!C15</f>
        <v>oz</v>
      </c>
      <c r="D7" s="96">
        <f>Seed_Chemical!D15</f>
        <v>5.7421875</v>
      </c>
      <c r="E7" s="96">
        <f>Seed_Chemical!E15</f>
        <v>3.25</v>
      </c>
      <c r="F7" s="96">
        <f>Seed_Chemical!F15</f>
        <v>18.662109375</v>
      </c>
      <c r="G7" s="106" t="e">
        <f>Seed_Chemical!#REF!</f>
        <v>#REF!</v>
      </c>
    </row>
    <row r="8" spans="1:7" ht="13.9" x14ac:dyDescent="0.4">
      <c r="A8" s="96" t="str">
        <f>Seed_Chemical!A16</f>
        <v>Ultra Blazer</v>
      </c>
      <c r="B8" s="104" t="e">
        <f>Seed_Chemical!#REF!</f>
        <v>#REF!</v>
      </c>
      <c r="C8" s="104" t="str">
        <f>Seed_Chemical!C16</f>
        <v>pt</v>
      </c>
      <c r="D8" s="96">
        <f>Seed_Chemical!D16</f>
        <v>11.25</v>
      </c>
      <c r="E8" s="96">
        <f>Seed_Chemical!E16</f>
        <v>2</v>
      </c>
      <c r="F8" s="96">
        <f>Seed_Chemical!F16</f>
        <v>22.5</v>
      </c>
      <c r="G8" s="106" t="e">
        <f>Seed_Chemical!#REF!</f>
        <v>#REF!</v>
      </c>
    </row>
    <row r="9" spans="1:7" ht="13.9" x14ac:dyDescent="0.4">
      <c r="A9" s="96" t="str">
        <f>Seed_Chemical!A17</f>
        <v>2,4-DB</v>
      </c>
      <c r="B9" s="104" t="e">
        <f>Seed_Chemical!#REF!</f>
        <v>#REF!</v>
      </c>
      <c r="C9" s="104" t="str">
        <f>Seed_Chemical!C17</f>
        <v>pt</v>
      </c>
      <c r="D9" s="96">
        <f>Seed_Chemical!D17</f>
        <v>5</v>
      </c>
      <c r="E9" s="96">
        <f>Seed_Chemical!E17</f>
        <v>0.5</v>
      </c>
      <c r="F9" s="96">
        <f>Seed_Chemical!F17</f>
        <v>2.5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80.849609375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Admire Pro, furrow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2.56</v>
      </c>
      <c r="E22" s="96">
        <f>Seed_Chemical!E30</f>
        <v>9</v>
      </c>
      <c r="F22" s="96">
        <f>Seed_Chemical!F30</f>
        <v>23.04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23.04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Nematicide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 xml:space="preserve"> </v>
      </c>
      <c r="B36" s="104" t="e">
        <f>Seed_Chemical!#REF!</f>
        <v>#REF!</v>
      </c>
      <c r="C36" s="104" t="str">
        <f>Seed_Chemical!C44</f>
        <v xml:space="preserve"> </v>
      </c>
      <c r="D36" s="96">
        <f>Seed_Chemical!D44</f>
        <v>0</v>
      </c>
      <c r="E36" s="96">
        <f>Seed_Chemical!E44</f>
        <v>0</v>
      </c>
      <c r="F36" s="96">
        <f>Seed_Chemical!F44</f>
        <v>0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0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Fungicide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>Musle ADV</v>
      </c>
      <c r="B42" s="104" t="e">
        <f>Seed_Chemical!#REF!</f>
        <v>#REF!</v>
      </c>
      <c r="C42" s="104" t="str">
        <f>Seed_Chemical!C50</f>
        <v>pt</v>
      </c>
      <c r="D42" s="96">
        <f>Seed_Chemical!D50</f>
        <v>4.4937500000000004</v>
      </c>
      <c r="E42" s="96">
        <f>Seed_Chemical!E50</f>
        <v>2</v>
      </c>
      <c r="F42" s="96">
        <f>Seed_Chemical!F50</f>
        <v>8.9875000000000007</v>
      </c>
      <c r="G42" s="106" t="e">
        <f>Seed_Chemical!#REF!</f>
        <v>#REF!</v>
      </c>
    </row>
    <row r="43" spans="1:7" ht="13.9" x14ac:dyDescent="0.4">
      <c r="A43" s="96" t="str">
        <f>Seed_Chemical!A51</f>
        <v>Convoy</v>
      </c>
      <c r="B43" s="104" t="e">
        <f>Seed_Chemical!#REF!</f>
        <v>#REF!</v>
      </c>
      <c r="C43" s="104" t="str">
        <f>Seed_Chemical!C51</f>
        <v>oz</v>
      </c>
      <c r="D43" s="96">
        <f>Seed_Chemical!D51</f>
        <v>23.04</v>
      </c>
      <c r="E43" s="96">
        <f>Seed_Chemical!E51</f>
        <v>1.5</v>
      </c>
      <c r="F43" s="96">
        <f>Seed_Chemical!F51</f>
        <v>34.56</v>
      </c>
      <c r="G43" s="106" t="e">
        <f>Seed_Chemical!#REF!</f>
        <v>#REF!</v>
      </c>
    </row>
    <row r="44" spans="1:7" ht="13.9" x14ac:dyDescent="0.4">
      <c r="A44" s="96" t="str">
        <f>Seed_Chemical!A52</f>
        <v>Musle ADV</v>
      </c>
      <c r="B44" s="104" t="e">
        <f>Seed_Chemical!#REF!</f>
        <v>#REF!</v>
      </c>
      <c r="C44" s="104" t="str">
        <f>Seed_Chemical!C52</f>
        <v>pt</v>
      </c>
      <c r="D44" s="96">
        <f>Seed_Chemical!D52</f>
        <v>4.4937500000000004</v>
      </c>
      <c r="E44" s="96">
        <f>Seed_Chemical!E52</f>
        <v>2</v>
      </c>
      <c r="F44" s="96">
        <f>Seed_Chemical!F52</f>
        <v>8.9875000000000007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52.534999999999997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>Optimize LIFT</v>
      </c>
      <c r="B53" s="104" t="e">
        <f>Seed_Chemical!#REF!</f>
        <v>#REF!</v>
      </c>
      <c r="C53" s="104" t="str">
        <f>Seed_Chemical!C61</f>
        <v>oz</v>
      </c>
      <c r="D53" s="96">
        <f>Seed_Chemical!D61</f>
        <v>0.15</v>
      </c>
      <c r="E53" s="96">
        <f>Seed_Chemical!E61</f>
        <v>8</v>
      </c>
      <c r="F53" s="96">
        <f>Seed_Chemical!F61</f>
        <v>1.2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1.2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28. Details of Chemicals Applied, Peanuts, Pivot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Prowl H20</v>
      </c>
      <c r="B4" s="104" t="e">
        <f>Seed_Chemical!#REF!</f>
        <v>#REF!</v>
      </c>
      <c r="C4" s="104" t="str">
        <f>Seed_Chemical!C12</f>
        <v>pt</v>
      </c>
      <c r="D4" s="96">
        <f>Seed_Chemical!D12</f>
        <v>5</v>
      </c>
      <c r="E4" s="96">
        <f>Seed_Chemical!E12</f>
        <v>2</v>
      </c>
      <c r="F4" s="96">
        <f>Seed_Chemical!F12</f>
        <v>10</v>
      </c>
      <c r="G4" s="106" t="e">
        <f>Seed_Chemical!#REF!</f>
        <v>#REF!</v>
      </c>
    </row>
    <row r="5" spans="1:7" ht="13.9" x14ac:dyDescent="0.4">
      <c r="A5" s="96" t="str">
        <f>Seed_Chemical!A13</f>
        <v>Valor EZ</v>
      </c>
      <c r="B5" s="104" t="e">
        <f>Seed_Chemical!#REF!</f>
        <v>#REF!</v>
      </c>
      <c r="C5" s="104" t="str">
        <f>Seed_Chemical!C13</f>
        <v>oz</v>
      </c>
      <c r="D5" s="96">
        <f>Seed_Chemical!D13</f>
        <v>5.9375</v>
      </c>
      <c r="E5" s="96">
        <f>Seed_Chemical!E13</f>
        <v>3</v>
      </c>
      <c r="F5" s="96">
        <f>Seed_Chemical!F13</f>
        <v>17.8125</v>
      </c>
      <c r="G5" s="106" t="e">
        <f>Seed_Chemical!#REF!</f>
        <v>#REF!</v>
      </c>
    </row>
    <row r="6" spans="1:7" ht="13.9" x14ac:dyDescent="0.4">
      <c r="A6" s="96" t="str">
        <f>Seed_Chemical!A14</f>
        <v>Select Max</v>
      </c>
      <c r="B6" s="104" t="e">
        <f>Seed_Chemical!#REF!</f>
        <v>#REF!</v>
      </c>
      <c r="C6" s="104" t="str">
        <f>Seed_Chemical!C14</f>
        <v>oz</v>
      </c>
      <c r="D6" s="96">
        <f>Seed_Chemical!D14</f>
        <v>0.78125</v>
      </c>
      <c r="E6" s="96">
        <f>Seed_Chemical!E14</f>
        <v>12</v>
      </c>
      <c r="F6" s="96">
        <f>Seed_Chemical!F14</f>
        <v>9.375</v>
      </c>
      <c r="G6" s="106" t="e">
        <f>Seed_Chemical!#REF!</f>
        <v>#REF!</v>
      </c>
    </row>
    <row r="7" spans="1:7" ht="13.9" x14ac:dyDescent="0.4">
      <c r="A7" s="96" t="str">
        <f>Seed_Chemical!A15</f>
        <v>Zidua SC</v>
      </c>
      <c r="B7" s="104" t="e">
        <f>Seed_Chemical!#REF!</f>
        <v>#REF!</v>
      </c>
      <c r="C7" s="104" t="str">
        <f>Seed_Chemical!C15</f>
        <v>oz</v>
      </c>
      <c r="D7" s="96">
        <f>Seed_Chemical!D15</f>
        <v>5.7421875</v>
      </c>
      <c r="E7" s="96">
        <f>Seed_Chemical!E15</f>
        <v>3.25</v>
      </c>
      <c r="F7" s="96">
        <f>Seed_Chemical!F15</f>
        <v>18.662109375</v>
      </c>
      <c r="G7" s="106" t="e">
        <f>Seed_Chemical!#REF!</f>
        <v>#REF!</v>
      </c>
    </row>
    <row r="8" spans="1:7" ht="13.9" x14ac:dyDescent="0.4">
      <c r="A8" s="96" t="str">
        <f>Seed_Chemical!A16</f>
        <v>Ultra Blazer</v>
      </c>
      <c r="B8" s="104" t="e">
        <f>Seed_Chemical!#REF!</f>
        <v>#REF!</v>
      </c>
      <c r="C8" s="104" t="str">
        <f>Seed_Chemical!C16</f>
        <v>pt</v>
      </c>
      <c r="D8" s="96">
        <f>Seed_Chemical!D16</f>
        <v>11.25</v>
      </c>
      <c r="E8" s="96">
        <f>Seed_Chemical!E16</f>
        <v>2</v>
      </c>
      <c r="F8" s="96">
        <f>Seed_Chemical!F16</f>
        <v>22.5</v>
      </c>
      <c r="G8" s="106" t="e">
        <f>Seed_Chemical!#REF!</f>
        <v>#REF!</v>
      </c>
    </row>
    <row r="9" spans="1:7" ht="13.9" x14ac:dyDescent="0.4">
      <c r="A9" s="96" t="str">
        <f>Seed_Chemical!A17</f>
        <v>2,4-DB</v>
      </c>
      <c r="B9" s="104" t="e">
        <f>Seed_Chemical!#REF!</f>
        <v>#REF!</v>
      </c>
      <c r="C9" s="104" t="str">
        <f>Seed_Chemical!C17</f>
        <v>pt</v>
      </c>
      <c r="D9" s="96">
        <f>Seed_Chemical!D17</f>
        <v>5</v>
      </c>
      <c r="E9" s="96">
        <f>Seed_Chemical!E17</f>
        <v>0.5</v>
      </c>
      <c r="F9" s="96">
        <f>Seed_Chemical!F17</f>
        <v>2.5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80.849609375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Admire Pro, furrow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2.56</v>
      </c>
      <c r="E18" s="96">
        <f>Seed_Chemical!E30</f>
        <v>9</v>
      </c>
      <c r="F18" s="96">
        <f>Seed_Chemical!F30</f>
        <v>23.04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23.04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Nematicide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0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Fungicide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>Musle ADV</v>
      </c>
      <c r="B31" s="104" t="e">
        <f>Seed_Chemical!#REF!</f>
        <v>#REF!</v>
      </c>
      <c r="C31" s="104" t="str">
        <f>Seed_Chemical!C50</f>
        <v>pt</v>
      </c>
      <c r="D31" s="96">
        <f>Seed_Chemical!D50</f>
        <v>4.4937500000000004</v>
      </c>
      <c r="E31" s="96">
        <f>Seed_Chemical!E50</f>
        <v>2</v>
      </c>
      <c r="F31" s="96">
        <f>Seed_Chemical!F50</f>
        <v>8.9875000000000007</v>
      </c>
      <c r="G31" s="106" t="e">
        <f>Seed_Chemical!#REF!</f>
        <v>#REF!</v>
      </c>
    </row>
    <row r="32" spans="1:7" ht="13.9" x14ac:dyDescent="0.4">
      <c r="A32" s="96" t="str">
        <f>Seed_Chemical!A51</f>
        <v>Convoy</v>
      </c>
      <c r="B32" s="104" t="e">
        <f>Seed_Chemical!#REF!</f>
        <v>#REF!</v>
      </c>
      <c r="C32" s="104" t="str">
        <f>Seed_Chemical!C51</f>
        <v>oz</v>
      </c>
      <c r="D32" s="96">
        <f>Seed_Chemical!D51</f>
        <v>23.04</v>
      </c>
      <c r="E32" s="96">
        <f>Seed_Chemical!E51</f>
        <v>1.5</v>
      </c>
      <c r="F32" s="96">
        <f>Seed_Chemical!F51</f>
        <v>34.56</v>
      </c>
      <c r="G32" s="106" t="e">
        <f>Seed_Chemical!#REF!</f>
        <v>#REF!</v>
      </c>
    </row>
    <row r="33" spans="1:7" ht="13.9" x14ac:dyDescent="0.4">
      <c r="A33" s="96" t="str">
        <f>Seed_Chemical!A52</f>
        <v>Musle ADV</v>
      </c>
      <c r="B33" s="104" t="e">
        <f>Seed_Chemical!#REF!</f>
        <v>#REF!</v>
      </c>
      <c r="C33" s="104" t="str">
        <f>Seed_Chemical!C52</f>
        <v>pt</v>
      </c>
      <c r="D33" s="96">
        <f>Seed_Chemical!D52</f>
        <v>4.4937500000000004</v>
      </c>
      <c r="E33" s="96">
        <f>Seed_Chemical!E52</f>
        <v>2</v>
      </c>
      <c r="F33" s="96">
        <f>Seed_Chemical!F52</f>
        <v>8.9875000000000007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52.534999999999997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>Optimize LIFT</v>
      </c>
      <c r="B38" s="104" t="e">
        <f>Seed_Chemical!#REF!</f>
        <v>#REF!</v>
      </c>
      <c r="C38" s="104" t="str">
        <f>Seed_Chemical!C61</f>
        <v>oz</v>
      </c>
      <c r="D38" s="96">
        <f>Seed_Chemical!D61</f>
        <v>0.15</v>
      </c>
      <c r="E38" s="96">
        <f>Seed_Chemical!E61</f>
        <v>8</v>
      </c>
      <c r="F38" s="96">
        <f>Seed_Chemical!F61</f>
        <v>1.2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1.2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28. Machinery Capital Recovery and Operating Costs, Peanuts, Pivot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>
        <f>IF(Trips!G5&gt;0,Trips!G5," ")</f>
        <v>9.4422843036533273</v>
      </c>
      <c r="C6" s="96">
        <f>IF(Trips!H5&gt;0,Trips!H5," ")</f>
        <v>1.3555049775833119</v>
      </c>
      <c r="D6" s="96">
        <f>IF(Trips!I5&gt;0,Trips!I5," ")</f>
        <v>2.7502588235294114</v>
      </c>
      <c r="E6" s="96">
        <f>IF(Trips!J5&gt;0,Trips!J5," ")</f>
        <v>1.4666752941176471</v>
      </c>
      <c r="F6" s="96">
        <f>IF(Trips!K5&gt;0,Trips!K5," ")</f>
        <v>15.014723398883696</v>
      </c>
      <c r="G6" s="528">
        <f>IF(Machine!B15&gt;0,Machine!B15," ")</f>
        <v>1</v>
      </c>
      <c r="H6" s="97">
        <f>IF(Machine!B15&gt;0,Machine!D15," ")</f>
        <v>25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>
        <f>IF(Trips!G10&gt;0,Trips!G10," ")</f>
        <v>7.8838877630223569</v>
      </c>
      <c r="C11" s="96">
        <f>IF(Trips!H10&gt;0,Trips!H10," ")</f>
        <v>1.0494634514671393</v>
      </c>
      <c r="D11" s="96">
        <f>IF(Trips!I10&gt;0,Trips!I10," ")</f>
        <v>1.708859649122807</v>
      </c>
      <c r="E11" s="96">
        <f>IF(Trips!J10&gt;0,Trips!J10," ")</f>
        <v>0.91131140350877193</v>
      </c>
      <c r="F11" s="96">
        <f>IF(Trips!K10&gt;0,Trips!K10," ")</f>
        <v>11.553522267121076</v>
      </c>
      <c r="G11" s="528">
        <f>IF(Machine!B20&gt;0,Machine!B20," ")</f>
        <v>1</v>
      </c>
      <c r="H11" s="97">
        <f>IF(Machine!B20&gt;0,Machine!D20," ")</f>
        <v>38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 t="str">
        <f>IF(Trips!G15&gt;0,Trips!G15," ")</f>
        <v xml:space="preserve"> </v>
      </c>
      <c r="C16" s="96" t="str">
        <f>IF(Trips!H15&gt;0,Trips!H15," ")</f>
        <v xml:space="preserve"> </v>
      </c>
      <c r="D16" s="96" t="str">
        <f>IF(Trips!I15&gt;0,Trips!I15," ")</f>
        <v xml:space="preserve"> </v>
      </c>
      <c r="E16" s="96" t="str">
        <f>IF(Trips!J15&gt;0,Trips!J15," ")</f>
        <v xml:space="preserve"> </v>
      </c>
      <c r="F16" s="96" t="str">
        <f>IF(Trips!K15&gt;0,Trips!K15," ")</f>
        <v xml:space="preserve"> </v>
      </c>
      <c r="G16" s="528" t="str">
        <f>IF(Machine!B25&gt;0,Machine!B25," ")</f>
        <v xml:space="preserve"> 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>
        <f>IF(Trips!G18&gt;0,Trips!G18," ")</f>
        <v>4.6543890672290615</v>
      </c>
      <c r="C19" s="96">
        <f>IF(Trips!H18&gt;0,Trips!H18," ")</f>
        <v>0.80766507546005373</v>
      </c>
      <c r="D19" s="96">
        <f>IF(Trips!I18&gt;0,Trips!I18," ")</f>
        <v>0.93546218487394939</v>
      </c>
      <c r="E19" s="96">
        <f>IF(Trips!J18&gt;0,Trips!J18," ")</f>
        <v>0.49886914765906354</v>
      </c>
      <c r="F19" s="96">
        <f>IF(Trips!K18&gt;0,Trips!K18," ")</f>
        <v>6.8963854752221279</v>
      </c>
      <c r="G19" s="528">
        <f>IF(Machine!B28&gt;0,Machine!B28," ")</f>
        <v>1</v>
      </c>
      <c r="H19" s="97">
        <f>IF(Machine!B28&gt;0,Machine!D28," ")</f>
        <v>42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 t="str">
        <f>IF(Trips!G22&gt;0,Trips!G22," ")</f>
        <v xml:space="preserve"> </v>
      </c>
      <c r="C23" s="96" t="str">
        <f>IF(Trips!H22&gt;0,Trips!H22," ")</f>
        <v xml:space="preserve"> </v>
      </c>
      <c r="D23" s="96" t="str">
        <f>IF(Trips!I22&gt;0,Trips!I22," ")</f>
        <v xml:space="preserve"> </v>
      </c>
      <c r="E23" s="96" t="str">
        <f>IF(Trips!J22&gt;0,Trips!J22," ")</f>
        <v xml:space="preserve"> </v>
      </c>
      <c r="F23" s="96" t="str">
        <f>IF(Trips!K22&gt;0,Trips!K22," ")</f>
        <v xml:space="preserve"> </v>
      </c>
      <c r="G23" s="528" t="str">
        <f>IF(Machine!B32&gt;0,Machine!B32," ")</f>
        <v xml:space="preserve"> </v>
      </c>
      <c r="H23" s="97" t="str">
        <f>IF(Machine!B32&gt;0,Machine!D32," ")</f>
        <v xml:space="preserve"> 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>
        <f>IF(Trips!G25&gt;0,Trips!G25," ")</f>
        <v>8.3809010451777848</v>
      </c>
      <c r="C26" s="96">
        <f>IF(Trips!H25&gt;0,Trips!H25," ")</f>
        <v>2.2480540085864007</v>
      </c>
      <c r="D26" s="96">
        <f>IF(Trips!I25&gt;0,Trips!I25," ")</f>
        <v>1.3373684210526315</v>
      </c>
      <c r="E26" s="96">
        <f>IF(Trips!J25&gt;0,Trips!J25," ")</f>
        <v>0.93827327935222649</v>
      </c>
      <c r="F26" s="96">
        <f>IF(Trips!K25&gt;0,Trips!K25," ")</f>
        <v>12.904596754169045</v>
      </c>
      <c r="G26" s="528">
        <f>IF(Machine!B35&gt;0,Machine!B35," ")</f>
        <v>1</v>
      </c>
      <c r="H26" s="97">
        <f>IF(Machine!B35&gt;0,Machine!D35," ")</f>
        <v>38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 t="str">
        <f>IF(Trips!G27&gt;0,Trips!G27," ")</f>
        <v xml:space="preserve"> </v>
      </c>
      <c r="C28" s="96" t="str">
        <f>IF(Trips!H27&gt;0,Trips!H27," ")</f>
        <v xml:space="preserve"> </v>
      </c>
      <c r="D28" s="96" t="str">
        <f>IF(Trips!I27&gt;0,Trips!I27," ")</f>
        <v xml:space="preserve"> </v>
      </c>
      <c r="E28" s="96" t="str">
        <f>IF(Trips!J27&gt;0,Trips!J27," ")</f>
        <v xml:space="preserve"> </v>
      </c>
      <c r="F28" s="96" t="str">
        <f>IF(Trips!K27&gt;0,Trips!K27," ")</f>
        <v xml:space="preserve"> </v>
      </c>
      <c r="G28" s="528" t="str">
        <f>IF(Machine!B37&gt;0,Machine!B37," ")</f>
        <v xml:space="preserve"> </v>
      </c>
      <c r="H28" s="97" t="str">
        <f>IF(Machine!B37&gt;0,Machine!D37," ")</f>
        <v xml:space="preserve"> 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 t="str">
        <f>IF(Trips!G33&gt;0,Trips!G33," ")</f>
        <v xml:space="preserve"> </v>
      </c>
      <c r="C34" s="96" t="str">
        <f>IF(Trips!H33&gt;0,Trips!H33," ")</f>
        <v xml:space="preserve"> </v>
      </c>
      <c r="D34" s="96" t="str">
        <f>IF(Trips!I33&gt;0,Trips!I33," ")</f>
        <v xml:space="preserve"> </v>
      </c>
      <c r="E34" s="96" t="str">
        <f>IF(Trips!J33&gt;0,Trips!J33," ")</f>
        <v xml:space="preserve"> </v>
      </c>
      <c r="F34" s="96" t="str">
        <f>IF(Trips!K33&gt;0,Trips!K33," ")</f>
        <v xml:space="preserve"> </v>
      </c>
      <c r="G34" s="528" t="str">
        <f>IF(Machine!B43&gt;0,Machine!B43," ")</f>
        <v xml:space="preserve"> 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0</v>
      </c>
      <c r="C37" s="96">
        <f>IF(Trips!H36&gt;0,Trips!C36," ")</f>
        <v>0</v>
      </c>
      <c r="D37" s="96">
        <f>IF(Trips!I36&gt;0,Trips!D36," ")</f>
        <v>0</v>
      </c>
      <c r="E37" s="96">
        <f>IF(Trips!J36&gt;0,Trips!E36," ")</f>
        <v>0</v>
      </c>
      <c r="F37" s="96">
        <f>IF(Trips!K36&gt;0,Trips!F36," ")</f>
        <v>0</v>
      </c>
      <c r="G37" s="121" t="str">
        <f>IF(Machine!B46&gt;0,"All"," ")</f>
        <v xml:space="preserve"> 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0</v>
      </c>
      <c r="C38" s="96">
        <f>IF(Trips!H37&gt;0,Trips!C37," ")</f>
        <v>0</v>
      </c>
      <c r="D38" s="96">
        <f>IF(Trips!I37&gt;0,Trips!D37," ")</f>
        <v>0</v>
      </c>
      <c r="E38" s="96">
        <f>IF(Trips!J37&gt;0,Trips!E37," ")</f>
        <v>0</v>
      </c>
      <c r="F38" s="96">
        <f>IF(Trips!K37&gt;0,Trips!F37," ")</f>
        <v>0</v>
      </c>
      <c r="G38" s="121" t="str">
        <f>IF(Machine!B47&gt;0,"All"," ")</f>
        <v xml:space="preserve"> 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>
        <f>IF(Trips!G38&gt;0,Trips!G38," ")</f>
        <v>23.093762672909151</v>
      </c>
      <c r="C39" s="96">
        <f>IF(Trips!H38&gt;0,Trips!H38," ")</f>
        <v>4.7996684343448628</v>
      </c>
      <c r="D39" s="96">
        <f>IF(Trips!I38&gt;0,Trips!I38," ")</f>
        <v>5.3494736842105262</v>
      </c>
      <c r="E39" s="96">
        <f>IF(Trips!J38&gt;0,Trips!J38," ")</f>
        <v>3.3648421052631576</v>
      </c>
      <c r="F39" s="96">
        <f>IF(Trips!K38&gt;0,Trips!K38," ")</f>
        <v>36.607746896727697</v>
      </c>
      <c r="G39" s="528">
        <f>IF(Machine!B48&gt;0,Machine!B48," ")</f>
        <v>1</v>
      </c>
      <c r="H39" s="97">
        <f>IF(Machine!B48&gt;0,Machine!D48," ")</f>
        <v>19</v>
      </c>
    </row>
    <row r="40" spans="1:8" ht="13.9" x14ac:dyDescent="0.4">
      <c r="A40" s="91" t="str">
        <f>Machine!A49</f>
        <v>Peanut Conditioner</v>
      </c>
      <c r="B40" s="96">
        <f>IF(Trips!G39&gt;0,Trips!G39," ")</f>
        <v>17.056501978570946</v>
      </c>
      <c r="C40" s="96">
        <f>IF(Trips!H39&gt;0,Trips!H39," ")</f>
        <v>2.4652239477406273</v>
      </c>
      <c r="D40" s="96">
        <f>IF(Trips!I39&gt;0,Trips!I39," ")</f>
        <v>5.3494736842105262</v>
      </c>
      <c r="E40" s="96">
        <f>IF(Trips!J39&gt;0,Trips!J39," ")</f>
        <v>3.3648421052631576</v>
      </c>
      <c r="F40" s="96">
        <f>IF(Trips!K39&gt;0,Trips!K39," ")</f>
        <v>28.236041715785259</v>
      </c>
      <c r="G40" s="528">
        <f>IF(Machine!B49&gt;0,Machine!B49," ")</f>
        <v>1</v>
      </c>
      <c r="H40" s="97">
        <f>IF(Machine!B49&gt;0,Machine!D49," ")</f>
        <v>19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 t="str">
        <f>IF(Trips!G59&gt;0,Trips!G59," ")</f>
        <v xml:space="preserve"> </v>
      </c>
      <c r="C60" s="96" t="str">
        <f>IF(Trips!H59&gt;0,Trips!H59," ")</f>
        <v xml:space="preserve"> </v>
      </c>
      <c r="D60" s="96" t="str">
        <f>IF(Trips!I59&gt;0,Trips!I59," ")</f>
        <v xml:space="preserve"> </v>
      </c>
      <c r="E60" s="96" t="str">
        <f>IF(Trips!J59&gt;0,Trips!J59," ")</f>
        <v xml:space="preserve"> </v>
      </c>
      <c r="F60" s="96" t="str">
        <f>IF(Trips!K59&gt;0,Trips!K59," ")</f>
        <v xml:space="preserve"> </v>
      </c>
      <c r="G60" s="528" t="str">
        <f>IF(Machine!B69&gt;0,Machine!B69," ")</f>
        <v xml:space="preserve"> </v>
      </c>
      <c r="H60" s="118" t="str">
        <f>IF(Machine!B69&gt;0,"NA"," ")</f>
        <v xml:space="preserve"> 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 t="str">
        <f>IF(Trips!G64&gt;0,Trips!G64," ")</f>
        <v xml:space="preserve"> </v>
      </c>
      <c r="C65" s="96" t="str">
        <f>IF(Trips!H64&gt;0,Trips!H64," ")</f>
        <v xml:space="preserve"> </v>
      </c>
      <c r="D65" s="96" t="str">
        <f>IF(Trips!I64&gt;0,Trips!I64," ")</f>
        <v xml:space="preserve"> </v>
      </c>
      <c r="E65" s="96" t="str">
        <f>IF(Trips!J64&gt;0,Trips!J64," ")</f>
        <v xml:space="preserve"> </v>
      </c>
      <c r="F65" s="96" t="str">
        <f>IF(Trips!K64&gt;0,Trips!K64," ")</f>
        <v xml:space="preserve"> </v>
      </c>
      <c r="G65" s="528" t="str">
        <f>IF(Machine!B74&gt;0,Machine!B74," ")</f>
        <v xml:space="preserve"> </v>
      </c>
      <c r="H65" s="118" t="str">
        <f>IF(Machine!B74&gt;0,"NA"," ")</f>
        <v xml:space="preserve"> 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>
        <f>IF(Trips!G66&gt;0,Trips!G66," ")</f>
        <v>72.018160429592157</v>
      </c>
      <c r="C67" s="96">
        <f>IF(Trips!H66&gt;0,Trips!H66," ")</f>
        <v>5.612062200572451</v>
      </c>
      <c r="D67" s="96">
        <f>IF(Trips!I66&gt;0,Trips!I66," ")</f>
        <v>9.4644534412955466</v>
      </c>
      <c r="E67" s="96">
        <f>IF(Trips!J66&gt;0,Trips!J66," ")</f>
        <v>5.3869827935222681</v>
      </c>
      <c r="F67" s="96">
        <f>IF(Trips!K66&gt;0,Trips!K66," ")</f>
        <v>92.481658864982421</v>
      </c>
      <c r="G67" s="528">
        <f>IF(Machine!B76&gt;0,Machine!B76," ")</f>
        <v>1</v>
      </c>
      <c r="H67" s="97">
        <f>IF(Machine!B76&gt;0,Machine!D76," ")</f>
        <v>19</v>
      </c>
    </row>
    <row r="68" spans="1:8" ht="13.9" x14ac:dyDescent="0.4">
      <c r="A68" s="91" t="str">
        <f>Machine!A77</f>
        <v>Peanut Dump Cart with Tractor</v>
      </c>
      <c r="B68" s="96">
        <f>IF(Trips!G67&gt;0,Trips!G67," ")</f>
        <v>36.654573756328659</v>
      </c>
      <c r="C68" s="96">
        <f>IF(Trips!H67&gt;0,Trips!H67," ")</f>
        <v>5.8705989321699983</v>
      </c>
      <c r="D68" s="96">
        <f>IF(Trips!I67&gt;0,Trips!I67," ")</f>
        <v>8.0242105263157892</v>
      </c>
      <c r="E68" s="96">
        <f>IF(Trips!J67&gt;0,Trips!J67," ")</f>
        <v>5.3869827935222681</v>
      </c>
      <c r="F68" s="96">
        <f>IF(Trips!K67&gt;0,Trips!K67," ")</f>
        <v>55.936366008336719</v>
      </c>
      <c r="G68" s="528">
        <f>IF(Machine!B77&gt;0,Machine!B77," ")</f>
        <v>1</v>
      </c>
      <c r="H68" s="118" t="str">
        <f>IF(Machine!B77&gt;0,"NA"," ")</f>
        <v>NA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28. Machinery Capital Recovery and Operating Costs, Peanuts, Pivot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>
        <f>IF(Trips!G10&gt;0,Trips!G10," ")</f>
        <v>7.8838877630223569</v>
      </c>
      <c r="C6" s="96">
        <f>IF(Trips!H10&gt;0,Trips!H10," ")</f>
        <v>1.0494634514671393</v>
      </c>
      <c r="D6" s="96">
        <f>IF(Trips!I10&gt;0,Trips!I10," ")</f>
        <v>1.708859649122807</v>
      </c>
      <c r="E6" s="96">
        <f>IF(Trips!J10&gt;0,Trips!J10," ")</f>
        <v>0.91131140350877193</v>
      </c>
      <c r="F6" s="96">
        <f>IF(Trips!K10&gt;0,Trips!K10," ")</f>
        <v>11.553522267121076</v>
      </c>
      <c r="G6" s="528">
        <f>IF(Machine!B20&gt;0,Machine!B20," ")</f>
        <v>1</v>
      </c>
      <c r="H6" s="97">
        <f>IF(Machine!B20&gt;0,Machine!D20," ")</f>
        <v>38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>
        <f>IF(Trips!G25&gt;0,Trips!G25," ")</f>
        <v>8.3809010451777848</v>
      </c>
      <c r="C9" s="96">
        <f>IF(Trips!H25&gt;0,Trips!H25," ")</f>
        <v>2.2480540085864007</v>
      </c>
      <c r="D9" s="96">
        <f>IF(Trips!I25&gt;0,Trips!I25," ")</f>
        <v>1.3373684210526315</v>
      </c>
      <c r="E9" s="96">
        <f>IF(Trips!J25&gt;0,Trips!J25," ")</f>
        <v>0.93827327935222649</v>
      </c>
      <c r="F9" s="96">
        <f>IF(Trips!K25&gt;0,Trips!K25," ")</f>
        <v>12.904596754169045</v>
      </c>
      <c r="G9" s="528">
        <f>IF(Machine!B35&gt;0,Machine!B35," ")</f>
        <v>1</v>
      </c>
      <c r="H9" s="97">
        <f>IF(Machine!B35&gt;0,Machine!D35," ")</f>
        <v>38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1</v>
      </c>
      <c r="T15" s="89">
        <f>J15*O15*S15</f>
        <v>2.0360188857971799</v>
      </c>
      <c r="U15" s="89">
        <f t="shared" ref="U15:U42" si="6">(((P15-(AQ15*P15))*AS15)+(AR15*(AQ15*P15)))/AO15</f>
        <v>64.465190782457285</v>
      </c>
      <c r="V15" s="89">
        <f>U15*O15*S15</f>
        <v>6.256915575944384</v>
      </c>
      <c r="W15" s="1144">
        <f t="shared" ref="W15:Y54" si="7">IF($T15&gt;0,((((($C15+($C15*$F15)+($C15/$E15))/2)*W$12)/$D15)*$O15),0)+IF($V15&gt;0,((((($P15+($P15*$AQ15)+($P15/$AP15))/2)*W$12)/$AO15)*$O15),0)</f>
        <v>0.39361295955882353</v>
      </c>
      <c r="X15" s="1144">
        <f t="shared" si="2"/>
        <v>0.39361295955882353</v>
      </c>
      <c r="Y15" s="1144">
        <f t="shared" si="2"/>
        <v>0.36212392279411765</v>
      </c>
      <c r="Z15" s="1136">
        <f t="shared" ref="Z15:Z54" si="8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0.73386262464213559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0.62164235294117642</v>
      </c>
      <c r="AG15" s="229">
        <f>0.044*R15</f>
        <v>10.119999999999999</v>
      </c>
      <c r="AH15" s="89">
        <f>AG15*O15*$AI$11*S15</f>
        <v>2.7502588235294114</v>
      </c>
      <c r="AI15" s="89">
        <f>AH15*0.1</f>
        <v>0.27502588235294118</v>
      </c>
      <c r="AJ15" s="89">
        <f t="shared" ref="AJ15:AJ51" si="10">AH15</f>
        <v>2.7502588235294114</v>
      </c>
      <c r="AK15" s="227">
        <f>EquipmentSpecs!L15</f>
        <v>1.04</v>
      </c>
      <c r="AL15" s="226">
        <f>O15*S15*AK15</f>
        <v>0.10094117647058824</v>
      </c>
      <c r="AM15" s="230">
        <f>AL15*$AL$11</f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1</v>
      </c>
      <c r="T20" s="89">
        <f t="shared" si="14"/>
        <v>3.0385331311307446</v>
      </c>
      <c r="U20" s="89">
        <f t="shared" si="6"/>
        <v>64.465190782457285</v>
      </c>
      <c r="V20" s="89">
        <f t="shared" si="15"/>
        <v>3.8877033914859109</v>
      </c>
      <c r="W20" s="1144">
        <f t="shared" si="7"/>
        <v>0.3279627535635965</v>
      </c>
      <c r="X20" s="1144">
        <f t="shared" si="2"/>
        <v>0.3279627535635965</v>
      </c>
      <c r="Y20" s="1144">
        <f t="shared" si="2"/>
        <v>0.30172573327850877</v>
      </c>
      <c r="Z20" s="1136">
        <f t="shared" si="8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16"/>
        <v>0.66320906550222702</v>
      </c>
      <c r="AD20" s="84">
        <f t="shared" si="17"/>
        <v>3.0000000000000001E-3</v>
      </c>
      <c r="AE20" s="229">
        <v>2</v>
      </c>
      <c r="AF20" s="89">
        <f t="shared" si="9"/>
        <v>0.38625438596491224</v>
      </c>
      <c r="AG20" s="229">
        <f t="shared" si="18"/>
        <v>10.119999999999999</v>
      </c>
      <c r="AH20" s="89">
        <f t="shared" si="19"/>
        <v>1.708859649122807</v>
      </c>
      <c r="AI20" s="89">
        <f t="shared" si="20"/>
        <v>0.1708859649122807</v>
      </c>
      <c r="AJ20" s="89">
        <f t="shared" si="10"/>
        <v>1.708859649122807</v>
      </c>
      <c r="AK20" s="227">
        <f>EquipmentSpecs!L20</f>
        <v>1.04</v>
      </c>
      <c r="AL20" s="226">
        <f t="shared" si="21"/>
        <v>6.2719298245614036E-2</v>
      </c>
      <c r="AM20" s="230">
        <f t="shared" si="22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0</v>
      </c>
      <c r="T25" s="89">
        <f t="shared" si="14"/>
        <v>0</v>
      </c>
      <c r="U25" s="89">
        <f t="shared" si="6"/>
        <v>42.630206807754014</v>
      </c>
      <c r="V25" s="89">
        <f t="shared" si="15"/>
        <v>0</v>
      </c>
      <c r="W25" s="1144">
        <f t="shared" si="7"/>
        <v>0</v>
      </c>
      <c r="X25" s="1144">
        <f t="shared" si="2"/>
        <v>0</v>
      </c>
      <c r="Y25" s="1144">
        <f t="shared" si="2"/>
        <v>0</v>
      </c>
      <c r="Z25" s="1136">
        <f t="shared" si="8"/>
        <v>0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0</v>
      </c>
      <c r="AD25" s="84">
        <f t="shared" si="17"/>
        <v>3.0000000000000001E-3</v>
      </c>
      <c r="AE25" s="229">
        <v>2</v>
      </c>
      <c r="AF25" s="89">
        <f t="shared" si="9"/>
        <v>0</v>
      </c>
      <c r="AG25" s="229">
        <f t="shared" si="18"/>
        <v>7.6999999999999993</v>
      </c>
      <c r="AH25" s="89">
        <f t="shared" si="19"/>
        <v>0</v>
      </c>
      <c r="AI25" s="89">
        <f t="shared" si="20"/>
        <v>0</v>
      </c>
      <c r="AJ25" s="89">
        <f t="shared" si="10"/>
        <v>0</v>
      </c>
      <c r="AK25" s="227">
        <f>EquipmentSpecs!L25</f>
        <v>1.04</v>
      </c>
      <c r="AL25" s="226">
        <f t="shared" si="21"/>
        <v>0</v>
      </c>
      <c r="AM25" s="230">
        <f t="shared" si="22"/>
        <v>0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1</v>
      </c>
      <c r="T28" s="89">
        <f t="shared" si="14"/>
        <v>1.961071022940255</v>
      </c>
      <c r="U28" s="89">
        <f t="shared" si="6"/>
        <v>64.465190782457285</v>
      </c>
      <c r="V28" s="89">
        <f t="shared" si="15"/>
        <v>2.1282025768518311</v>
      </c>
      <c r="W28" s="1144">
        <f t="shared" si="7"/>
        <v>0.1935326943277311</v>
      </c>
      <c r="X28" s="1144">
        <f t="shared" si="2"/>
        <v>0.1935326943277311</v>
      </c>
      <c r="Y28" s="1144">
        <f t="shared" si="2"/>
        <v>0.17805007878151261</v>
      </c>
      <c r="Z28" s="1136">
        <f t="shared" si="8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16"/>
        <v>0.59622209826917738</v>
      </c>
      <c r="AD28" s="84">
        <f t="shared" si="17"/>
        <v>3.0000000000000001E-3</v>
      </c>
      <c r="AE28" s="229">
        <v>2</v>
      </c>
      <c r="AF28" s="89">
        <f t="shared" si="9"/>
        <v>0.21144297719087632</v>
      </c>
      <c r="AG28" s="229">
        <f t="shared" si="18"/>
        <v>10.119999999999999</v>
      </c>
      <c r="AH28" s="89">
        <f t="shared" si="19"/>
        <v>0.93546218487394939</v>
      </c>
      <c r="AI28" s="89">
        <f t="shared" si="20"/>
        <v>9.3546218487394944E-2</v>
      </c>
      <c r="AJ28" s="89">
        <f t="shared" si="10"/>
        <v>0.93546218487394939</v>
      </c>
      <c r="AK28" s="227">
        <f>EquipmentSpecs!L28</f>
        <v>1.04</v>
      </c>
      <c r="AL28" s="226">
        <f t="shared" si="21"/>
        <v>3.4333733493397356E-2</v>
      </c>
      <c r="AM28" s="230">
        <f t="shared" si="22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0</v>
      </c>
      <c r="T32" s="89">
        <f t="shared" si="14"/>
        <v>0</v>
      </c>
      <c r="U32" s="89">
        <f t="shared" si="6"/>
        <v>53.547698795105653</v>
      </c>
      <c r="V32" s="89">
        <f t="shared" si="15"/>
        <v>0</v>
      </c>
      <c r="W32" s="1144">
        <f t="shared" si="7"/>
        <v>0</v>
      </c>
      <c r="X32" s="1144">
        <f t="shared" si="7"/>
        <v>0</v>
      </c>
      <c r="Y32" s="1144">
        <f t="shared" si="7"/>
        <v>0</v>
      </c>
      <c r="Z32" s="1136">
        <f t="shared" si="8"/>
        <v>0</v>
      </c>
      <c r="AA32" s="227">
        <f>EquipmentSpecs!J32</f>
        <v>0.16</v>
      </c>
      <c r="AB32" s="228">
        <f>EquipmentSpecs!K32</f>
        <v>1.3</v>
      </c>
      <c r="AC32" s="89">
        <f t="shared" si="16"/>
        <v>0</v>
      </c>
      <c r="AD32" s="84">
        <f t="shared" si="17"/>
        <v>3.0000000000000001E-3</v>
      </c>
      <c r="AE32" s="229">
        <v>2</v>
      </c>
      <c r="AF32" s="89">
        <f t="shared" si="9"/>
        <v>0</v>
      </c>
      <c r="AG32" s="229">
        <f t="shared" si="18"/>
        <v>8.58</v>
      </c>
      <c r="AH32" s="89">
        <f t="shared" si="19"/>
        <v>0</v>
      </c>
      <c r="AI32" s="89">
        <f t="shared" si="20"/>
        <v>0</v>
      </c>
      <c r="AJ32" s="89">
        <f t="shared" si="10"/>
        <v>0</v>
      </c>
      <c r="AK32" s="227">
        <f>EquipmentSpecs!L32</f>
        <v>1.04</v>
      </c>
      <c r="AL32" s="226">
        <f t="shared" si="21"/>
        <v>0</v>
      </c>
      <c r="AM32" s="230">
        <f t="shared" si="22"/>
        <v>0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1</v>
      </c>
      <c r="T35" s="89">
        <f t="shared" si="14"/>
        <v>4.3226163766749401</v>
      </c>
      <c r="U35" s="89">
        <f t="shared" si="6"/>
        <v>53.547698795105653</v>
      </c>
      <c r="V35" s="89">
        <f t="shared" si="15"/>
        <v>2.9808941636951527</v>
      </c>
      <c r="W35" s="1144">
        <f t="shared" si="7"/>
        <v>0.36896935096153849</v>
      </c>
      <c r="X35" s="1144">
        <f t="shared" si="7"/>
        <v>0.36896935096153849</v>
      </c>
      <c r="Y35" s="1144">
        <f t="shared" si="7"/>
        <v>0.33945180288461541</v>
      </c>
      <c r="Z35" s="1136">
        <f t="shared" si="8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16"/>
        <v>1.9491835632422709</v>
      </c>
      <c r="AD35" s="84">
        <f t="shared" si="17"/>
        <v>3.0000000000000001E-3</v>
      </c>
      <c r="AE35" s="229">
        <v>2</v>
      </c>
      <c r="AF35" s="89">
        <f t="shared" si="9"/>
        <v>0.29887044534412954</v>
      </c>
      <c r="AG35" s="229">
        <f t="shared" si="18"/>
        <v>8.58</v>
      </c>
      <c r="AH35" s="89">
        <f t="shared" si="19"/>
        <v>1.3373684210526315</v>
      </c>
      <c r="AI35" s="89">
        <f t="shared" si="20"/>
        <v>0.13373684210526315</v>
      </c>
      <c r="AJ35" s="89">
        <f t="shared" si="10"/>
        <v>1.3373684210526315</v>
      </c>
      <c r="AK35" s="227">
        <f>EquipmentSpecs!L35</f>
        <v>1.1599999999999999</v>
      </c>
      <c r="AL35" s="226">
        <f t="shared" si="21"/>
        <v>6.4574898785425092E-2</v>
      </c>
      <c r="AM35" s="230">
        <f t="shared" si="22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0</v>
      </c>
      <c r="T37" s="89">
        <f t="shared" si="14"/>
        <v>0</v>
      </c>
      <c r="U37" s="89">
        <f t="shared" si="6"/>
        <v>64.465190782457285</v>
      </c>
      <c r="V37" s="89">
        <f t="shared" si="15"/>
        <v>0</v>
      </c>
      <c r="W37" s="1144">
        <f t="shared" si="7"/>
        <v>0</v>
      </c>
      <c r="X37" s="1144">
        <f t="shared" si="7"/>
        <v>0</v>
      </c>
      <c r="Y37" s="1144">
        <f t="shared" si="7"/>
        <v>0</v>
      </c>
      <c r="Z37" s="1136">
        <f t="shared" si="8"/>
        <v>0</v>
      </c>
      <c r="AA37" s="227">
        <f>EquipmentSpecs!J37</f>
        <v>0.32</v>
      </c>
      <c r="AB37" s="228">
        <f>EquipmentSpecs!K37</f>
        <v>2.1</v>
      </c>
      <c r="AC37" s="89">
        <f t="shared" si="16"/>
        <v>0</v>
      </c>
      <c r="AD37" s="84">
        <f t="shared" si="17"/>
        <v>3.0000000000000001E-3</v>
      </c>
      <c r="AE37" s="229">
        <v>2</v>
      </c>
      <c r="AF37" s="89">
        <f t="shared" si="9"/>
        <v>0</v>
      </c>
      <c r="AG37" s="229">
        <f t="shared" si="18"/>
        <v>10.119999999999999</v>
      </c>
      <c r="AH37" s="89">
        <f t="shared" si="19"/>
        <v>0</v>
      </c>
      <c r="AI37" s="89">
        <f t="shared" si="20"/>
        <v>0</v>
      </c>
      <c r="AJ37" s="89">
        <f t="shared" si="10"/>
        <v>0</v>
      </c>
      <c r="AK37" s="227">
        <f>EquipmentSpecs!L37</f>
        <v>1.1100000000000001</v>
      </c>
      <c r="AL37" s="226">
        <f t="shared" si="21"/>
        <v>0</v>
      </c>
      <c r="AM37" s="230">
        <f t="shared" si="22"/>
        <v>0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0</v>
      </c>
      <c r="T43" s="89">
        <f t="shared" si="14"/>
        <v>0</v>
      </c>
      <c r="U43" s="89">
        <f t="shared" ref="U43:U51" si="24">(((P43-(AQ43*P43))*AS43)+(AR43*(AQ43*P43)))/AO43</f>
        <v>42.630206807754014</v>
      </c>
      <c r="V43" s="89">
        <f t="shared" si="15"/>
        <v>0</v>
      </c>
      <c r="W43" s="1144">
        <f t="shared" si="7"/>
        <v>0</v>
      </c>
      <c r="X43" s="1144">
        <f t="shared" si="7"/>
        <v>0</v>
      </c>
      <c r="Y43" s="1144">
        <f t="shared" si="7"/>
        <v>0</v>
      </c>
      <c r="Z43" s="1136">
        <f t="shared" si="8"/>
        <v>0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0</v>
      </c>
      <c r="AD43" s="84">
        <f t="shared" si="17"/>
        <v>3.0000000000000001E-3</v>
      </c>
      <c r="AE43" s="229">
        <v>2</v>
      </c>
      <c r="AF43" s="89">
        <f t="shared" si="9"/>
        <v>0</v>
      </c>
      <c r="AG43" s="229">
        <f t="shared" si="18"/>
        <v>7.6999999999999993</v>
      </c>
      <c r="AH43" s="89">
        <f t="shared" si="19"/>
        <v>0</v>
      </c>
      <c r="AI43" s="89">
        <f t="shared" si="20"/>
        <v>0</v>
      </c>
      <c r="AJ43" s="89">
        <f t="shared" si="10"/>
        <v>0</v>
      </c>
      <c r="AK43" s="227">
        <f>EquipmentSpecs!L43</f>
        <v>1.04</v>
      </c>
      <c r="AL43" s="226">
        <f t="shared" si="21"/>
        <v>0</v>
      </c>
      <c r="AM43" s="230">
        <f t="shared" si="22"/>
        <v>0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0</v>
      </c>
      <c r="T46" s="89">
        <f t="shared" si="14"/>
        <v>0</v>
      </c>
      <c r="U46" s="89">
        <f t="shared" si="24"/>
        <v>42.630206807754014</v>
      </c>
      <c r="V46" s="89">
        <f t="shared" si="15"/>
        <v>0</v>
      </c>
      <c r="W46" s="1144">
        <f t="shared" si="7"/>
        <v>0</v>
      </c>
      <c r="X46" s="1144">
        <f t="shared" si="7"/>
        <v>0</v>
      </c>
      <c r="Y46" s="1144">
        <f t="shared" si="7"/>
        <v>0</v>
      </c>
      <c r="Z46" s="1136">
        <f t="shared" si="8"/>
        <v>0</v>
      </c>
      <c r="AA46" s="227">
        <f>EquipmentSpecs!J46</f>
        <v>0.18</v>
      </c>
      <c r="AB46" s="228">
        <f>EquipmentSpecs!K46</f>
        <v>1.7</v>
      </c>
      <c r="AC46" s="89">
        <f t="shared" si="16"/>
        <v>0</v>
      </c>
      <c r="AD46" s="84">
        <f t="shared" si="17"/>
        <v>3.0000000000000001E-3</v>
      </c>
      <c r="AE46" s="229">
        <v>2</v>
      </c>
      <c r="AF46" s="89">
        <f t="shared" si="9"/>
        <v>0</v>
      </c>
      <c r="AG46" s="229">
        <f t="shared" si="18"/>
        <v>7.6999999999999993</v>
      </c>
      <c r="AH46" s="89">
        <f t="shared" si="19"/>
        <v>0</v>
      </c>
      <c r="AI46" s="89">
        <f t="shared" si="20"/>
        <v>0</v>
      </c>
      <c r="AJ46" s="89">
        <f t="shared" si="10"/>
        <v>0</v>
      </c>
      <c r="AK46" s="227">
        <f>EquipmentSpecs!L46</f>
        <v>3.12</v>
      </c>
      <c r="AL46" s="226">
        <f>O46*S46*AK46</f>
        <v>0</v>
      </c>
      <c r="AM46" s="230">
        <f t="shared" si="22"/>
        <v>0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0</v>
      </c>
      <c r="T47" s="89">
        <f t="shared" si="14"/>
        <v>0</v>
      </c>
      <c r="U47" s="89">
        <f t="shared" si="24"/>
        <v>42.630206807754014</v>
      </c>
      <c r="V47" s="89">
        <f t="shared" si="15"/>
        <v>0</v>
      </c>
      <c r="W47" s="1144">
        <f t="shared" si="7"/>
        <v>0</v>
      </c>
      <c r="X47" s="1144">
        <f t="shared" si="7"/>
        <v>0</v>
      </c>
      <c r="Y47" s="1144">
        <f t="shared" si="7"/>
        <v>0</v>
      </c>
      <c r="Z47" s="1136">
        <f t="shared" si="8"/>
        <v>0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0</v>
      </c>
      <c r="AD47" s="84">
        <f t="shared" si="17"/>
        <v>3.0000000000000001E-3</v>
      </c>
      <c r="AE47" s="229">
        <v>2</v>
      </c>
      <c r="AF47" s="89">
        <f t="shared" si="9"/>
        <v>0</v>
      </c>
      <c r="AG47" s="229">
        <f t="shared" si="18"/>
        <v>7.6999999999999993</v>
      </c>
      <c r="AH47" s="89">
        <f t="shared" si="19"/>
        <v>0</v>
      </c>
      <c r="AI47" s="89">
        <f t="shared" si="20"/>
        <v>0</v>
      </c>
      <c r="AJ47" s="89">
        <f t="shared" si="10"/>
        <v>0</v>
      </c>
      <c r="AK47" s="227">
        <f>EquipmentSpecs!L47</f>
        <v>1.04</v>
      </c>
      <c r="AL47" s="226">
        <f t="shared" si="21"/>
        <v>0</v>
      </c>
      <c r="AM47" s="230">
        <f t="shared" si="22"/>
        <v>0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1</v>
      </c>
      <c r="T48" s="89">
        <f>J48*O48*S48</f>
        <v>8.3641967974807638</v>
      </c>
      <c r="U48" s="89">
        <f>(((P48-(AQ48*P48))*AS48)+(AR48*(AQ48*P48)))/AO48</f>
        <v>53.547698795105653</v>
      </c>
      <c r="V48" s="89">
        <f>U48*O48*S48</f>
        <v>11.923576654780611</v>
      </c>
      <c r="W48" s="1144">
        <f t="shared" si="7"/>
        <v>0.96095521255060712</v>
      </c>
      <c r="X48" s="1144">
        <f t="shared" si="7"/>
        <v>0.96095521255060712</v>
      </c>
      <c r="Y48" s="1144">
        <f t="shared" si="7"/>
        <v>0.88407879554655877</v>
      </c>
      <c r="Z48" s="1136">
        <f t="shared" si="8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3.6041866529683451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1.1954817813765182</v>
      </c>
      <c r="AG48" s="229">
        <f>0.044*R48</f>
        <v>8.58</v>
      </c>
      <c r="AH48" s="89">
        <f>AG48*O48*$AI$11*S48</f>
        <v>5.3494736842105262</v>
      </c>
      <c r="AI48" s="89">
        <f>AH48*0.1</f>
        <v>0.53494736842105262</v>
      </c>
      <c r="AJ48" s="89">
        <f>AH48</f>
        <v>5.3494736842105262</v>
      </c>
      <c r="AK48" s="227">
        <f>EquipmentSpecs!L48</f>
        <v>1.04</v>
      </c>
      <c r="AL48" s="226">
        <f>O48*S48*AK48</f>
        <v>0.23157894736842105</v>
      </c>
      <c r="AM48" s="230">
        <f>AL48*$AL$11</f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1</v>
      </c>
      <c r="T49" s="89">
        <f>J49*O49*S49</f>
        <v>3.0558130262194858</v>
      </c>
      <c r="U49" s="89">
        <f>(((P49-(AQ49*P49))*AS49)+(AR49*(AQ49*P49)))/AO49</f>
        <v>53.547698795105653</v>
      </c>
      <c r="V49" s="89">
        <f>U49*O49*S49</f>
        <v>11.923576654780611</v>
      </c>
      <c r="W49" s="1144">
        <f t="shared" si="7"/>
        <v>0.71133982793522255</v>
      </c>
      <c r="X49" s="1144">
        <f t="shared" si="7"/>
        <v>0.71133982793522255</v>
      </c>
      <c r="Y49" s="1144">
        <f t="shared" si="7"/>
        <v>0.65443264170040494</v>
      </c>
      <c r="Z49" s="1136">
        <f t="shared" si="8"/>
        <v>17.056501978570946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1.2697421663641089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1.1954817813765182</v>
      </c>
      <c r="AG49" s="229">
        <f>0.044*R49</f>
        <v>8.58</v>
      </c>
      <c r="AH49" s="89">
        <f>AG49*O49*$AI$11*S49</f>
        <v>5.3494736842105262</v>
      </c>
      <c r="AI49" s="89">
        <f>AH49*0.1</f>
        <v>0.53494736842105262</v>
      </c>
      <c r="AJ49" s="89">
        <f>AH49</f>
        <v>5.3494736842105262</v>
      </c>
      <c r="AK49" s="227">
        <f>EquipmentSpecs!L49</f>
        <v>1.04</v>
      </c>
      <c r="AL49" s="226">
        <f>O49*S49*AK49</f>
        <v>0.23157894736842105</v>
      </c>
      <c r="AM49" s="230">
        <f>AL49*$AL$11</f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26.491994393553327</v>
      </c>
      <c r="U56" s="17"/>
      <c r="V56" s="257">
        <f>SUM(V14:V54)</f>
        <v>42.65593468568872</v>
      </c>
      <c r="W56" s="1147"/>
      <c r="X56" s="1147">
        <f>Z56-(T56+V56)</f>
        <v>9.6367301146006099</v>
      </c>
      <c r="Y56" s="1148">
        <f>(Z56-(T56+V56))/(T56+V56)</f>
        <v>0.13936397290448313</v>
      </c>
      <c r="Z56" s="257">
        <f>SUM(Z14:Z54)</f>
        <v>78.784659193842657</v>
      </c>
      <c r="AA56" s="17"/>
      <c r="AB56" s="17"/>
      <c r="AC56" s="257">
        <f>SUM(AC14:AC54)</f>
        <v>9.6269911955206631</v>
      </c>
      <c r="AD56" s="258"/>
      <c r="AE56" s="17"/>
      <c r="AF56" s="257">
        <f>SUM(AF14:AF54)</f>
        <v>4.2623796065470723</v>
      </c>
      <c r="AG56" s="17"/>
      <c r="AH56" s="257">
        <f>SUM(AH14:AH54)</f>
        <v>18.993543505823382</v>
      </c>
      <c r="AI56" s="257">
        <f>SUM(AI14:AI54)</f>
        <v>1.899354350582338</v>
      </c>
      <c r="AJ56" s="257"/>
      <c r="AK56" s="17"/>
      <c r="AL56" s="259">
        <f>SUM(AL14:AL54)</f>
        <v>0.78307994290833749</v>
      </c>
      <c r="AM56" s="260">
        <f>SUM(AM14:AM54)</f>
        <v>11.378151570458142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1</v>
      </c>
      <c r="L69" s="336">
        <f>Machine!E69</f>
        <v>1</v>
      </c>
      <c r="M69" s="224">
        <f>EquipmentSpecs!C69</f>
        <v>0.7</v>
      </c>
      <c r="N69" s="89">
        <f t="shared" si="31"/>
        <v>8.484848484848484E-2</v>
      </c>
      <c r="O69" s="226">
        <f t="shared" si="32"/>
        <v>11.785714285714286</v>
      </c>
      <c r="P69" s="270"/>
      <c r="Q69" s="20"/>
      <c r="R69" s="339">
        <f>Machine!H69</f>
        <v>325</v>
      </c>
      <c r="S69" s="1197">
        <f>Machine!B69</f>
        <v>0</v>
      </c>
      <c r="T69" s="89">
        <f t="shared" si="33"/>
        <v>0</v>
      </c>
      <c r="U69" s="269"/>
      <c r="V69" s="269"/>
      <c r="W69" s="1144">
        <f t="shared" si="34"/>
        <v>0</v>
      </c>
      <c r="X69" s="1144">
        <f t="shared" si="34"/>
        <v>0</v>
      </c>
      <c r="Y69" s="1144">
        <f t="shared" si="34"/>
        <v>0</v>
      </c>
      <c r="Z69" s="1136">
        <f t="shared" si="35"/>
        <v>0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0</v>
      </c>
      <c r="AD69" s="271"/>
      <c r="AE69" s="272"/>
      <c r="AF69" s="269"/>
      <c r="AG69" s="229">
        <f t="shared" si="36"/>
        <v>14.299999999999999</v>
      </c>
      <c r="AH69" s="89">
        <f t="shared" si="37"/>
        <v>0</v>
      </c>
      <c r="AI69" s="89">
        <f t="shared" si="38"/>
        <v>0</v>
      </c>
      <c r="AJ69" s="89">
        <f t="shared" si="39"/>
        <v>0</v>
      </c>
      <c r="AK69" s="227">
        <f>EquipmentSpecs!L69</f>
        <v>1.1100000000000001</v>
      </c>
      <c r="AL69" s="226">
        <f t="shared" si="40"/>
        <v>0</v>
      </c>
      <c r="AM69" s="230">
        <f t="shared" si="41"/>
        <v>0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1</v>
      </c>
      <c r="L74" s="337">
        <f>Machine!E74</f>
        <v>1</v>
      </c>
      <c r="M74" s="233">
        <f>EquipmentSpecs!C74</f>
        <v>0.7</v>
      </c>
      <c r="N74" s="235">
        <f t="shared" si="31"/>
        <v>8.484848484848484E-2</v>
      </c>
      <c r="O74" s="236">
        <f t="shared" si="32"/>
        <v>11.785714285714286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0</v>
      </c>
      <c r="T74" s="235">
        <f t="shared" si="33"/>
        <v>0</v>
      </c>
      <c r="U74" s="235">
        <f>(((P74-(AQ74*P74))*AS74)+(AR74*(AQ74*P74)))/AO74</f>
        <v>53.547698795105653</v>
      </c>
      <c r="V74" s="235">
        <f>U74*O74*S74</f>
        <v>0</v>
      </c>
      <c r="W74" s="1146">
        <f t="shared" si="34"/>
        <v>0</v>
      </c>
      <c r="X74" s="1146">
        <f t="shared" si="34"/>
        <v>0</v>
      </c>
      <c r="Y74" s="1146">
        <f t="shared" si="34"/>
        <v>0</v>
      </c>
      <c r="Z74" s="1139">
        <f t="shared" si="35"/>
        <v>0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0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</v>
      </c>
      <c r="AG74" s="240">
        <f>0.044*R74</f>
        <v>8.58</v>
      </c>
      <c r="AH74" s="235">
        <f t="shared" ref="AH74:AH81" si="42">AG74*O74*$AJ$11*S74</f>
        <v>0</v>
      </c>
      <c r="AI74" s="235">
        <f>AH74*0.1</f>
        <v>0</v>
      </c>
      <c r="AJ74" s="235">
        <f>AH74</f>
        <v>0</v>
      </c>
      <c r="AK74" s="459">
        <f>EquipmentSpecs!L74</f>
        <v>1.1100000000000001</v>
      </c>
      <c r="AL74" s="236">
        <f t="shared" si="40"/>
        <v>0</v>
      </c>
      <c r="AM74" s="241">
        <f t="shared" si="41"/>
        <v>0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1</v>
      </c>
      <c r="T76" s="89">
        <f t="shared" si="47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4"/>
        <v>2.8435361842105267</v>
      </c>
      <c r="X76" s="1144">
        <f t="shared" si="34"/>
        <v>2.8435361842105267</v>
      </c>
      <c r="Y76" s="1144">
        <f t="shared" si="34"/>
        <v>2.6160532894736845</v>
      </c>
      <c r="Z76" s="1136">
        <f t="shared" si="35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8"/>
        <v>10.119999999999999</v>
      </c>
      <c r="AH76" s="89">
        <f t="shared" si="42"/>
        <v>9.4644534412955466</v>
      </c>
      <c r="AI76" s="89">
        <f t="shared" si="49"/>
        <v>0.94644534412955472</v>
      </c>
      <c r="AJ76" s="89">
        <f t="shared" si="50"/>
        <v>9.4644534412955466</v>
      </c>
      <c r="AK76" s="436">
        <f>EquipmentSpecs!L76</f>
        <v>1.1100000000000001</v>
      </c>
      <c r="AL76" s="226">
        <f t="shared" si="51"/>
        <v>0.37074898785425109</v>
      </c>
      <c r="AM76" s="230">
        <f t="shared" si="52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1</v>
      </c>
      <c r="T77" s="89">
        <f t="shared" si="47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4"/>
        <v>1.5620306174089071</v>
      </c>
      <c r="X77" s="1144">
        <f t="shared" si="34"/>
        <v>1.5620306174089071</v>
      </c>
      <c r="Y77" s="1144">
        <f t="shared" si="34"/>
        <v>1.4370681680161945</v>
      </c>
      <c r="Z77" s="1136">
        <f t="shared" si="35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8"/>
        <v>8.58</v>
      </c>
      <c r="AH77" s="89">
        <f t="shared" si="42"/>
        <v>8.0242105263157892</v>
      </c>
      <c r="AI77" s="89">
        <f t="shared" si="49"/>
        <v>0.80242105263157892</v>
      </c>
      <c r="AJ77" s="89">
        <f t="shared" si="50"/>
        <v>8.0242105263157892</v>
      </c>
      <c r="AK77" s="436">
        <f>EquipmentSpecs!L77</f>
        <v>1.1100000000000001</v>
      </c>
      <c r="AL77" s="226">
        <f t="shared" si="51"/>
        <v>0.37074898785425109</v>
      </c>
      <c r="AM77" s="230">
        <f t="shared" si="52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56.391218436329936</v>
      </c>
      <c r="U83" s="17"/>
      <c r="V83" s="257">
        <f>SUM(V64:V81)</f>
        <v>39.417260688862122</v>
      </c>
      <c r="W83" s="1147"/>
      <c r="X83" s="1147">
        <f>Z83-(T83+V83)</f>
        <v>12.864255060728752</v>
      </c>
      <c r="Y83" s="1148">
        <f>(Z83-(T83+V83))/(T83+V83)</f>
        <v>0.13427052780912166</v>
      </c>
      <c r="Z83" s="257">
        <f>SUM(Z64:Z81)</f>
        <v>108.67273418592082</v>
      </c>
      <c r="AA83" s="17"/>
      <c r="AB83" s="17"/>
      <c r="AC83" s="257">
        <f>SUM(AC64:AC81)</f>
        <v>7.550183399948927</v>
      </c>
      <c r="AD83" s="258"/>
      <c r="AE83" s="17"/>
      <c r="AF83" s="257">
        <f>SUM(AF64:AF81)</f>
        <v>3.9324777327935223</v>
      </c>
      <c r="AG83" s="17"/>
      <c r="AH83" s="257">
        <f>SUM(AH64:AH81)</f>
        <v>17.488663967611338</v>
      </c>
      <c r="AI83" s="257">
        <f>SUM(AI64:AI81)</f>
        <v>1.7488663967611338</v>
      </c>
      <c r="AJ83" s="257"/>
      <c r="AK83" s="17"/>
      <c r="AL83" s="259">
        <f>SUM(AL64:AL81)</f>
        <v>0.74149797570850218</v>
      </c>
      <c r="AM83" s="257">
        <f>SUM(AM64:AM81)</f>
        <v>10.773965587044536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I6" sqref="I6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1215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5</v>
      </c>
      <c r="E10" s="1314">
        <f>IF(OR(A2_Budget_Look_Up!B8=1,A2_Budget_Look_Up!B10=1),G10,F10)</f>
        <v>0.72</v>
      </c>
      <c r="F10" s="1901">
        <f>36/50</f>
        <v>0.72</v>
      </c>
      <c r="G10" s="1901">
        <f>86.3/50</f>
        <v>1.726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1231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2.6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Ton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Ton</v>
      </c>
    </row>
    <row r="4" spans="1:8" ht="13.9" x14ac:dyDescent="0.4">
      <c r="A4" s="91" t="s">
        <v>301</v>
      </c>
      <c r="B4" s="121">
        <f>SummaryReport_Verification!B27</f>
        <v>667.42147231577349</v>
      </c>
      <c r="C4" s="121">
        <f>SummaryReport_Verification!B32</f>
        <v>256.70056627529749</v>
      </c>
      <c r="D4" s="121">
        <f>SummaryReport_Verification!B28</f>
        <v>632.57852768422651</v>
      </c>
      <c r="E4" s="121">
        <f>SummaryReport_Verification!B29</f>
        <v>302.34801798854039</v>
      </c>
      <c r="F4" s="121">
        <f>SummaryReport_Verification!B30</f>
        <v>969.76949030431388</v>
      </c>
      <c r="G4" s="121">
        <f>SummaryReport_Verification!B31</f>
        <v>330.23050969568612</v>
      </c>
      <c r="H4" s="121">
        <f>SummaryReport_Verification!B33</f>
        <v>372.98826550165916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667.42147231577349</v>
      </c>
      <c r="C9" s="122">
        <f t="shared" si="0"/>
        <v>256.70056627529749</v>
      </c>
      <c r="D9" s="122">
        <f t="shared" si="0"/>
        <v>632.57852768422651</v>
      </c>
      <c r="E9" s="122">
        <f t="shared" si="0"/>
        <v>302.34801798854039</v>
      </c>
      <c r="F9" s="122">
        <f t="shared" si="0"/>
        <v>969.76949030431388</v>
      </c>
      <c r="G9" s="122">
        <f t="shared" si="0"/>
        <v>330.23050969568612</v>
      </c>
      <c r="H9" s="122">
        <f t="shared" si="0"/>
        <v>372.98826550165916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(ton)</v>
      </c>
      <c r="B4" s="163">
        <f>Budget!D3</f>
        <v>2.6</v>
      </c>
      <c r="C4" s="113"/>
      <c r="D4" s="113"/>
      <c r="E4" s="113"/>
      <c r="F4" s="113"/>
      <c r="G4" s="163">
        <f>AVERAGE(B4:F4)</f>
        <v>2.6</v>
      </c>
    </row>
    <row r="5" spans="1:8" ht="13.9" x14ac:dyDescent="0.4">
      <c r="A5" s="96" t="str">
        <f>IF(A2_Budget_Look_Up!B7=1,"Price ($/lb.)",'C1_Messages_Indicators'!E26)</f>
        <v>Price ($/ton)</v>
      </c>
      <c r="B5" s="96">
        <f>Budget!E3</f>
        <v>500</v>
      </c>
      <c r="C5" s="96"/>
      <c r="D5" s="96"/>
      <c r="E5" s="96"/>
      <c r="F5" s="96"/>
      <c r="G5" s="96">
        <f>AVERAGE(B5:F5)</f>
        <v>500</v>
      </c>
    </row>
    <row r="6" spans="1:8" ht="13.5" x14ac:dyDescent="0.35">
      <c r="A6" s="107" t="s">
        <v>231</v>
      </c>
      <c r="B6" s="114">
        <f>Budget!F3</f>
        <v>1300</v>
      </c>
      <c r="C6" s="114"/>
      <c r="D6" s="114"/>
      <c r="E6" s="114"/>
      <c r="F6" s="114"/>
      <c r="G6" s="114">
        <f>AVERAGE(B6:F6)</f>
        <v>1300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100.05</v>
      </c>
      <c r="C9" s="96"/>
      <c r="D9" s="96"/>
      <c r="E9" s="96"/>
      <c r="F9" s="96"/>
      <c r="G9" s="96">
        <f t="shared" ref="G9:G28" si="0">AVERAGE(B9:F9)</f>
        <v>100.05</v>
      </c>
      <c r="H9" s="1899">
        <f>G9/G$23</f>
        <v>0.18224473440046524</v>
      </c>
    </row>
    <row r="10" spans="1:8" ht="13.9" x14ac:dyDescent="0.4">
      <c r="A10" s="91" t="s">
        <v>224</v>
      </c>
      <c r="B10" s="96">
        <f>SUM(Budget!F7:F13)</f>
        <v>43.674999999999997</v>
      </c>
      <c r="C10" s="96"/>
      <c r="D10" s="96"/>
      <c r="E10" s="96"/>
      <c r="F10" s="96"/>
      <c r="G10" s="96">
        <f t="shared" si="0"/>
        <v>43.674999999999997</v>
      </c>
      <c r="H10" s="1899">
        <f>G10/G$23</f>
        <v>7.9555609944430977E-2</v>
      </c>
    </row>
    <row r="11" spans="1:8" ht="13.9" x14ac:dyDescent="0.4">
      <c r="A11" s="91" t="str">
        <f>Budget!A14</f>
        <v>Herbicide</v>
      </c>
      <c r="B11" s="96">
        <f>Budget!F14</f>
        <v>80.849609375</v>
      </c>
      <c r="C11" s="96"/>
      <c r="D11" s="96"/>
      <c r="E11" s="96"/>
      <c r="F11" s="96"/>
      <c r="G11" s="96">
        <f t="shared" si="0"/>
        <v>80.849609375</v>
      </c>
      <c r="H11" s="1899">
        <f>SUM(G11:G14)/$G$23</f>
        <v>0.28711899120963474</v>
      </c>
    </row>
    <row r="12" spans="1:8" ht="15" customHeight="1" x14ac:dyDescent="0.4">
      <c r="A12" s="91" t="str">
        <f>Budget!A15</f>
        <v>Insecticide</v>
      </c>
      <c r="B12" s="96">
        <f>Budget!F15</f>
        <v>23.04</v>
      </c>
      <c r="C12" s="96"/>
      <c r="D12" s="96"/>
      <c r="E12" s="96"/>
      <c r="F12" s="96"/>
      <c r="G12" s="96">
        <f t="shared" si="0"/>
        <v>23.04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52.534999999999997</v>
      </c>
      <c r="C13" s="96"/>
      <c r="D13" s="96"/>
      <c r="E13" s="96"/>
      <c r="F13" s="96"/>
      <c r="G13" s="96">
        <f t="shared" si="0"/>
        <v>52.534999999999997</v>
      </c>
    </row>
    <row r="14" spans="1:8" ht="13.9" x14ac:dyDescent="0.4">
      <c r="A14" s="91" t="s">
        <v>91</v>
      </c>
      <c r="B14" s="96">
        <f>IF(A2_Budget_Look_Up!B13&gt;0,Budget!F16+Budget!F18,Budget!F17+Budget!F18)</f>
        <v>1.2</v>
      </c>
      <c r="C14" s="96"/>
      <c r="D14" s="96"/>
      <c r="E14" s="96"/>
      <c r="F14" s="96"/>
      <c r="G14" s="96">
        <f t="shared" si="0"/>
        <v>1.2</v>
      </c>
    </row>
    <row r="15" spans="1:8" ht="13.9" x14ac:dyDescent="0.4">
      <c r="A15" s="91" t="s">
        <v>225</v>
      </c>
      <c r="B15" s="96">
        <f>SUM(Budget!F20:F23)</f>
        <v>59.5</v>
      </c>
      <c r="C15" s="96"/>
      <c r="D15" s="96"/>
      <c r="E15" s="96"/>
      <c r="F15" s="96"/>
      <c r="G15" s="96">
        <f t="shared" si="0"/>
        <v>59.5</v>
      </c>
    </row>
    <row r="16" spans="1:8" ht="13.9" x14ac:dyDescent="0.4">
      <c r="A16" s="91" t="s">
        <v>422</v>
      </c>
      <c r="B16" s="96">
        <f>Budget!F31+Budget!F32</f>
        <v>0</v>
      </c>
      <c r="C16" s="96"/>
      <c r="D16" s="96"/>
      <c r="E16" s="96"/>
      <c r="F16" s="96"/>
      <c r="G16" s="96">
        <f>AVERAGE(B16:F16)</f>
        <v>0</v>
      </c>
    </row>
    <row r="17" spans="1:7" ht="13.9" x14ac:dyDescent="0.4">
      <c r="A17" s="91" t="s">
        <v>463</v>
      </c>
      <c r="B17" s="96">
        <f>Budget!F25+Budget!F27</f>
        <v>36.48220747343472</v>
      </c>
      <c r="C17" s="96"/>
      <c r="D17" s="96"/>
      <c r="E17" s="96"/>
      <c r="F17" s="96"/>
      <c r="G17" s="96">
        <f t="shared" si="0"/>
        <v>36.48220747343472</v>
      </c>
    </row>
    <row r="18" spans="1:7" ht="13.9" x14ac:dyDescent="0.4">
      <c r="A18" s="91" t="s">
        <v>227</v>
      </c>
      <c r="B18" s="96">
        <f>Budget!F29</f>
        <v>60.283747368421054</v>
      </c>
      <c r="C18" s="96"/>
      <c r="D18" s="96"/>
      <c r="E18" s="96"/>
      <c r="F18" s="96"/>
      <c r="G18" s="96">
        <f>AVERAGE(B18:F18)</f>
        <v>60.283747368421054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457.61556421685572</v>
      </c>
      <c r="C19" s="108"/>
      <c r="D19" s="108"/>
      <c r="E19" s="108"/>
      <c r="F19" s="108"/>
      <c r="G19" s="108">
        <f>AVERAGE(B19:F19)</f>
        <v>457.61556421685572</v>
      </c>
    </row>
    <row r="20" spans="1:7" ht="13.9" x14ac:dyDescent="0.4">
      <c r="A20" s="91" t="s">
        <v>780</v>
      </c>
      <c r="B20" s="96">
        <f>SUM(Budget!F34:F36)</f>
        <v>32</v>
      </c>
      <c r="C20" s="108"/>
      <c r="D20" s="108"/>
      <c r="E20" s="108"/>
      <c r="F20" s="108"/>
      <c r="G20" s="96">
        <f t="shared" si="0"/>
        <v>32</v>
      </c>
    </row>
    <row r="21" spans="1:7" ht="15.4" x14ac:dyDescent="0.4">
      <c r="A21" s="91" t="s">
        <v>756</v>
      </c>
      <c r="B21" s="96">
        <f>Budget!F26+Budget!F28+Budget!F30</f>
        <v>35.824493473271723</v>
      </c>
      <c r="C21" s="96"/>
      <c r="D21" s="96"/>
      <c r="E21" s="96"/>
      <c r="F21" s="96"/>
      <c r="G21" s="96">
        <f t="shared" si="0"/>
        <v>35.824493473271723</v>
      </c>
    </row>
    <row r="22" spans="1:7" ht="13.9" x14ac:dyDescent="0.4">
      <c r="A22" s="91" t="s">
        <v>214</v>
      </c>
      <c r="B22" s="96">
        <f>Budget!F33</f>
        <v>23.54699715750268</v>
      </c>
      <c r="C22" s="96"/>
      <c r="D22" s="96"/>
      <c r="E22" s="96"/>
      <c r="F22" s="96"/>
      <c r="G22" s="96">
        <f t="shared" si="0"/>
        <v>23.54699715750268</v>
      </c>
    </row>
    <row r="23" spans="1:7" ht="13.9" x14ac:dyDescent="0.4">
      <c r="A23" s="107" t="s">
        <v>641</v>
      </c>
      <c r="B23" s="108">
        <f>SUM(Budget!F6:F18)+SUM(Budget!F20:F23)+SUM(Budget!F25:F36)</f>
        <v>548.98705484763013</v>
      </c>
      <c r="C23" s="96"/>
      <c r="D23" s="96"/>
      <c r="E23" s="96"/>
      <c r="F23" s="96"/>
      <c r="G23" s="108">
        <f t="shared" si="0"/>
        <v>548.98705484763013</v>
      </c>
    </row>
    <row r="24" spans="1:7" ht="13.9" x14ac:dyDescent="0.4">
      <c r="A24" s="91" t="s">
        <v>28</v>
      </c>
      <c r="B24" s="96">
        <f>Budget!F37</f>
        <v>24.704417468143355</v>
      </c>
      <c r="C24" s="96"/>
      <c r="D24" s="96"/>
      <c r="E24" s="96"/>
      <c r="F24" s="96"/>
      <c r="G24" s="96">
        <f t="shared" si="0"/>
        <v>24.704417468143355</v>
      </c>
    </row>
    <row r="25" spans="1:7" ht="15" customHeight="1" x14ac:dyDescent="0.4">
      <c r="A25" s="91" t="s">
        <v>228</v>
      </c>
      <c r="B25" s="96">
        <f>SUM(Budget!F39:F43)</f>
        <v>93.73</v>
      </c>
      <c r="C25" s="96"/>
      <c r="D25" s="96"/>
      <c r="E25" s="96"/>
      <c r="F25" s="96"/>
      <c r="G25" s="96">
        <f t="shared" si="0"/>
        <v>93.73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667.42147231577349</v>
      </c>
      <c r="C27" s="108"/>
      <c r="D27" s="108"/>
      <c r="E27" s="108"/>
      <c r="F27" s="108"/>
      <c r="G27" s="108">
        <f t="shared" si="0"/>
        <v>667.42147231577349</v>
      </c>
    </row>
    <row r="28" spans="1:7" ht="13.5" x14ac:dyDescent="0.35">
      <c r="A28" s="107" t="s">
        <v>233</v>
      </c>
      <c r="B28" s="114">
        <f>B6-B27</f>
        <v>632.57852768422651</v>
      </c>
      <c r="C28" s="114"/>
      <c r="D28" s="114"/>
      <c r="E28" s="114"/>
      <c r="F28" s="114"/>
      <c r="G28" s="114">
        <f t="shared" si="0"/>
        <v>632.57852768422651</v>
      </c>
    </row>
    <row r="29" spans="1:7" ht="13.9" x14ac:dyDescent="0.4">
      <c r="A29" s="91" t="s">
        <v>230</v>
      </c>
      <c r="B29" s="96">
        <f>Budget!F51</f>
        <v>302.34801798854039</v>
      </c>
      <c r="C29" s="96"/>
      <c r="D29" s="96"/>
      <c r="E29" s="96"/>
      <c r="F29" s="96"/>
      <c r="G29" s="96">
        <f>AVERAGE(B29:F29)</f>
        <v>302.34801798854039</v>
      </c>
    </row>
    <row r="30" spans="1:7" ht="15.4" x14ac:dyDescent="0.35">
      <c r="A30" s="107" t="s">
        <v>755</v>
      </c>
      <c r="B30" s="108">
        <f>B27+B29</f>
        <v>969.76949030431388</v>
      </c>
      <c r="C30" s="108"/>
      <c r="D30" s="108"/>
      <c r="E30" s="108"/>
      <c r="F30" s="108"/>
      <c r="G30" s="108">
        <f>AVERAGE(B30:F30)</f>
        <v>969.76949030431388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330.23050969568612</v>
      </c>
      <c r="C31" s="114"/>
      <c r="D31" s="114"/>
      <c r="E31" s="114"/>
      <c r="F31" s="114"/>
      <c r="G31" s="114">
        <f>AVERAGE(B31:F31)</f>
        <v>330.23050969568612</v>
      </c>
    </row>
    <row r="32" spans="1:7" ht="13.9" x14ac:dyDescent="0.4">
      <c r="A32" s="96" t="str">
        <f>IF(A2_Budget_Look_Up!B7=1,"Operating Expenses/lb.",'C1_Messages_Indicators'!F26)</f>
        <v>Operating Expenses/ton</v>
      </c>
      <c r="B32" s="96">
        <f>B27/B4</f>
        <v>256.70056627529749</v>
      </c>
      <c r="C32" s="96"/>
      <c r="D32" s="96"/>
      <c r="E32" s="96"/>
      <c r="F32" s="96"/>
      <c r="G32" s="96">
        <f>AVERAGE(B32:F32)</f>
        <v>256.70056627529749</v>
      </c>
    </row>
    <row r="33" spans="1:7" ht="13.9" x14ac:dyDescent="0.4">
      <c r="A33" s="92" t="str">
        <f>IF(A2_Budget_Look_Up!B7=1,"Total Expenses/lb.",'C1_Messages_Indicators'!H26)</f>
        <v>Total Specified Expenses/ton</v>
      </c>
      <c r="B33" s="98">
        <f>B30/B4</f>
        <v>372.98826550165916</v>
      </c>
      <c r="C33" s="98"/>
      <c r="D33" s="98"/>
      <c r="E33" s="98"/>
      <c r="F33" s="98"/>
      <c r="G33" s="98">
        <f>AVERAGE(B33:F33)</f>
        <v>372.98826550165916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28. 2025 Peanut Enterprise Budget, Center Pivot Irrigation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Tons</v>
      </c>
      <c r="D3" s="307">
        <f>Budget!D3</f>
        <v>2.6</v>
      </c>
      <c r="E3" s="307">
        <f>Budget!E3</f>
        <v>500</v>
      </c>
      <c r="F3" s="307">
        <f>Budget!F3</f>
        <v>1300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Lbs</v>
      </c>
      <c r="D6" s="406">
        <f>Budget!D6</f>
        <v>115</v>
      </c>
      <c r="E6" s="307">
        <f>Budget!E6</f>
        <v>0.87</v>
      </c>
      <c r="F6" s="307">
        <f>Budget!F6</f>
        <v>100.05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0</v>
      </c>
      <c r="E7" s="307">
        <f>Budget!E7</f>
        <v>0.25750000000000001</v>
      </c>
      <c r="F7" s="307">
        <f>Budget!F7</f>
        <v>0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65</v>
      </c>
      <c r="E8" s="307">
        <f>Budget!E8</f>
        <v>0.34499999999999997</v>
      </c>
      <c r="F8" s="307">
        <f>Budget!F8</f>
        <v>22.424999999999997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85</v>
      </c>
      <c r="E9" s="307">
        <f>Budget!E9</f>
        <v>0.25</v>
      </c>
      <c r="F9" s="307">
        <f>Budget!F9</f>
        <v>21.25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Lbs</v>
      </c>
      <c r="D11" s="307">
        <f>Budget!D11</f>
        <v>0</v>
      </c>
      <c r="E11" s="307">
        <f>Budget!E11</f>
        <v>0.72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80.849609375</v>
      </c>
      <c r="F13" s="307">
        <f>Budget!F14</f>
        <v>80.849609375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23.04</v>
      </c>
      <c r="F14" s="307">
        <f>Budget!F15</f>
        <v>23.04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Nematicide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0</v>
      </c>
      <c r="F15" s="307">
        <f>Budget!F16</f>
        <v>0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Fungicide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52.534999999999997</v>
      </c>
      <c r="F16" s="307">
        <f>Budget!F17</f>
        <v>52.534999999999997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1.2</v>
      </c>
      <c r="F17" s="307">
        <f>Budget!F18</f>
        <v>1.2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7</v>
      </c>
      <c r="E19" s="307">
        <f>Budget!E20</f>
        <v>8.5</v>
      </c>
      <c r="F19" s="307">
        <f>Budget!F20</f>
        <v>59.5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0</v>
      </c>
      <c r="E20" s="307">
        <f>Budget!E21</f>
        <v>10</v>
      </c>
      <c r="F20" s="307">
        <f>Budget!F21</f>
        <v>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0</v>
      </c>
      <c r="E21" s="407">
        <f>Budget!E22</f>
        <v>0.1</v>
      </c>
      <c r="F21" s="307">
        <f>Budget!F22</f>
        <v>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6.7834083949369228</v>
      </c>
      <c r="E24" s="307">
        <f>Budget!E25</f>
        <v>2.8</v>
      </c>
      <c r="F24" s="307">
        <f>Budget!F25</f>
        <v>18.993543505823382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13.889370802067734</v>
      </c>
      <c r="F25" s="307">
        <f>Budget!F26</f>
        <v>13.889370802067734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6.2459514170040498</v>
      </c>
      <c r="E26" s="307">
        <f>Budget!E27</f>
        <v>2.8</v>
      </c>
      <c r="F26" s="307">
        <f>Budget!F27</f>
        <v>17.488663967611338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11.48266113274245</v>
      </c>
      <c r="F27" s="307">
        <f>Budget!F28</f>
        <v>11.48266113274245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12</v>
      </c>
      <c r="E28" s="307">
        <f>Budget!E29</f>
        <v>5.0236456140350878</v>
      </c>
      <c r="F28" s="307">
        <f>Budget!F29</f>
        <v>60.283747368421054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12</v>
      </c>
      <c r="E29" s="307">
        <f>Budget!E30</f>
        <v>0.87103846153846165</v>
      </c>
      <c r="F29" s="307">
        <f>Budget!F30</f>
        <v>10.45246153846154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Other Inputs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</v>
      </c>
      <c r="F31" s="307">
        <f>Budget!F32</f>
        <v>0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1.6205779186168399</v>
      </c>
      <c r="E32" s="307">
        <f>Budget!E33</f>
        <v>14.53</v>
      </c>
      <c r="F32" s="307">
        <f>Budget!F33</f>
        <v>23.54699715750268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10</v>
      </c>
      <c r="F33" s="307">
        <f>Budget!F34</f>
        <v>10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0</v>
      </c>
      <c r="F34" s="307">
        <f>Budget!F35</f>
        <v>0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22</v>
      </c>
      <c r="F35" s="307">
        <f>Budget!F36</f>
        <v>22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548.98705484763013</v>
      </c>
      <c r="F36" s="307">
        <f>Budget!F37</f>
        <v>24.704417468143355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 xml:space="preserve">   Hauling</v>
      </c>
      <c r="B38" s="403">
        <f>Budget!B39</f>
        <v>1</v>
      </c>
      <c r="C38" s="307" t="str">
        <f>Budget!C39</f>
        <v>Tons</v>
      </c>
      <c r="D38" s="307">
        <f>Budget!D39</f>
        <v>2.6</v>
      </c>
      <c r="E38" s="307">
        <f>IF(A2_Budget_Look_Up!B13&gt;0,Budget!E39," ")</f>
        <v>0</v>
      </c>
      <c r="F38" s="307">
        <f>Budget!F39</f>
        <v>0</v>
      </c>
    </row>
    <row r="39" spans="1:6" ht="14.1" customHeight="1" x14ac:dyDescent="0.4">
      <c r="A39" s="4" t="str">
        <f>Budget!A40</f>
        <v xml:space="preserve">   Cleaning - Applied to Percent Cleaned</v>
      </c>
      <c r="B39" s="403">
        <f>Budget!B40</f>
        <v>1</v>
      </c>
      <c r="C39" s="307" t="str">
        <f>Budget!C40</f>
        <v>Tons</v>
      </c>
      <c r="D39" s="307">
        <f>Budget!D40</f>
        <v>2.6</v>
      </c>
      <c r="E39" s="307">
        <f>Budget!E40</f>
        <v>10</v>
      </c>
      <c r="F39" s="307">
        <f>Budget!F40</f>
        <v>26</v>
      </c>
    </row>
    <row r="40" spans="1:6" ht="14.1" customHeight="1" x14ac:dyDescent="0.4">
      <c r="A40" s="4" t="str">
        <f>Budget!A41</f>
        <v xml:space="preserve">   Drying - Applied to Percent Dried</v>
      </c>
      <c r="B40" s="403">
        <f>Budget!B41</f>
        <v>1</v>
      </c>
      <c r="C40" s="307" t="str">
        <f>Budget!C41</f>
        <v>Tons</v>
      </c>
      <c r="D40" s="307">
        <f>Budget!D41</f>
        <v>2.6</v>
      </c>
      <c r="E40" s="307">
        <f>Budget!E41</f>
        <v>20</v>
      </c>
      <c r="F40" s="307">
        <f>Budget!F41</f>
        <v>52</v>
      </c>
    </row>
    <row r="41" spans="1:6" ht="14.1" customHeight="1" x14ac:dyDescent="0.4">
      <c r="A41" s="4" t="str">
        <f>Budget!A42</f>
        <v xml:space="preserve">   Check Off, Boards - State</v>
      </c>
      <c r="B41" s="403">
        <f>Budget!B42</f>
        <v>1</v>
      </c>
      <c r="C41" s="307" t="str">
        <f>Budget!C42</f>
        <v>Tons</v>
      </c>
      <c r="D41" s="307">
        <f>Budget!D42</f>
        <v>2.6</v>
      </c>
      <c r="E41" s="307">
        <f>Budget!E42</f>
        <v>2.5</v>
      </c>
      <c r="F41" s="307">
        <f>Budget!F42</f>
        <v>6.5</v>
      </c>
    </row>
    <row r="42" spans="1:6" ht="14.1" customHeight="1" x14ac:dyDescent="0.4">
      <c r="A42" s="4" t="str">
        <f>Budget!A43</f>
        <v xml:space="preserve">   NPB Check Off</v>
      </c>
      <c r="B42" s="403">
        <f>Budget!B43</f>
        <v>1</v>
      </c>
      <c r="C42" s="307" t="str">
        <f>Budget!C43</f>
        <v>Dollars</v>
      </c>
      <c r="D42" s="307">
        <f>Budget!D43</f>
        <v>923</v>
      </c>
      <c r="E42" s="307">
        <f>Budget!E43</f>
        <v>0.01</v>
      </c>
      <c r="F42" s="307">
        <f>Budget!F43</f>
        <v>9.23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667.42147231577349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632.57852768422651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187.45739337976346</v>
      </c>
      <c r="F47" s="311">
        <f>Budget!F48</f>
        <v>187.45739337976346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105.51775493978874</v>
      </c>
      <c r="F48" s="311">
        <f>Budget!F49</f>
        <v>105.51775493978874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9.372869668988173</v>
      </c>
      <c r="F49" s="311">
        <f>Budget!F50</f>
        <v>9.372869668988173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302.34801798854039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969.76949030431388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330.23050969568612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Peanuts, Pivot</v>
      </c>
      <c r="H1" s="1246"/>
      <c r="I1" s="1442"/>
    </row>
    <row r="2" spans="1:9" ht="15" customHeight="1" x14ac:dyDescent="0.4">
      <c r="A2" s="1807" t="str">
        <f>Print_Summary!G1</f>
        <v>Peanuts, Pivot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300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164696.11645428903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300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(ton)</v>
      </c>
      <c r="B6" s="1821">
        <f>Budget!D3</f>
        <v>2.6</v>
      </c>
      <c r="C6" s="1821"/>
      <c r="D6" s="1822">
        <f>B6*Print_Summary!$I$2</f>
        <v>780</v>
      </c>
      <c r="E6" s="1097" t="s">
        <v>799</v>
      </c>
      <c r="F6" s="1541">
        <f>B6*0.9</f>
        <v>2.3400000000000003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($/ton)</v>
      </c>
      <c r="B7" s="1097">
        <f>Budget!E3</f>
        <v>500</v>
      </c>
      <c r="C7" s="1097"/>
      <c r="D7" s="1824">
        <f>B7</f>
        <v>500</v>
      </c>
      <c r="E7" s="1097" t="s">
        <v>793</v>
      </c>
      <c r="F7" s="1542">
        <f>B7</f>
        <v>500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1300</v>
      </c>
      <c r="C9" s="1827"/>
      <c r="D9" s="1828">
        <f>B9*Print_Summary!$I$2</f>
        <v>390000</v>
      </c>
      <c r="E9" s="667" t="s">
        <v>13</v>
      </c>
      <c r="F9" s="1829">
        <f>F6*F7</f>
        <v>1170.0000000000002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$/ton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100.05</v>
      </c>
      <c r="C13" s="1836">
        <f>B13/$B$6</f>
        <v>38.480769230769226</v>
      </c>
      <c r="D13" s="1822">
        <f>B13*Print_Summary!$I$2</f>
        <v>30015</v>
      </c>
      <c r="E13" s="4"/>
      <c r="F13" s="1825">
        <f>B13/$F$9</f>
        <v>8.5512820512820498E-2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43.674999999999997</v>
      </c>
      <c r="C14" s="1836">
        <f t="shared" ref="C14:C34" si="0">B14/$B$6</f>
        <v>16.79807692307692</v>
      </c>
      <c r="D14" s="1822">
        <f>B14*Print_Summary!$I$2</f>
        <v>13102.5</v>
      </c>
      <c r="E14" s="4"/>
      <c r="F14" s="1825">
        <f t="shared" ref="F14:F19" si="1">B14/$F$9</f>
        <v>3.7329059829059819E-2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157.62460937499998</v>
      </c>
      <c r="C15" s="1836">
        <f t="shared" si="0"/>
        <v>60.624849759615373</v>
      </c>
      <c r="D15" s="1822">
        <f>B15*Print_Summary!$I$2</f>
        <v>47287.382812499993</v>
      </c>
      <c r="E15" s="4"/>
      <c r="F15" s="1825">
        <f t="shared" si="1"/>
        <v>0.13472188835470081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59.5</v>
      </c>
      <c r="C16" s="1836">
        <f t="shared" si="0"/>
        <v>22.884615384615383</v>
      </c>
      <c r="D16" s="1822">
        <f>B16*Print_Summary!$I$2</f>
        <v>17850</v>
      </c>
      <c r="E16" s="4"/>
      <c r="F16" s="1825">
        <f t="shared" si="1"/>
        <v>5.0854700854700848E-2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36.48220747343472</v>
      </c>
      <c r="C17" s="1836">
        <f t="shared" si="0"/>
        <v>14.031618259013353</v>
      </c>
      <c r="D17" s="1822">
        <f>B17*Print_Summary!$I$2</f>
        <v>10944.662242030416</v>
      </c>
      <c r="E17" s="4"/>
      <c r="F17" s="1825">
        <f t="shared" si="1"/>
        <v>3.1181373908918557E-2</v>
      </c>
    </row>
    <row r="18" spans="1:6" ht="13.9" x14ac:dyDescent="0.4">
      <c r="A18" s="1835" t="s">
        <v>227</v>
      </c>
      <c r="B18" s="1836">
        <f>Budget!F29</f>
        <v>60.283747368421054</v>
      </c>
      <c r="C18" s="1836">
        <f t="shared" si="0"/>
        <v>23.186056680161943</v>
      </c>
      <c r="D18" s="1822">
        <f>B18*Print_Summary!$I$2</f>
        <v>18085.124210526315</v>
      </c>
      <c r="E18" s="4"/>
      <c r="F18" s="1825">
        <f t="shared" si="1"/>
        <v>5.1524570400359862E-2</v>
      </c>
    </row>
    <row r="19" spans="1:6" ht="13.9" x14ac:dyDescent="0.4">
      <c r="A19" s="1835" t="s">
        <v>422</v>
      </c>
      <c r="B19" s="1836">
        <f>Budget!F31+Budget!F32</f>
        <v>0</v>
      </c>
      <c r="C19" s="1836">
        <f t="shared" si="0"/>
        <v>0</v>
      </c>
      <c r="D19" s="1822">
        <f>B19*Print_Summary!$I$2</f>
        <v>0</v>
      </c>
      <c r="E19" s="4"/>
      <c r="F19" s="1825">
        <f t="shared" si="1"/>
        <v>0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457.61556421685572</v>
      </c>
      <c r="C20" s="1837">
        <f t="shared" si="0"/>
        <v>176.00598623725219</v>
      </c>
      <c r="D20" s="1828">
        <f>B20*Print_Summary!$I$2</f>
        <v>137284.66926505673</v>
      </c>
      <c r="E20" s="308"/>
      <c r="F20" s="1838">
        <f t="shared" ref="F20:F28" si="2">B20/$F$9</f>
        <v>0.39112441386056035</v>
      </c>
    </row>
    <row r="21" spans="1:6" ht="13.9" x14ac:dyDescent="0.4">
      <c r="A21" s="1835" t="s">
        <v>780</v>
      </c>
      <c r="B21" s="1836">
        <f>Budget!F34+Budget!F35</f>
        <v>10</v>
      </c>
      <c r="C21" s="1836">
        <f t="shared" si="0"/>
        <v>3.8461538461538458</v>
      </c>
      <c r="D21" s="1822">
        <f>B21*Print_Summary!$I$2</f>
        <v>3000</v>
      </c>
      <c r="E21" s="4"/>
      <c r="F21" s="1825">
        <f t="shared" si="2"/>
        <v>8.5470085470085461E-3</v>
      </c>
    </row>
    <row r="22" spans="1:6" ht="13.9" x14ac:dyDescent="0.4">
      <c r="A22" s="1835" t="s">
        <v>1</v>
      </c>
      <c r="B22" s="1836">
        <f>Budget!F36</f>
        <v>22</v>
      </c>
      <c r="C22" s="1836">
        <f t="shared" si="0"/>
        <v>8.4615384615384617</v>
      </c>
      <c r="D22" s="1822">
        <f>B22*Print_Summary!$I$2</f>
        <v>6600</v>
      </c>
      <c r="E22" s="4"/>
      <c r="F22" s="1825">
        <f t="shared" si="2"/>
        <v>1.8803418803418799E-2</v>
      </c>
    </row>
    <row r="23" spans="1:6" ht="13.9" x14ac:dyDescent="0.4">
      <c r="A23" s="1835" t="s">
        <v>751</v>
      </c>
      <c r="B23" s="1836">
        <f>Budget!F26+Budget!F28+Budget!F30</f>
        <v>35.824493473271723</v>
      </c>
      <c r="C23" s="1836">
        <f t="shared" si="0"/>
        <v>13.778651335873739</v>
      </c>
      <c r="D23" s="1822">
        <f>B23*Print_Summary!$I$2</f>
        <v>10747.348041981517</v>
      </c>
      <c r="E23" s="4"/>
      <c r="F23" s="1825">
        <f t="shared" si="2"/>
        <v>3.0619225190830525E-2</v>
      </c>
    </row>
    <row r="24" spans="1:6" ht="13.9" x14ac:dyDescent="0.4">
      <c r="A24" s="1835" t="s">
        <v>214</v>
      </c>
      <c r="B24" s="1836">
        <f>Budget!F33</f>
        <v>23.54699715750268</v>
      </c>
      <c r="C24" s="1836">
        <f t="shared" si="0"/>
        <v>9.056537368270261</v>
      </c>
      <c r="D24" s="1822">
        <f>B24*Print_Summary!$I$2</f>
        <v>7064.099147250804</v>
      </c>
      <c r="E24" s="4"/>
      <c r="F24" s="1825">
        <f t="shared" si="2"/>
        <v>2.0125638596156133E-2</v>
      </c>
    </row>
    <row r="25" spans="1:6" ht="13.5" x14ac:dyDescent="0.35">
      <c r="A25" s="1826" t="s">
        <v>641</v>
      </c>
      <c r="B25" s="1837">
        <f>SUM(Budget!F6:F18)+SUM(Budget!F20:F23)+SUM(Budget!F25:F36)</f>
        <v>548.98705484763013</v>
      </c>
      <c r="C25" s="1837">
        <f t="shared" si="0"/>
        <v>211.14886724908851</v>
      </c>
      <c r="D25" s="1828">
        <f>B25*Print_Summary!$I$2</f>
        <v>164696.11645428903</v>
      </c>
      <c r="E25" s="308"/>
      <c r="F25" s="1838">
        <f t="shared" si="2"/>
        <v>0.46921970499797439</v>
      </c>
    </row>
    <row r="26" spans="1:6" ht="13.9" x14ac:dyDescent="0.4">
      <c r="A26" s="1835" t="s">
        <v>28</v>
      </c>
      <c r="B26" s="1836">
        <f>Budget!F37</f>
        <v>24.704417468143355</v>
      </c>
      <c r="C26" s="1836">
        <f t="shared" si="0"/>
        <v>9.501699026208982</v>
      </c>
      <c r="D26" s="1822">
        <f>B26*Print_Summary!$I$2</f>
        <v>7411.3252404430068</v>
      </c>
      <c r="E26" s="4"/>
      <c r="F26" s="1825">
        <f t="shared" si="2"/>
        <v>2.1114886724908848E-2</v>
      </c>
    </row>
    <row r="27" spans="1:6" ht="13.9" x14ac:dyDescent="0.4">
      <c r="A27" s="1835" t="s">
        <v>228</v>
      </c>
      <c r="B27" s="1836">
        <f>SUM(Budget!F39:F43)</f>
        <v>93.73</v>
      </c>
      <c r="C27" s="1836">
        <f t="shared" si="0"/>
        <v>36.049999999999997</v>
      </c>
      <c r="D27" s="1822">
        <f>B27*Print_Summary!$I$2</f>
        <v>28119</v>
      </c>
      <c r="E27" s="4"/>
      <c r="F27" s="1825">
        <f t="shared" si="2"/>
        <v>8.0111111111111105E-2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667.42147231577349</v>
      </c>
      <c r="C29" s="1837">
        <f t="shared" si="0"/>
        <v>256.70056627529749</v>
      </c>
      <c r="D29" s="1828">
        <f>B29*Print_Summary!$I$2</f>
        <v>200226.44169473206</v>
      </c>
      <c r="E29" s="308"/>
      <c r="F29" s="1825"/>
    </row>
    <row r="30" spans="1:6" ht="13.5" x14ac:dyDescent="0.35">
      <c r="A30" s="1826" t="s">
        <v>233</v>
      </c>
      <c r="B30" s="1827">
        <f>B9-B29-B31</f>
        <v>632.57852768422651</v>
      </c>
      <c r="C30" s="1827">
        <f t="shared" si="0"/>
        <v>243.29943372470251</v>
      </c>
      <c r="D30" s="1828">
        <f>B30*Print_Summary!$I$2</f>
        <v>189773.55830526794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302.34801798854039</v>
      </c>
      <c r="C32" s="1836">
        <f t="shared" si="0"/>
        <v>116.28769922636168</v>
      </c>
      <c r="D32" s="1822">
        <f>B32*Print_Summary!$I$2</f>
        <v>90704.405396562113</v>
      </c>
      <c r="E32" s="4"/>
      <c r="F32" s="1825">
        <f>B32/$F$9</f>
        <v>0.25841710939191481</v>
      </c>
    </row>
    <row r="33" spans="1:6" ht="13.5" x14ac:dyDescent="0.35">
      <c r="A33" s="1826" t="s">
        <v>651</v>
      </c>
      <c r="B33" s="1837">
        <f>B29+B32</f>
        <v>969.76949030431388</v>
      </c>
      <c r="C33" s="1837">
        <f t="shared" si="0"/>
        <v>372.98826550165916</v>
      </c>
      <c r="D33" s="1828">
        <f>B33*Print_Summary!$I$2</f>
        <v>290930.84709129418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330.23050969568612</v>
      </c>
      <c r="C34" s="1827">
        <f t="shared" si="0"/>
        <v>127.01173449834081</v>
      </c>
      <c r="D34" s="1828">
        <f>B34*Print_Summary!$I$2</f>
        <v>99069.152908705844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Expenses/ton</v>
      </c>
      <c r="B36" s="1097">
        <f>B29/B6</f>
        <v>256.70056627529749</v>
      </c>
      <c r="C36" s="1097"/>
      <c r="D36" s="1824">
        <f>D29/D6</f>
        <v>256.70056627529749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Expenses/ton</v>
      </c>
      <c r="B37" s="1097">
        <f>B33/B6</f>
        <v>372.98826550165916</v>
      </c>
      <c r="C37" s="1097"/>
      <c r="D37" s="1824">
        <f>D33/D6</f>
        <v>372.98826550165921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1.9499999999999999E-3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2.6</v>
      </c>
      <c r="C24" s="896" t="s">
        <v>310</v>
      </c>
      <c r="D24" s="897" t="str">
        <f>IF(A2_Budget_Look_Up!B13&gt;0,"   Hauling",E24)</f>
        <v xml:space="preserve">   Hauling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2.6</v>
      </c>
    </row>
    <row r="25" spans="2:10" ht="12.75" customHeight="1" x14ac:dyDescent="0.4">
      <c r="B25" s="899" t="str">
        <f>IF(A2_Budget_Look_Up!B13=1,"Tons",I24)</f>
        <v>Tons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Tons</v>
      </c>
      <c r="J25" s="900"/>
    </row>
    <row r="26" spans="2:10" ht="12.75" customHeight="1" x14ac:dyDescent="0.4">
      <c r="B26" s="899" t="str">
        <f>IF(A2_Budget_Look_Up!B13=1,"Tons",I25)</f>
        <v>Tons</v>
      </c>
      <c r="C26" s="894" t="str">
        <f>IF(A2_Budget_Look_Up!B13=1,"per Ton","per Bushel")</f>
        <v>per Ton</v>
      </c>
      <c r="D26" s="894" t="str">
        <f>IF(A2_Budget_Look_Up!B13=1,"Yield (ton)","Yield (bu.)")</f>
        <v>Yield (ton)</v>
      </c>
      <c r="E26" s="894" t="str">
        <f>IF(A2_Budget_Look_Up!B13=1,"Price ($/ton)","Price ($/bu.)")</f>
        <v>Price ($/ton)</v>
      </c>
      <c r="F26" s="894" t="str">
        <f>IF(A2_Budget_Look_Up!B13=1,"Operating Expenses/ton","Operating Expenses/bu.")</f>
        <v>Operating Expenses/ton</v>
      </c>
      <c r="G26" s="894" t="str">
        <f>IF(A2_Budget_Look_Up!B13=1,"$/ton","$/bu.")</f>
        <v>$/ton</v>
      </c>
      <c r="H26" s="900" t="str">
        <f>IF(A2_Budget_Look_Up!B13=1,"Total Specified Expenses/ton","Total Specified Expenses/bu.")</f>
        <v>Total Specified Expenses/ton</v>
      </c>
      <c r="I26" s="899" t="str">
        <f>IF(A2_Budget_Look_Up!B14=1,Program_Variables!D42,B26)</f>
        <v>Tons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Cleaning - Applied to Percent Cleaned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Drying - Applied to Percent Dried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 - State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2.6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2.6</v>
      </c>
      <c r="J30" s="900"/>
    </row>
    <row r="31" spans="2:10" ht="12.75" customHeight="1" x14ac:dyDescent="0.4">
      <c r="B31" s="901">
        <f>IF(A2_Budget_Look_Up!B13&gt;0,Budget!D3*Budget!B41,I31)</f>
        <v>2.6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2.6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1560</v>
      </c>
      <c r="H6" s="288">
        <f>((B6*F6)/G6)*Budget!$D$29</f>
        <v>13.349645037794716</v>
      </c>
      <c r="I6" s="284"/>
      <c r="J6" s="301"/>
      <c r="K6" s="820">
        <f>((B6*M6)/G6)*Irrigation!L6</f>
        <v>0.16923076923076924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0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1560</v>
      </c>
      <c r="H7" s="288">
        <f>((B7*F7)/G7)*Budget!$D$29</f>
        <v>0</v>
      </c>
      <c r="I7" s="284"/>
      <c r="J7" s="301"/>
      <c r="K7" s="820">
        <f>((B7*M7)/G7)*Irrigation!L7</f>
        <v>0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21444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1560</v>
      </c>
      <c r="H8" s="288">
        <f>((B8*F8)/G8)*Budget!$D$29</f>
        <v>21.68710516594469</v>
      </c>
      <c r="I8" s="284"/>
      <c r="J8" s="842"/>
      <c r="K8" s="820">
        <f>((B8*M8)/G8)*Irrigation!L8</f>
        <v>0.27492307692307694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66594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1560</v>
      </c>
      <c r="H9" s="288">
        <f>((B9*F9)/G9)*Budget!$D$29</f>
        <v>60.170048093099332</v>
      </c>
      <c r="I9" s="284"/>
      <c r="J9" s="842"/>
      <c r="K9" s="821">
        <f>((B9*M9)/G9)*Irrigation!L9</f>
        <v>0.42688461538461542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102.13167801671182</v>
      </c>
      <c r="I10" s="292"/>
      <c r="J10" s="842"/>
      <c r="K10" s="829">
        <f>SUM(K4:K9)</f>
        <v>0.87103846153846165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0</v>
      </c>
      <c r="D12" s="970">
        <f>IF(Irrigation!B2=2,IF(OR(Irrigation!B7=1,Irrigation!B7&gt;3),Irrigation!E13,0),0)</f>
        <v>15344</v>
      </c>
      <c r="E12" s="282"/>
      <c r="F12" s="970">
        <f>IF(Irrigation!B2=2,IF(OR(Irrigation!B7=1,Irrigation!B7&gt;3),Irrigation!E16,0),0)</f>
        <v>6100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1560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1560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189.3</v>
      </c>
      <c r="C21" s="694">
        <f t="shared" si="1"/>
        <v>189.3</v>
      </c>
      <c r="D21" s="694">
        <f t="shared" si="1"/>
        <v>189.3</v>
      </c>
      <c r="E21" s="694">
        <f t="shared" si="1"/>
        <v>189.3</v>
      </c>
      <c r="F21" s="694">
        <f t="shared" si="1"/>
        <v>189.3</v>
      </c>
      <c r="G21" s="694">
        <f t="shared" si="1"/>
        <v>189.3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5.0236456140350878</v>
      </c>
      <c r="C26" s="696">
        <f>C22*((0.11345/(C23*C24*C25))*C21)</f>
        <v>3.6015794720496896</v>
      </c>
      <c r="D26" s="696">
        <f>D22*((0.11345/(D23*D24))*D21)</f>
        <v>3.9445870408163271</v>
      </c>
      <c r="E26" s="696">
        <f>E22*((0.11345/(E23*E24*E25))*E21)</f>
        <v>2.3898199849624064</v>
      </c>
      <c r="F26" s="696">
        <f>F22*((0.11345/(F23*F24*F25))*F21)</f>
        <v>6.1653832535885176</v>
      </c>
      <c r="G26" s="696">
        <f>G22*((0.11345/(G23*G24*G25))*G21)</f>
        <v>6.9972206766917298</v>
      </c>
      <c r="H26" s="697" t="s">
        <v>110</v>
      </c>
      <c r="I26" s="387">
        <f>SUM(B34:G34)</f>
        <v>5.0236456140350878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440.19000000000005</v>
      </c>
      <c r="L26" s="957">
        <f>K26/IF(Irrigation!B2=2,Irrigation!I15,Irrigation!I14)</f>
        <v>3.3860769230769234</v>
      </c>
      <c r="M26" s="301"/>
    </row>
    <row r="27" spans="1:13" x14ac:dyDescent="0.35">
      <c r="A27" s="706" t="s">
        <v>109</v>
      </c>
      <c r="B27" s="695">
        <f>B26*Budget!D29</f>
        <v>60.283747368421054</v>
      </c>
      <c r="C27" s="696">
        <f>C26*Budget!D29</f>
        <v>43.218953664596278</v>
      </c>
      <c r="D27" s="696">
        <f>D26*Budget!D29</f>
        <v>47.335044489795926</v>
      </c>
      <c r="E27" s="696">
        <f>E26*Budget!D29</f>
        <v>28.677839819548879</v>
      </c>
      <c r="F27" s="696">
        <f>F26*Budget!D29</f>
        <v>73.984599043062218</v>
      </c>
      <c r="G27" s="696">
        <f>G26*Budget!D29</f>
        <v>83.966648120300761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0.87103846153846165</v>
      </c>
      <c r="C29" s="288">
        <f t="shared" si="2"/>
        <v>0.87103846153846165</v>
      </c>
      <c r="D29" s="288">
        <f t="shared" si="2"/>
        <v>0.87103846153846165</v>
      </c>
      <c r="E29" s="288">
        <f t="shared" si="2"/>
        <v>0.87103846153846165</v>
      </c>
      <c r="F29" s="288">
        <f t="shared" si="2"/>
        <v>0.87103846153846165</v>
      </c>
      <c r="G29" s="709">
        <f t="shared" si="2"/>
        <v>0.87103846153846165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5.5260101754385973</v>
      </c>
      <c r="C30" s="698">
        <f>(1+C28)*C26</f>
        <v>3.7096268562111803</v>
      </c>
      <c r="D30" s="698">
        <f>(1+D28)*D26</f>
        <v>4.2207081336734698</v>
      </c>
      <c r="E30" s="698">
        <f>(1+E28)*E26</f>
        <v>2.6765983831578954</v>
      </c>
      <c r="F30" s="698">
        <f>(1+F28)*F26</f>
        <v>6.9052292440191403</v>
      </c>
      <c r="G30" s="698">
        <f>(1+G28)*G26</f>
        <v>8.0468037781954891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66.312122105263171</v>
      </c>
      <c r="C31" s="699">
        <f t="shared" si="3"/>
        <v>44.515522274534163</v>
      </c>
      <c r="D31" s="699">
        <f t="shared" si="3"/>
        <v>50.648497604081641</v>
      </c>
      <c r="E31" s="699">
        <f t="shared" si="3"/>
        <v>32.119180597894747</v>
      </c>
      <c r="F31" s="699">
        <f t="shared" si="3"/>
        <v>82.862750928229687</v>
      </c>
      <c r="G31" s="712">
        <f t="shared" si="3"/>
        <v>96.561645338345869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10.45246153846154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10.45246153846154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5.0236456140350878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189.3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0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8.0000000000000002E-3</v>
      </c>
    </row>
    <row r="40" spans="1:13" ht="13.15" x14ac:dyDescent="0.4">
      <c r="A40" s="304"/>
      <c r="B40" s="305">
        <f>IF(Irrigation!B2=2,30,0)</f>
        <v>30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8.0000000000000002E-3</v>
      </c>
    </row>
    <row r="41" spans="1:13" ht="13.5" thickBot="1" x14ac:dyDescent="0.45">
      <c r="A41" s="304"/>
      <c r="B41" s="305">
        <f>SUM(B39:B40)</f>
        <v>30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9.6000000000000002E-2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1560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1560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1560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1560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0</v>
      </c>
      <c r="D55" s="970">
        <f>IF(Irrigation!B2=2,IF(OR(Irrigation!B7=1,Irrigation!B7&gt;3),Irrigation!E13,0),0)</f>
        <v>15344</v>
      </c>
      <c r="E55" s="282"/>
      <c r="F55" s="970">
        <f>IF(Irrigation!B2=2,IF(OR(Irrigation!B7=1,Irrigation!B7&gt;3),Irrigation!E16,0),0)</f>
        <v>6100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1560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1560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189.3</v>
      </c>
      <c r="C64" s="694">
        <f t="shared" si="5"/>
        <v>189.3</v>
      </c>
      <c r="D64" s="694">
        <f t="shared" si="5"/>
        <v>189.3</v>
      </c>
      <c r="E64" s="694">
        <f t="shared" si="5"/>
        <v>189.3</v>
      </c>
      <c r="F64" s="694">
        <f t="shared" si="5"/>
        <v>189.3</v>
      </c>
      <c r="G64" s="694">
        <f t="shared" si="5"/>
        <v>189.3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5.0236456140350878</v>
      </c>
      <c r="C69" s="696">
        <f>C65*((0.11345/(C66*C67*C68))*C64)</f>
        <v>3.6015794720496896</v>
      </c>
      <c r="D69" s="696">
        <f>D65*((0.11345/(D66*D67))*D64)</f>
        <v>3.9445870408163271</v>
      </c>
      <c r="E69" s="696">
        <f>E65*((0.11345/(E66*E67*E68))*E64)</f>
        <v>2.3898199849624064</v>
      </c>
      <c r="F69" s="696">
        <f>F65*((0.11345/(F66*F67*F68))*F64)</f>
        <v>6.1653832535885176</v>
      </c>
      <c r="G69" s="696">
        <f>G65*((0.11345/(G66*G67*G68))*G64)</f>
        <v>6.9972206766917298</v>
      </c>
      <c r="H69" s="697" t="s">
        <v>110</v>
      </c>
      <c r="I69" s="387">
        <f>SUM(B77:G77)</f>
        <v>5.0236456140350878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60.283747368421054</v>
      </c>
      <c r="C70" s="696">
        <f>C69*Budget!D29</f>
        <v>43.218953664596278</v>
      </c>
      <c r="D70" s="696">
        <f>D69*Budget!D29</f>
        <v>47.335044489795926</v>
      </c>
      <c r="E70" s="696">
        <f>E69*Budget!D29</f>
        <v>28.677839819548879</v>
      </c>
      <c r="F70" s="696">
        <f>F69*Budget!D29</f>
        <v>73.984599043062218</v>
      </c>
      <c r="G70" s="696">
        <f>G69*Budget!D29</f>
        <v>83.966648120300761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5.5260101754385973</v>
      </c>
      <c r="C73" s="698">
        <f>(1+C71)*C69</f>
        <v>3.7096268562111803</v>
      </c>
      <c r="D73" s="698">
        <f>(1+D71)*D69</f>
        <v>4.2207081336734698</v>
      </c>
      <c r="E73" s="698">
        <f>(1+E71)*E69</f>
        <v>2.6765983831578954</v>
      </c>
      <c r="F73" s="698">
        <f>(1+F71)*F69</f>
        <v>6.9052292440191403</v>
      </c>
      <c r="G73" s="698">
        <f>(1+G71)*G69</f>
        <v>8.0468037781954891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66.312122105263171</v>
      </c>
      <c r="C74" s="699">
        <f t="shared" si="7"/>
        <v>44.515522274534163</v>
      </c>
      <c r="D74" s="699">
        <f t="shared" si="7"/>
        <v>50.648497604081641</v>
      </c>
      <c r="E74" s="699">
        <f t="shared" si="7"/>
        <v>32.119180597894747</v>
      </c>
      <c r="F74" s="699">
        <f t="shared" si="7"/>
        <v>82.862750928229687</v>
      </c>
      <c r="G74" s="712">
        <f t="shared" si="7"/>
        <v>96.561645338345869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5.0236456140350878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189.3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0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8.0000000000000002E-3</v>
      </c>
    </row>
    <row r="83" spans="1:13" ht="13.15" x14ac:dyDescent="0.4">
      <c r="A83" s="304"/>
      <c r="B83" s="305">
        <f>IF(Irrigation!B2=2,30,0)</f>
        <v>30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8.0000000000000002E-3</v>
      </c>
    </row>
    <row r="84" spans="1:13" ht="13.5" thickBot="1" x14ac:dyDescent="0.45">
      <c r="A84" s="304"/>
      <c r="B84" s="305">
        <f>SUM(B82:B83)</f>
        <v>30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9.6000000000000002E-2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Peanuts, Pivot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300</v>
      </c>
      <c r="D5" s="1844"/>
      <c r="E5" s="468">
        <f t="shared" ref="E5:F7" si="0">B5</f>
        <v>1</v>
      </c>
      <c r="F5" s="1845">
        <f t="shared" si="0"/>
        <v>300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(ton)</v>
      </c>
      <c r="B6" s="1096">
        <f>Budget!D3</f>
        <v>2.6</v>
      </c>
      <c r="C6" s="1823">
        <f>B6*Print_Summary!$I$2</f>
        <v>780</v>
      </c>
      <c r="D6" s="1846"/>
      <c r="E6" s="1096">
        <f t="shared" si="0"/>
        <v>2.6</v>
      </c>
      <c r="F6" s="1822">
        <f t="shared" si="0"/>
        <v>780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($/ton)</v>
      </c>
      <c r="B7" s="1097">
        <f>Budget!E3</f>
        <v>500</v>
      </c>
      <c r="C7" s="1097">
        <f>B7</f>
        <v>500</v>
      </c>
      <c r="D7" s="1847"/>
      <c r="E7" s="1097">
        <f t="shared" si="0"/>
        <v>500</v>
      </c>
      <c r="F7" s="1848">
        <f t="shared" si="0"/>
        <v>500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1300</v>
      </c>
      <c r="C9" s="1830">
        <f>B9*Print_Summary!$I$2</f>
        <v>390000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100.05</v>
      </c>
      <c r="C13" s="1823">
        <f>B13*Print_Summary!$I$2</f>
        <v>30015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-20.125000000000014</v>
      </c>
    </row>
    <row r="14" spans="1:9" ht="13.9" x14ac:dyDescent="0.4">
      <c r="A14" s="1835" t="s">
        <v>224</v>
      </c>
      <c r="B14" s="1836">
        <f>SUM(Budget!F7:F13)</f>
        <v>43.674999999999997</v>
      </c>
      <c r="C14" s="1823">
        <f>B14*Print_Summary!$I$2</f>
        <v>13102.5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-47.113799999999998</v>
      </c>
    </row>
    <row r="15" spans="1:9" ht="13.9" x14ac:dyDescent="0.4">
      <c r="A15" s="1835" t="s">
        <v>495</v>
      </c>
      <c r="B15" s="1836">
        <f>SUM(Budget!F14:F18)</f>
        <v>157.62460937499998</v>
      </c>
      <c r="C15" s="1823">
        <f>B15*Print_Summary!$I$2</f>
        <v>47287.382812499993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-51.427890625000003</v>
      </c>
    </row>
    <row r="16" spans="1:9" ht="13.9" x14ac:dyDescent="0.4">
      <c r="A16" s="1835" t="s">
        <v>225</v>
      </c>
      <c r="B16" s="1836">
        <f>SUM(Budget!F20:F23)</f>
        <v>59.5</v>
      </c>
      <c r="C16" s="1823">
        <f>B16*Print_Summary!$I$2</f>
        <v>17850</v>
      </c>
      <c r="D16" s="1846"/>
      <c r="E16" s="1097">
        <f>(Budget!D20*Budget!E20)+(Budget!D21*Budget!E21)+(Budget!D22*Budget!E22)+(Budget!D23*Budget!E23)-B16</f>
        <v>0</v>
      </c>
      <c r="F16" s="1822">
        <f>E16*Print_Summary!$I$2</f>
        <v>0</v>
      </c>
      <c r="G16" s="4"/>
      <c r="H16" s="1097">
        <v>14</v>
      </c>
      <c r="I16" s="1097">
        <f>B16+E16-H16</f>
        <v>45.5</v>
      </c>
    </row>
    <row r="17" spans="1:9" ht="13.9" x14ac:dyDescent="0.4">
      <c r="A17" s="1835" t="s">
        <v>463</v>
      </c>
      <c r="B17" s="1836">
        <f>Budget!F25+Budget!F27</f>
        <v>36.48220747343472</v>
      </c>
      <c r="C17" s="1823">
        <f>B17*Print_Summary!$I$2</f>
        <v>10944.662242030416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8.4153437245376992</v>
      </c>
    </row>
    <row r="18" spans="1:9" ht="13.9" x14ac:dyDescent="0.4">
      <c r="A18" s="1835" t="s">
        <v>227</v>
      </c>
      <c r="B18" s="1836">
        <f>Budget!F29</f>
        <v>60.283747368421054</v>
      </c>
      <c r="C18" s="1823">
        <f>B18*Print_Summary!$I$2</f>
        <v>18085.124210526315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25.133286496240601</v>
      </c>
    </row>
    <row r="19" spans="1:9" ht="13.9" x14ac:dyDescent="0.4">
      <c r="A19" s="1835" t="s">
        <v>782</v>
      </c>
      <c r="B19" s="1836">
        <f>Budget!F31+Budget!F32</f>
        <v>0</v>
      </c>
      <c r="C19" s="1823">
        <f>B19*Print_Summary!$I$2</f>
        <v>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-3.45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457.61556421685572</v>
      </c>
      <c r="C20" s="1828">
        <f>B20*Print_Summary!$I$2</f>
        <v>137284.66926505673</v>
      </c>
      <c r="D20" s="1846"/>
      <c r="E20" s="1099">
        <f>SUM(E13:E19)</f>
        <v>0</v>
      </c>
      <c r="F20" s="1828">
        <f>E20*Print_Summary!$I$2</f>
        <v>0</v>
      </c>
      <c r="G20" s="4"/>
      <c r="H20" s="1099">
        <v>500.68362462107746</v>
      </c>
      <c r="I20" s="1099">
        <f t="shared" si="1"/>
        <v>-43.06806040422174</v>
      </c>
    </row>
    <row r="21" spans="1:9" ht="13.9" x14ac:dyDescent="0.4">
      <c r="A21" s="1835" t="s">
        <v>780</v>
      </c>
      <c r="B21" s="1836">
        <f>Budget!F34+Budget!F35</f>
        <v>10</v>
      </c>
      <c r="C21" s="1823">
        <f>B21*Print_Summary!$I$2</f>
        <v>3000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-14</v>
      </c>
    </row>
    <row r="22" spans="1:9" ht="13.9" x14ac:dyDescent="0.4">
      <c r="A22" s="1835" t="s">
        <v>1</v>
      </c>
      <c r="B22" s="1836">
        <f>Budget!F36</f>
        <v>22</v>
      </c>
      <c r="C22" s="1823">
        <f>B22*Print_Summary!$I$2</f>
        <v>6600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22</v>
      </c>
    </row>
    <row r="23" spans="1:9" ht="15.4" x14ac:dyDescent="0.4">
      <c r="A23" s="1835" t="s">
        <v>752</v>
      </c>
      <c r="B23" s="1836">
        <f>Budget!F26+Budget!F28+Budget!F30</f>
        <v>35.824493473271723</v>
      </c>
      <c r="C23" s="1823">
        <f>B23*Print_Summary!$I$2</f>
        <v>10747.348041981517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2.8002496692182461</v>
      </c>
    </row>
    <row r="24" spans="1:9" ht="15" customHeight="1" x14ac:dyDescent="0.4">
      <c r="A24" s="1835" t="s">
        <v>214</v>
      </c>
      <c r="B24" s="1836">
        <f>Budget!F33</f>
        <v>23.54699715750268</v>
      </c>
      <c r="C24" s="1823">
        <f>B24*Print_Summary!$I$2</f>
        <v>7064.099147250804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0.21915133302369227</v>
      </c>
    </row>
    <row r="25" spans="1:9" ht="15" customHeight="1" x14ac:dyDescent="0.4">
      <c r="A25" s="1826" t="s">
        <v>641</v>
      </c>
      <c r="B25" s="1837">
        <f>SUM(Budget!F6:F18)+SUM(Budget!F20:F23)+SUM(Budget!F25:F36)</f>
        <v>548.98705484763013</v>
      </c>
      <c r="C25" s="1830">
        <f>B25*Print_Summary!$I$2</f>
        <v>164696.11645428903</v>
      </c>
      <c r="D25" s="1850"/>
      <c r="E25" s="1099">
        <f>SUM(E13:E19)+SUM(E23:E24)</f>
        <v>0</v>
      </c>
      <c r="F25" s="1828">
        <f>E25*Print_Summary!$I$2</f>
        <v>0</v>
      </c>
      <c r="G25" s="4"/>
      <c r="H25" s="1099">
        <v>581.0357142496099</v>
      </c>
      <c r="I25" s="1099">
        <f t="shared" si="1"/>
        <v>-32.048659401979762</v>
      </c>
    </row>
    <row r="26" spans="1:9" ht="13.9" x14ac:dyDescent="0.4">
      <c r="A26" s="1835" t="s">
        <v>28</v>
      </c>
      <c r="B26" s="1836">
        <f>Budget!F37</f>
        <v>24.704417468143355</v>
      </c>
      <c r="C26" s="1823">
        <f>B26*Print_Summary!$I$2</f>
        <v>7411.3252404430068</v>
      </c>
      <c r="D26" s="1846"/>
      <c r="E26" s="1097">
        <f>((Budget!D37/100)*Program_Variables!D34)*(E20+E25)</f>
        <v>0</v>
      </c>
      <c r="F26" s="1822">
        <f>E26*Print_Summary!$I$2</f>
        <v>0</v>
      </c>
      <c r="G26" s="4"/>
      <c r="H26" s="1097">
        <v>13.799598213428238</v>
      </c>
      <c r="I26" s="1097">
        <f t="shared" si="1"/>
        <v>10.904819254715116</v>
      </c>
    </row>
    <row r="27" spans="1:9" ht="13.9" x14ac:dyDescent="0.4">
      <c r="A27" s="1835" t="s">
        <v>228</v>
      </c>
      <c r="B27" s="1836">
        <f>SUM(Budget!F39:F43)</f>
        <v>93.73</v>
      </c>
      <c r="C27" s="1823">
        <f>B27*Print_Summary!$I$2</f>
        <v>28119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-51.05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667.42147231577349</v>
      </c>
      <c r="C29" s="1830">
        <f>B29*Print_Summary!$I$2</f>
        <v>200226.44169473206</v>
      </c>
      <c r="D29" s="1850"/>
      <c r="E29" s="1099">
        <f>SUM(E13:E19)+SUM(E21:E24)+SUM(E26:E28)-IF(A2_Budget_Look_Up!B7=1,E10,0)</f>
        <v>0</v>
      </c>
      <c r="F29" s="1828">
        <f>E29*Print_Summary!$I$2</f>
        <v>0</v>
      </c>
      <c r="G29" s="4"/>
      <c r="H29" s="1099">
        <v>594.83531246303824</v>
      </c>
      <c r="I29" s="1099">
        <f t="shared" si="1"/>
        <v>72.58615985273525</v>
      </c>
    </row>
    <row r="30" spans="1:9" ht="13.9" x14ac:dyDescent="0.4">
      <c r="A30" s="1826" t="s">
        <v>233</v>
      </c>
      <c r="B30" s="1827">
        <f>B9-B29-B31</f>
        <v>632.57852768422651</v>
      </c>
      <c r="C30" s="1830">
        <f>B30*Print_Summary!$I$2</f>
        <v>189773.55830526794</v>
      </c>
      <c r="D30" s="1850"/>
      <c r="E30" s="173">
        <f>E9+E31-E29</f>
        <v>0</v>
      </c>
      <c r="F30" s="1828">
        <f>E30*Print_Summary!$I$2</f>
        <v>0</v>
      </c>
      <c r="G30" s="4"/>
      <c r="H30" s="173">
        <v>185.16468753696176</v>
      </c>
      <c r="I30" s="173">
        <f t="shared" si="1"/>
        <v>447.41384014726475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302.34801798854039</v>
      </c>
      <c r="C32" s="1823">
        <f>B32*Print_Summary!$I$2</f>
        <v>90704.405396562113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123.75302805041636</v>
      </c>
    </row>
    <row r="33" spans="1:9" ht="13.9" x14ac:dyDescent="0.4">
      <c r="A33" s="1826" t="s">
        <v>651</v>
      </c>
      <c r="B33" s="1837">
        <f>B29+B32</f>
        <v>969.76949030431388</v>
      </c>
      <c r="C33" s="1830">
        <f>B33*Print_Summary!$I$2</f>
        <v>290930.84709129418</v>
      </c>
      <c r="D33" s="1850"/>
      <c r="E33" s="1099">
        <f>E29+E32</f>
        <v>0</v>
      </c>
      <c r="F33" s="1828">
        <f>E33*Print_Summary!$I$2</f>
        <v>0</v>
      </c>
      <c r="G33" s="4"/>
      <c r="H33" s="1099">
        <v>773.43030240116229</v>
      </c>
      <c r="I33" s="1099">
        <f t="shared" si="1"/>
        <v>196.33918790315158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330.23050969568612</v>
      </c>
      <c r="C34" s="1830">
        <f>B34*Print_Summary!$I$2</f>
        <v>99069.152908705844</v>
      </c>
      <c r="D34" s="1850"/>
      <c r="E34" s="173">
        <f>E9+E31-E33</f>
        <v>0</v>
      </c>
      <c r="F34" s="1828">
        <f>E34*Print_Summary!$I$2</f>
        <v>0</v>
      </c>
      <c r="G34" s="4"/>
      <c r="H34" s="173">
        <v>6.5696975988377062</v>
      </c>
      <c r="I34" s="173">
        <f t="shared" si="1"/>
        <v>323.66081209684842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Expenses/ton</v>
      </c>
      <c r="B36" s="1097">
        <f>B29/B6</f>
        <v>256.70056627529749</v>
      </c>
      <c r="C36" s="1097">
        <f>C29/C6</f>
        <v>256.70056627529749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Expenses/ton</v>
      </c>
      <c r="B37" s="1840">
        <f>B33/B6</f>
        <v>372.98826550165916</v>
      </c>
      <c r="C37" s="1840">
        <f>C33/C6</f>
        <v>372.98826550165921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7.3384557710152468E-2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28. 2025 Peanut Enterprise Budget, Center Pivot Irrigation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Tons</v>
      </c>
      <c r="D3" s="398">
        <f>A3_Production_Look_Up!B4</f>
        <v>2.6</v>
      </c>
      <c r="E3" s="1258">
        <f>A3_Production_Look_Up!B5</f>
        <v>500</v>
      </c>
      <c r="F3" s="9">
        <f>IF('C1_Messages_Indicators'!B3=1,(D3*E3*B3),"Error")</f>
        <v>1300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Lbs</v>
      </c>
      <c r="D6" s="552">
        <f>Seed_Chemical!E4</f>
        <v>115</v>
      </c>
      <c r="E6" s="10">
        <f>Seed_Chemical!D4</f>
        <v>0.87</v>
      </c>
      <c r="F6" s="9">
        <f t="shared" ref="F6:F11" si="0">D6*E6*B6</f>
        <v>100.05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0</v>
      </c>
      <c r="E7" s="10">
        <f>Fertilizer!E3</f>
        <v>0.25750000000000001</v>
      </c>
      <c r="F7" s="9">
        <f t="shared" si="0"/>
        <v>0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65</v>
      </c>
      <c r="E8" s="10">
        <f>Fertilizer!E4</f>
        <v>0.34499999999999997</v>
      </c>
      <c r="F8" s="9">
        <f t="shared" si="0"/>
        <v>22.424999999999997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85</v>
      </c>
      <c r="E9" s="10">
        <f>Fertilizer!E5</f>
        <v>0.25</v>
      </c>
      <c r="F9" s="9">
        <f t="shared" si="0"/>
        <v>21.25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Lbs</v>
      </c>
      <c r="D11" s="10">
        <f>Fertilizer!D7</f>
        <v>0</v>
      </c>
      <c r="E11" s="10">
        <f>Fertilizer!E7</f>
        <v>0.72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80.849609375</v>
      </c>
      <c r="F14" s="9">
        <f t="shared" si="1"/>
        <v>80.849609375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23.04</v>
      </c>
      <c r="F15" s="9">
        <f t="shared" si="1"/>
        <v>23.04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Nematicide</v>
      </c>
      <c r="B16" s="33">
        <v>1</v>
      </c>
      <c r="C16" s="8" t="s">
        <v>4</v>
      </c>
      <c r="D16" s="8">
        <v>1</v>
      </c>
      <c r="E16" s="10">
        <f>Seed_Chemical!F46</f>
        <v>0</v>
      </c>
      <c r="F16" s="9">
        <f t="shared" si="1"/>
        <v>0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Fungicide</v>
      </c>
      <c r="B17" s="33">
        <v>1</v>
      </c>
      <c r="C17" s="8" t="s">
        <v>4</v>
      </c>
      <c r="D17" s="8">
        <v>1</v>
      </c>
      <c r="E17" s="10">
        <f>Seed_Chemical!F57</f>
        <v>52.534999999999997</v>
      </c>
      <c r="F17" s="9">
        <f t="shared" si="1"/>
        <v>52.534999999999997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1.2</v>
      </c>
      <c r="F18" s="9">
        <f t="shared" si="1"/>
        <v>1.2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7</v>
      </c>
      <c r="E20" s="2">
        <v>8.5</v>
      </c>
      <c r="F20" s="9">
        <f>D20*E20*B20</f>
        <v>59.5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0</v>
      </c>
      <c r="E21" s="2">
        <v>10</v>
      </c>
      <c r="F21" s="9">
        <f>D21*E21*B21</f>
        <v>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0</v>
      </c>
      <c r="E22" s="2">
        <v>0.1</v>
      </c>
      <c r="F22" s="9">
        <f>FLOOR((D22*E22*B22), 10)</f>
        <v>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6.7834083949369228</v>
      </c>
      <c r="E25" s="18">
        <f>Irrigation!B14</f>
        <v>2.8</v>
      </c>
      <c r="F25" s="9">
        <f t="shared" ref="F25:F36" si="2">D25*E25*B25</f>
        <v>18.993543505823382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13.889370802067734</v>
      </c>
      <c r="F26" s="9">
        <f t="shared" si="2"/>
        <v>13.889370802067734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6.2459514170040498</v>
      </c>
      <c r="E27" s="18">
        <f>Irrigation!B14</f>
        <v>2.8</v>
      </c>
      <c r="F27" s="9">
        <f t="shared" si="2"/>
        <v>17.488663967611338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11.48266113274245</v>
      </c>
      <c r="F28" s="9">
        <f t="shared" si="2"/>
        <v>11.48266113274245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12</v>
      </c>
      <c r="E29" s="10">
        <f>'C2_Irrigation_Calculations'!I26*'C1_Messages_Indicators'!B34</f>
        <v>5.0236456140350878</v>
      </c>
      <c r="F29" s="9">
        <f t="shared" si="2"/>
        <v>60.283747368421054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12</v>
      </c>
      <c r="E30" s="10">
        <f>IF(D29&gt;0,('C2_Irrigation_Calculations'!I33/D29),0)</f>
        <v>0.87103846153846165</v>
      </c>
      <c r="F30" s="9">
        <f>D30*E30</f>
        <v>10.45246153846154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Other Inputs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</v>
      </c>
      <c r="F32" s="9">
        <f t="shared" si="2"/>
        <v>0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1229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1.6205779186168399</v>
      </c>
      <c r="E33" s="316">
        <v>14.53</v>
      </c>
      <c r="F33" s="9">
        <f t="shared" si="2"/>
        <v>23.54699715750268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10</v>
      </c>
      <c r="F34" s="9">
        <f t="shared" si="2"/>
        <v>10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0</v>
      </c>
      <c r="F35" s="9">
        <f t="shared" si="2"/>
        <v>0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22</v>
      </c>
      <c r="F36" s="9">
        <f t="shared" si="2"/>
        <v>22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548.98705484763013</v>
      </c>
      <c r="F37" s="9">
        <f>((D37/100)*Program_Variables!D34)*SUM(F6:F36)*B37</f>
        <v>24.704417468143355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 xml:space="preserve">   Hauling</v>
      </c>
      <c r="B39" s="1512">
        <f>IF(A2_Budget_Look_Up!B13&gt;0,1," ")</f>
        <v>1</v>
      </c>
      <c r="C39" s="8" t="str">
        <f>IF(A2_Budget_Look_Up!B13=1,"Tons"," ")</f>
        <v>Tons</v>
      </c>
      <c r="D39" s="15">
        <f>IF(A2_Budget_Look_Up!B13=1,D3," ")</f>
        <v>2.6</v>
      </c>
      <c r="E39" s="15">
        <f>IF(A2_Budget_Look_Up!B13&gt;0,Program_Variables!D46," ")</f>
        <v>0</v>
      </c>
      <c r="F39" s="9">
        <f>IF(A2_Budget_Look_Up!B13&gt;0,D39*E39*B39," ")</f>
        <v>0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Cleaning - Applied to Percent Cleaned</v>
      </c>
      <c r="B40" s="33">
        <v>1</v>
      </c>
      <c r="C40" s="8" t="str">
        <f>IF(A2_Budget_Look_Up!B7=1,"Lbs",'C1_Messages_Indicators'!B25)</f>
        <v>Tons</v>
      </c>
      <c r="D40" s="10">
        <f>IF(A2_Budget_Look_Up!B13&lt;1,Program_Variables!E40,D3*B40)</f>
        <v>2.6</v>
      </c>
      <c r="E40" s="2">
        <f>A3_Production_Look_Up!B37</f>
        <v>10</v>
      </c>
      <c r="F40" s="9">
        <f>D40*E40*B40</f>
        <v>26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Drying - Applied to Percent Dried</v>
      </c>
      <c r="B41" s="33">
        <v>1</v>
      </c>
      <c r="C41" s="8" t="str">
        <f>IF(A2_Budget_Look_Up!B7=1,"Bale",'C1_Messages_Indicators'!I25)</f>
        <v>Tons</v>
      </c>
      <c r="D41" s="15">
        <f>IF(A2_Budget_Look_Up!B7=1,D40/Program_Variables!C36,'C1_Messages_Indicators'!B30)</f>
        <v>2.6</v>
      </c>
      <c r="E41" s="2">
        <f>A3_Production_Look_Up!B38</f>
        <v>20</v>
      </c>
      <c r="F41" s="9">
        <f>D41*E41*B41</f>
        <v>52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 - State</v>
      </c>
      <c r="B42" s="33">
        <v>1</v>
      </c>
      <c r="C42" s="8" t="str">
        <f>IF(A2_Budget_Look_Up!B7=1,"Bale",'C1_Messages_Indicators'!I26)</f>
        <v>Tons</v>
      </c>
      <c r="D42" s="15">
        <f>IF(AND(A2_Budget_Look_Up!B13&lt;1,A2_Budget_Look_Up!B14&lt;1),'C1_Messages_Indicators'!B24,'C1_Messages_Indicators'!B31)</f>
        <v>2.6</v>
      </c>
      <c r="E42" s="1964">
        <f>A3_Production_Look_Up!B39</f>
        <v>2.5</v>
      </c>
      <c r="F42" s="9">
        <f>D42*E42*B42</f>
        <v>6.5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  NPB Check Off</v>
      </c>
      <c r="B43" s="1512">
        <f>IF(OR(A2_Budget_Look_Up!B13&gt;0,A2_Budget_Look_Up!B14&gt;0),1," ")</f>
        <v>1</v>
      </c>
      <c r="C43" s="8" t="str">
        <f>IF(A2_Budget_Look_Up!B13&gt;0,"Dollars",IF(A2_Budget_Look_Up!B14&gt;0,Program_Variables!D44," "))</f>
        <v>Dollars</v>
      </c>
      <c r="D43" s="15">
        <f>IF(A2_Budget_Look_Up!B13&gt;0,Program_Variables!H47*Budget!D3,IF(A2_Budget_Look_Up!B14&gt;0,Program_Variables!E44," "))</f>
        <v>923</v>
      </c>
      <c r="E43" s="10">
        <f>IF(A2_Budget_Look_Up!B13&gt;0,IF(Program_Variables!D47&gt;0,Program_Variables!F47,0),IF(A2_Budget_Look_Up!B14&gt;0,Program_Variables!G44," "))</f>
        <v>0.01</v>
      </c>
      <c r="F43" s="9">
        <f>IF(OR(A2_Budget_Look_Up!B13&gt;0,A2_Budget_Look_Up!B14&gt;0),D43*E43*B43," ")</f>
        <v>9.23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667.42147231577349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632.57852768422651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187.45739337976346</v>
      </c>
      <c r="F48" s="9">
        <f>D48*E48</f>
        <v>187.45739337976346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105.51775493978874</v>
      </c>
      <c r="F49" s="9">
        <f>D49*E49</f>
        <v>105.51775493978874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9.372869668988173</v>
      </c>
      <c r="F50" s="9">
        <f>D50*E50</f>
        <v>9.372869668988173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302.34801798854039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969.76949030431388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330.23050969568612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65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85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Lbs</v>
      </c>
      <c r="D7" s="1443">
        <f>A3_Production_Look_Up!B17</f>
        <v>0</v>
      </c>
      <c r="E7" s="1891">
        <f>Program_Variables!E10</f>
        <v>0.72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</v>
      </c>
      <c r="J8" s="1892">
        <f>(J4*H4)+J5+(J6*H6)+(J7*H7)</f>
        <v>0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topLeftCell="A47" workbookViewId="0">
      <selection activeCell="D61" sqref="D61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Lbs</v>
      </c>
      <c r="D4" s="1585">
        <f>A3_Production_Look_Up!B43</f>
        <v>0.87</v>
      </c>
      <c r="E4" s="1586">
        <f>A3_Production_Look_Up!B45</f>
        <v>115</v>
      </c>
      <c r="F4" s="1587">
        <f>D4*E4</f>
        <v>100.05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Lbs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100.05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Prowl H20</v>
      </c>
      <c r="B12" s="1602" t="str">
        <f>IF(A5_Chem_Look_Up!$F6&gt;0,A5_Chem_Look_Up!B6," ")</f>
        <v/>
      </c>
      <c r="C12" s="1603" t="str">
        <f>IF(A5_Chem_Look_Up!$F6&gt;0,A5_Chem_Look_Up!C6," ")</f>
        <v>pt</v>
      </c>
      <c r="D12" s="1601">
        <f>IF(A5_Chem_Look_Up!$F6&gt;0,A5_Chem_Look_Up!D6,0)</f>
        <v>5</v>
      </c>
      <c r="E12" s="1586">
        <f>IF(A5_Chem_Look_Up!$F6&gt;0,A5_Chem_Look_Up!E6,0)</f>
        <v>2</v>
      </c>
      <c r="F12" s="1587">
        <f>D12*E12</f>
        <v>10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Valor EZ</v>
      </c>
      <c r="B13" s="1602" t="str">
        <f>IF(A5_Chem_Look_Up!$F7&gt;0,A5_Chem_Look_Up!B7," ")</f>
        <v/>
      </c>
      <c r="C13" s="1605" t="str">
        <f>IF(A5_Chem_Look_Up!$F7&gt;0,A5_Chem_Look_Up!C7," ")</f>
        <v>oz</v>
      </c>
      <c r="D13" s="1601">
        <f>IF(A5_Chem_Look_Up!$F7&gt;0,A5_Chem_Look_Up!D7,0)</f>
        <v>5.9375</v>
      </c>
      <c r="E13" s="1586">
        <f>IF(A5_Chem_Look_Up!$F7&gt;0,A5_Chem_Look_Up!E7,0)</f>
        <v>3</v>
      </c>
      <c r="F13" s="1587">
        <f t="shared" ref="F13:F25" si="0">D13*E13</f>
        <v>17.8125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Select Max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0.78125</v>
      </c>
      <c r="E14" s="1586">
        <f>IF(A5_Chem_Look_Up!$F8&gt;0,A5_Chem_Look_Up!E8,0)</f>
        <v>12</v>
      </c>
      <c r="F14" s="1587">
        <f t="shared" si="0"/>
        <v>9.375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Zidua SC</v>
      </c>
      <c r="B15" s="1602" t="str">
        <f>IF(A5_Chem_Look_Up!$F9&gt;0,A5_Chem_Look_Up!B9," ")</f>
        <v/>
      </c>
      <c r="C15" s="1605" t="str">
        <f>IF(A5_Chem_Look_Up!$F9&gt;0,A5_Chem_Look_Up!C9," ")</f>
        <v>oz</v>
      </c>
      <c r="D15" s="1601">
        <f>IF(A5_Chem_Look_Up!$F9&gt;0,A5_Chem_Look_Up!D9,0)</f>
        <v>5.7421875</v>
      </c>
      <c r="E15" s="1586">
        <f>IF(A5_Chem_Look_Up!$F9&gt;0,A5_Chem_Look_Up!E9,0)</f>
        <v>3.25</v>
      </c>
      <c r="F15" s="1587">
        <f t="shared" si="0"/>
        <v>18.662109375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Ultra Blazer</v>
      </c>
      <c r="B16" s="1602" t="str">
        <f>IF(A5_Chem_Look_Up!$F10&gt;0,A5_Chem_Look_Up!B10," ")</f>
        <v/>
      </c>
      <c r="C16" s="1603" t="str">
        <f>IF(A5_Chem_Look_Up!$F10&gt;0,A5_Chem_Look_Up!C10," ")</f>
        <v>pt</v>
      </c>
      <c r="D16" s="1601">
        <f>IF(A5_Chem_Look_Up!$F10&gt;0,A5_Chem_Look_Up!D10,0)</f>
        <v>11.25</v>
      </c>
      <c r="E16" s="1586">
        <f>IF(A5_Chem_Look_Up!$F10&gt;0,A5_Chem_Look_Up!E10,0)</f>
        <v>2</v>
      </c>
      <c r="F16" s="1587">
        <f t="shared" si="0"/>
        <v>22.5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>2,4-DB</v>
      </c>
      <c r="B17" s="1602" t="str">
        <f>IF(A5_Chem_Look_Up!$F11&gt;0,A5_Chem_Look_Up!B11," ")</f>
        <v/>
      </c>
      <c r="C17" s="1603" t="str">
        <f>IF(A5_Chem_Look_Up!$F11&gt;0,A5_Chem_Look_Up!C11," ")</f>
        <v>pt</v>
      </c>
      <c r="D17" s="1601">
        <f>IF(A5_Chem_Look_Up!$F11&gt;0,A5_Chem_Look_Up!D11,0)</f>
        <v>5</v>
      </c>
      <c r="E17" s="1586">
        <f>IF(A5_Chem_Look_Up!$F11&gt;0,A5_Chem_Look_Up!E11,0)</f>
        <v>0.5</v>
      </c>
      <c r="F17" s="1587">
        <f t="shared" si="0"/>
        <v>2.5</v>
      </c>
      <c r="G17" s="20"/>
    </row>
    <row r="18" spans="1:7" ht="12.95" customHeight="1" x14ac:dyDescent="0.35">
      <c r="A18" s="1601" t="str">
        <f>IF(A5_Chem_Look_Up!$F12&gt;0,A5_Chem_Look_Up!A12," ")</f>
        <v xml:space="preserve"> </v>
      </c>
      <c r="B18" s="1602" t="str">
        <f>IF(A5_Chem_Look_Up!$F12&gt;0,A5_Chem_Look_Up!B12," ")</f>
        <v xml:space="preserve"> </v>
      </c>
      <c r="C18" s="1603" t="str">
        <f>IF(A5_Chem_Look_Up!$F12&gt;0,A5_Chem_Look_Up!C12," ")</f>
        <v xml:space="preserve"> </v>
      </c>
      <c r="D18" s="1601">
        <f>IF(A5_Chem_Look_Up!$F12&gt;0,A5_Chem_Look_Up!D12,0)</f>
        <v>0</v>
      </c>
      <c r="E18" s="1586">
        <f>IF(A5_Chem_Look_Up!$F12&gt;0,A5_Chem_Look_Up!E12,0)</f>
        <v>0</v>
      </c>
      <c r="F18" s="1587">
        <f t="shared" si="0"/>
        <v>0</v>
      </c>
      <c r="G18" s="20"/>
    </row>
    <row r="19" spans="1:7" ht="12.95" customHeight="1" x14ac:dyDescent="0.35">
      <c r="A19" s="1601" t="str">
        <f>IF(A5_Chem_Look_Up!$F13&gt;0,A5_Chem_Look_Up!A13," ")</f>
        <v xml:space="preserve"> </v>
      </c>
      <c r="B19" s="1602" t="str">
        <f>IF(A5_Chem_Look_Up!$F13&gt;0,A5_Chem_Look_Up!B13," ")</f>
        <v xml:space="preserve"> </v>
      </c>
      <c r="C19" s="1603" t="str">
        <f>IF(A5_Chem_Look_Up!$F13&gt;0,A5_Chem_Look_Up!C13," ")</f>
        <v xml:space="preserve"> </v>
      </c>
      <c r="D19" s="1601">
        <f>IF(A5_Chem_Look_Up!$F13&gt;0,A5_Chem_Look_Up!D13,0)</f>
        <v>0</v>
      </c>
      <c r="E19" s="1586">
        <f>IF(A5_Chem_Look_Up!$F13&gt;0,A5_Chem_Look_Up!E13,0)</f>
        <v>0</v>
      </c>
      <c r="F19" s="1587">
        <f t="shared" si="0"/>
        <v>0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80.849609375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Admire Pro, furrow</v>
      </c>
      <c r="B30" s="1602" t="str">
        <f>IF(A5_Chem_Look_Up!$F24&gt;0,A5_Chem_Look_Up!B24," ")</f>
        <v>In-furrow</v>
      </c>
      <c r="C30" s="1603" t="str">
        <f>IF(A5_Chem_Look_Up!$F24&gt;0,A5_Chem_Look_Up!C24," ")</f>
        <v>oz</v>
      </c>
      <c r="D30" s="1601">
        <f>IF(A5_Chem_Look_Up!$F24&gt;0,A5_Chem_Look_Up!D24,0)</f>
        <v>2.56</v>
      </c>
      <c r="E30" s="1586">
        <f>IF(A5_Chem_Look_Up!$F24&gt;0,A5_Chem_Look_Up!E24,0)</f>
        <v>9</v>
      </c>
      <c r="F30" s="1587">
        <f t="shared" ref="F30:F39" si="1">D30*E30</f>
        <v>23.04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23.04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Nematicide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 xml:space="preserve"> </v>
      </c>
      <c r="B44" s="1602" t="str">
        <f>IF(A5_Chem_Look_Up!$F38&gt;0,A5_Chem_Look_Up!B38," ")</f>
        <v xml:space="preserve"> </v>
      </c>
      <c r="C44" s="1605" t="str">
        <f>IF(A5_Chem_Look_Up!$F38&gt;0,A5_Chem_Look_Up!C38," ")</f>
        <v xml:space="preserve"> </v>
      </c>
      <c r="D44" s="1601">
        <f>IF(A5_Chem_Look_Up!$F38&gt;0,A5_Chem_Look_Up!D38,0)</f>
        <v>0</v>
      </c>
      <c r="E44" s="1586">
        <f>IF(A5_Chem_Look_Up!$F38&gt;0,A5_Chem_Look_Up!E38,0)</f>
        <v>0</v>
      </c>
      <c r="F44" s="1587">
        <f>D44*E44</f>
        <v>0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0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Fungicide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>Musle ADV</v>
      </c>
      <c r="B50" s="1602" t="str">
        <f>IF(A5_Chem_Look_Up!$F44&gt;0,A5_Chem_Look_Up!B44," ")</f>
        <v/>
      </c>
      <c r="C50" s="1605" t="str">
        <f>IF(A5_Chem_Look_Up!$F44&gt;0,A5_Chem_Look_Up!C44," ")</f>
        <v>pt</v>
      </c>
      <c r="D50" s="1601">
        <f>IF(A5_Chem_Look_Up!$F44&gt;0,A5_Chem_Look_Up!D44,0)</f>
        <v>4.4937500000000004</v>
      </c>
      <c r="E50" s="1586">
        <f>IF(A5_Chem_Look_Up!$F44&gt;0,A5_Chem_Look_Up!E44,0)</f>
        <v>2</v>
      </c>
      <c r="F50" s="1587">
        <f t="shared" ref="F50:F56" si="2">D50*E50</f>
        <v>8.9875000000000007</v>
      </c>
      <c r="G50" s="20"/>
    </row>
    <row r="51" spans="1:7" ht="12.95" customHeight="1" x14ac:dyDescent="0.35">
      <c r="A51" s="1584" t="str">
        <f>IF(A5_Chem_Look_Up!$F45&gt;0,A5_Chem_Look_Up!A45," ")</f>
        <v>Convoy</v>
      </c>
      <c r="B51" s="1602" t="str">
        <f>IF(A5_Chem_Look_Up!$F45&gt;0,A5_Chem_Look_Up!B45," ")</f>
        <v/>
      </c>
      <c r="C51" s="1605" t="str">
        <f>IF(A5_Chem_Look_Up!$F45&gt;0,A5_Chem_Look_Up!C45," ")</f>
        <v>oz</v>
      </c>
      <c r="D51" s="1601">
        <f>IF(A5_Chem_Look_Up!$F45&gt;0,A5_Chem_Look_Up!D45,0)</f>
        <v>23.04</v>
      </c>
      <c r="E51" s="1586">
        <f>IF(A5_Chem_Look_Up!$F45&gt;0,A5_Chem_Look_Up!E45,0)</f>
        <v>1.5</v>
      </c>
      <c r="F51" s="1587">
        <f t="shared" si="2"/>
        <v>34.56</v>
      </c>
      <c r="G51" s="20"/>
    </row>
    <row r="52" spans="1:7" ht="12.95" customHeight="1" x14ac:dyDescent="0.35">
      <c r="A52" s="1584" t="str">
        <f>IF(A5_Chem_Look_Up!$F46&gt;0,A5_Chem_Look_Up!A46," ")</f>
        <v>Musle ADV</v>
      </c>
      <c r="B52" s="1602" t="str">
        <f>IF(A5_Chem_Look_Up!$F46&gt;0,A5_Chem_Look_Up!B46," ")</f>
        <v/>
      </c>
      <c r="C52" s="1605" t="str">
        <f>IF(A5_Chem_Look_Up!$F46&gt;0,A5_Chem_Look_Up!C46," ")</f>
        <v>pt</v>
      </c>
      <c r="D52" s="1601">
        <f>IF(A5_Chem_Look_Up!$F46&gt;0,A5_Chem_Look_Up!D46,0)</f>
        <v>4.4937500000000004</v>
      </c>
      <c r="E52" s="1586">
        <f>IF(A5_Chem_Look_Up!$F46&gt;0,A5_Chem_Look_Up!E46,0)</f>
        <v>2</v>
      </c>
      <c r="F52" s="1587">
        <f t="shared" si="2"/>
        <v>8.9875000000000007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52.534999999999997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>Optimize LIFT</v>
      </c>
      <c r="B61" s="1602" t="str">
        <f>IF(A5_Chem_Look_Up!$F55&gt;0,A5_Chem_Look_Up!B55," ")</f>
        <v>Innoculant, In-furrow</v>
      </c>
      <c r="C61" s="1605" t="str">
        <f>IF(A5_Chem_Look_Up!$F55&gt;0,A5_Chem_Look_Up!C55," ")</f>
        <v>oz</v>
      </c>
      <c r="D61" s="1601">
        <f>IF(A5_Chem_Look_Up!$F55&gt;0,A5_Chem_Look_Up!D55,0)</f>
        <v>0.15</v>
      </c>
      <c r="E61" s="1586">
        <f>IF(A5_Chem_Look_Up!$F55&gt;0,A5_Chem_Look_Up!E55,0)</f>
        <v>8</v>
      </c>
      <c r="F61" s="1587">
        <f t="shared" ref="F61:F67" si="3">D61*E61</f>
        <v>1.2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1.2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topLeftCell="A37" workbookViewId="0">
      <selection activeCell="B15" sqref="B15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2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13.349645037794716</v>
      </c>
      <c r="L6" s="1517">
        <f>IF(AND(Budget!$B$3=1,Budget!$E$44=0),1,0)</f>
        <v>1</v>
      </c>
      <c r="M6" s="560">
        <v>1</v>
      </c>
      <c r="N6" s="869">
        <f>'C2_Irrigation_Calculations'!K6*Budget!D$30</f>
        <v>2.0307692307692307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0</v>
      </c>
      <c r="L7" s="1517">
        <v>1</v>
      </c>
      <c r="M7" s="560">
        <v>1</v>
      </c>
      <c r="N7" s="869">
        <f>'C2_Irrigation_Calculations'!K7*Budget!D$30</f>
        <v>0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21.68710516594469</v>
      </c>
      <c r="L8" s="1517">
        <v>1</v>
      </c>
      <c r="M8" s="560">
        <v>1</v>
      </c>
      <c r="N8" s="869">
        <f>'C2_Irrigation_Calculations'!K8*Budget!D$30</f>
        <v>3.2990769230769232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60.170048093099332</v>
      </c>
      <c r="L9" s="1517">
        <f>IF(AND(Budget!$B$3=1,Budget!$E$44=0),1,0)</f>
        <v>1</v>
      </c>
      <c r="M9" s="560">
        <v>1</v>
      </c>
      <c r="N9" s="869">
        <f>'C2_Irrigation_Calculations'!K9*Budget!D$30</f>
        <v>5.1226153846153846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102.13167801671182</v>
      </c>
      <c r="L10" s="1384"/>
      <c r="M10" s="1329" t="s">
        <v>768</v>
      </c>
      <c r="N10" s="870">
        <f>SUM(N4:N9)</f>
        <v>10.452461538461538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130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13717.308142172536</v>
      </c>
      <c r="F38" s="926">
        <f>(SUM(Trips!B30:B31)+SUM(Trips!B33:B37))*IF(B2=2,I15,I14)</f>
        <v>0</v>
      </c>
      <c r="G38" s="927">
        <f t="shared" ref="G38:G43" si="0">SUM(E38:F38)</f>
        <v>13717.308142172536</v>
      </c>
    </row>
    <row r="39" spans="4:7" ht="13.9" x14ac:dyDescent="0.4">
      <c r="D39" s="863" t="s">
        <v>243</v>
      </c>
      <c r="E39" s="926">
        <f>Trips!C76*IF(B2=2,I15,I14)</f>
        <v>1358.8200000000002</v>
      </c>
      <c r="F39" s="926">
        <f>(SUM(Trips!C30:C31)+SUM(Trips!C33:C37))*IF(B2=2,I15,I14)</f>
        <v>0</v>
      </c>
      <c r="G39" s="927">
        <f t="shared" si="0"/>
        <v>1358.8200000000002</v>
      </c>
    </row>
    <row r="40" spans="4:7" ht="13.9" x14ac:dyDescent="0.4">
      <c r="D40" s="863" t="s">
        <v>616</v>
      </c>
      <c r="E40" s="926">
        <f>Trips!D76*IF(B2=2,I15,I14)</f>
        <v>7836.8871578947374</v>
      </c>
      <c r="F40" s="926">
        <f>(SUM(Trips!D30:D31)+SUM(Trips!D33:D37))*IF(B2=2,I15,I14)</f>
        <v>0</v>
      </c>
      <c r="G40" s="927">
        <f t="shared" si="0"/>
        <v>7836.8871578947374</v>
      </c>
    </row>
    <row r="41" spans="4:7" ht="13.9" x14ac:dyDescent="0.4">
      <c r="D41" s="863" t="s">
        <v>55</v>
      </c>
      <c r="E41" s="926">
        <f>Trips!E76*IF(B2=2,I15,I14)</f>
        <v>181.33439999999999</v>
      </c>
      <c r="F41" s="926">
        <f>(SUM(Trips!E30:E31)+SUM(Trips!E33:E37))*IF(B2=2,I15,I14)</f>
        <v>0</v>
      </c>
      <c r="G41" s="927">
        <f t="shared" si="0"/>
        <v>181.33439999999999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0</v>
      </c>
      <c r="G43" s="927">
        <f t="shared" si="0"/>
        <v>0</v>
      </c>
    </row>
    <row r="44" spans="4:7" ht="13.9" thickBot="1" x14ac:dyDescent="0.4">
      <c r="D44" s="504" t="s">
        <v>22</v>
      </c>
      <c r="E44" s="928">
        <f>SUM(E38:E43)</f>
        <v>23094.349700067272</v>
      </c>
      <c r="F44" s="928">
        <f>SUM(F38:F43)</f>
        <v>0</v>
      </c>
      <c r="G44" s="929">
        <f>SUM(G38:G43)</f>
        <v>23094.349700067272</v>
      </c>
    </row>
    <row r="45" spans="4:7" ht="13.9" x14ac:dyDescent="0.4">
      <c r="D45" s="922" t="s">
        <v>631</v>
      </c>
      <c r="E45" s="935">
        <f>IF(B2&lt;3,Budget!D29,0)</f>
        <v>12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105.51775493978874</v>
      </c>
      <c r="F48" s="82">
        <f t="shared" si="1"/>
        <v>0</v>
      </c>
      <c r="G48" s="934">
        <f t="shared" si="1"/>
        <v>105.51775493978874</v>
      </c>
    </row>
    <row r="49" spans="4:7" ht="13.9" x14ac:dyDescent="0.4">
      <c r="D49" s="863" t="s">
        <v>243</v>
      </c>
      <c r="E49" s="82">
        <f t="shared" si="1"/>
        <v>10.45246153846154</v>
      </c>
      <c r="F49" s="82">
        <f t="shared" si="1"/>
        <v>0</v>
      </c>
      <c r="G49" s="934">
        <f t="shared" si="1"/>
        <v>10.45246153846154</v>
      </c>
    </row>
    <row r="50" spans="4:7" ht="13.9" x14ac:dyDescent="0.4">
      <c r="D50" s="863" t="s">
        <v>616</v>
      </c>
      <c r="E50" s="82">
        <f t="shared" si="1"/>
        <v>60.283747368421054</v>
      </c>
      <c r="F50" s="82">
        <f t="shared" si="1"/>
        <v>0</v>
      </c>
      <c r="G50" s="934">
        <f t="shared" si="1"/>
        <v>60.283747368421054</v>
      </c>
    </row>
    <row r="51" spans="4:7" ht="13.9" x14ac:dyDescent="0.4">
      <c r="D51" s="863" t="s">
        <v>55</v>
      </c>
      <c r="E51" s="82">
        <f t="shared" si="1"/>
        <v>1.3948799999999999</v>
      </c>
      <c r="F51" s="82">
        <f t="shared" si="1"/>
        <v>0</v>
      </c>
      <c r="G51" s="934">
        <f t="shared" si="1"/>
        <v>1.3948799999999999</v>
      </c>
    </row>
    <row r="52" spans="4:7" ht="13.9" x14ac:dyDescent="0.4">
      <c r="D52" s="863" t="s">
        <v>626</v>
      </c>
      <c r="E52" s="82">
        <f t="shared" si="1"/>
        <v>0</v>
      </c>
      <c r="F52" s="82">
        <f t="shared" si="1"/>
        <v>0</v>
      </c>
      <c r="G52" s="934">
        <f t="shared" si="1"/>
        <v>0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</v>
      </c>
      <c r="G53" s="934">
        <f t="shared" si="1"/>
        <v>0</v>
      </c>
    </row>
    <row r="54" spans="4:7" ht="13.9" thickBot="1" x14ac:dyDescent="0.4">
      <c r="D54" s="504" t="s">
        <v>22</v>
      </c>
      <c r="E54" s="864">
        <f t="shared" si="1"/>
        <v>177.64884384667133</v>
      </c>
      <c r="F54" s="864">
        <f t="shared" si="1"/>
        <v>0</v>
      </c>
      <c r="G54" s="870">
        <f t="shared" si="1"/>
        <v>177.64884384667133</v>
      </c>
    </row>
    <row r="55" spans="4:7" ht="13.9" x14ac:dyDescent="0.4">
      <c r="D55" s="922" t="s">
        <v>632</v>
      </c>
      <c r="E55" s="935">
        <f>E34</f>
        <v>130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1143.1090118477114</v>
      </c>
      <c r="F58" s="82">
        <f>IF(Budget!$D$29&gt;0,F38/Budget!$D$29,)</f>
        <v>0</v>
      </c>
      <c r="G58" s="934">
        <f>IF(Budget!$D$29&gt;0,G38/Budget!$D$29,)</f>
        <v>1143.1090118477114</v>
      </c>
    </row>
    <row r="59" spans="4:7" ht="13.9" x14ac:dyDescent="0.4">
      <c r="D59" s="863" t="s">
        <v>243</v>
      </c>
      <c r="E59" s="82">
        <f>IF(Budget!$D$29&gt;0,E39/Budget!$D$29,)</f>
        <v>113.23500000000001</v>
      </c>
      <c r="F59" s="82">
        <f>IF(Budget!$D$29&gt;0,F39/Budget!$D$29,)</f>
        <v>0</v>
      </c>
      <c r="G59" s="934">
        <f>IF(Budget!$D$29&gt;0,G39/Budget!$D$29,)</f>
        <v>113.23500000000001</v>
      </c>
    </row>
    <row r="60" spans="4:7" ht="13.9" x14ac:dyDescent="0.4">
      <c r="D60" s="863" t="s">
        <v>616</v>
      </c>
      <c r="E60" s="82">
        <f>IF(Budget!$D$29&gt;0,E40/Budget!$D$29,)</f>
        <v>653.07392982456145</v>
      </c>
      <c r="F60" s="82">
        <f>IF(Budget!$D$29&gt;0,F40/Budget!$D$29,)</f>
        <v>0</v>
      </c>
      <c r="G60" s="934">
        <f>IF(Budget!$D$29&gt;0,G40/Budget!$D$29,)</f>
        <v>653.07392982456145</v>
      </c>
    </row>
    <row r="61" spans="4:7" ht="13.9" x14ac:dyDescent="0.4">
      <c r="D61" s="863" t="s">
        <v>55</v>
      </c>
      <c r="E61" s="82">
        <f>IF(Budget!$D$29&gt;0,E41/Budget!$D$29,)</f>
        <v>15.111199999999998</v>
      </c>
      <c r="F61" s="82">
        <f>IF(Budget!$D$29&gt;0,F41/Budget!$D$29,)</f>
        <v>0</v>
      </c>
      <c r="G61" s="934">
        <f>IF(Budget!$D$29&gt;0,G41/Budget!$D$29,)</f>
        <v>15.111199999999998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0</v>
      </c>
      <c r="G63" s="934">
        <f>IF(Budget!$D$29&gt;0,G43/Budget!$D$29,)</f>
        <v>0</v>
      </c>
    </row>
    <row r="64" spans="4:7" ht="13.9" thickBot="1" x14ac:dyDescent="0.4">
      <c r="D64" s="504" t="s">
        <v>22</v>
      </c>
      <c r="E64" s="864">
        <f>IF(Budget!$D$29&gt;0,E44/Budget!$D$29,)</f>
        <v>1924.5291416722728</v>
      </c>
      <c r="F64" s="864">
        <f>IF(Budget!$D$29&gt;0,F44/Budget!$D$29,)</f>
        <v>0</v>
      </c>
      <c r="G64" s="870">
        <f>IF(Budget!$D$29&gt;0,G44/Budget!$D$29,)</f>
        <v>1924.5291416722728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>
        <f>IF(A2_Budget_Look_Up!B10&lt;1,IF(B2&lt;3,((G67*G68*IF(B2=2,I15,I14))-G44),"NA"),"NA")</f>
        <v>8105.6502999327276</v>
      </c>
    </row>
    <row r="70" spans="4:7" ht="14.25" thickBot="1" x14ac:dyDescent="0.45">
      <c r="D70" s="185" t="s">
        <v>622</v>
      </c>
      <c r="E70" s="186"/>
      <c r="F70" s="186"/>
      <c r="G70" s="1936">
        <f>IF(A2_Budget_Look_Up!B10&lt;1,IF(B2&lt;3,((G67*G68)-G54),"NA"),"NA")</f>
        <v>62.351156153328674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topLeftCell="A32" zoomScaleNormal="100" workbookViewId="0">
      <selection activeCell="B43" sqref="B43"/>
    </sheetView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1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1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0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1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0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1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0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0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0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0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1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1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0</v>
      </c>
      <c r="C69" s="149">
        <f>A6_Machine_Look_Up!B69</f>
        <v>413700</v>
      </c>
      <c r="D69" s="1945">
        <f>A6_Machine_Look_Up!C69</f>
        <v>1</v>
      </c>
      <c r="E69" s="1971">
        <f>A6_Machine_Look_Up!D69</f>
        <v>1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0</v>
      </c>
      <c r="C74" s="149">
        <f>A6_Machine_Look_Up!B74</f>
        <v>58400</v>
      </c>
      <c r="D74" s="1945">
        <f>A6_Machine_Look_Up!C74</f>
        <v>1</v>
      </c>
      <c r="E74" s="1971">
        <f>A6_Machine_Look_Up!D74</f>
        <v>1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1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1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workbookViewId="0"/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9.4422843036533273</v>
      </c>
      <c r="C5" s="48">
        <f>Z1_Equipment_Calculations!AC15+Z1_Equipment_Calculations!AF15</f>
        <v>1.3555049775833119</v>
      </c>
      <c r="D5" s="48">
        <f>Z1_Equipment_Calculations!AJ15</f>
        <v>2.7502588235294114</v>
      </c>
      <c r="E5" s="48">
        <f>Z1_Equipment_Calculations!AM15</f>
        <v>1.4666752941176471</v>
      </c>
      <c r="F5" s="53">
        <f>SUM(B5:E5)</f>
        <v>15.014723398883696</v>
      </c>
      <c r="G5" s="62">
        <f>IF(Machine!$B15&gt;0,B5/Machine!$B15," ")</f>
        <v>9.4422843036533273</v>
      </c>
      <c r="H5" s="48">
        <f>IF(Machine!$B15&gt;0,C5/Machine!$B15," ")</f>
        <v>1.3555049775833119</v>
      </c>
      <c r="I5" s="48">
        <f>IF(Machine!$B15&gt;0,D5/Machine!$B15," ")</f>
        <v>2.7502588235294114</v>
      </c>
      <c r="J5" s="48">
        <f>IF(Machine!$B15&gt;0,E5/Machine!$B15," ")</f>
        <v>1.4666752941176471</v>
      </c>
      <c r="K5" s="53">
        <f>IF(Machine!$B15&gt;0,F5/Machine!$B15," ")</f>
        <v>15.014723398883696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7.8838877630223569</v>
      </c>
      <c r="C10" s="48">
        <f>Z1_Equipment_Calculations!AC20+Z1_Equipment_Calculations!AF20</f>
        <v>1.0494634514671393</v>
      </c>
      <c r="D10" s="48">
        <f>Z1_Equipment_Calculations!AJ20</f>
        <v>1.708859649122807</v>
      </c>
      <c r="E10" s="48">
        <f>Z1_Equipment_Calculations!AM20</f>
        <v>0.91131140350877193</v>
      </c>
      <c r="F10" s="53">
        <f t="shared" si="0"/>
        <v>11.553522267121076</v>
      </c>
      <c r="G10" s="62">
        <f>IF(Machine!$B20&gt;0,B10/Machine!$B20," ")</f>
        <v>7.8838877630223569</v>
      </c>
      <c r="H10" s="48">
        <f>IF(Machine!$B20&gt;0,C10/Machine!$B20," ")</f>
        <v>1.0494634514671393</v>
      </c>
      <c r="I10" s="48">
        <f>IF(Machine!$B20&gt;0,D10/Machine!$B20," ")</f>
        <v>1.708859649122807</v>
      </c>
      <c r="J10" s="48">
        <f>IF(Machine!$B20&gt;0,E10/Machine!$B20," ")</f>
        <v>0.91131140350877193</v>
      </c>
      <c r="K10" s="53">
        <f>IF(Machine!$B20&gt;0,F10/Machine!$B20," ")</f>
        <v>11.553522267121076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</v>
      </c>
      <c r="C15" s="48">
        <f>Z1_Equipment_Calculations!AC25+Z1_Equipment_Calculations!AF25</f>
        <v>0</v>
      </c>
      <c r="D15" s="48">
        <f>Z1_Equipment_Calculations!AJ25</f>
        <v>0</v>
      </c>
      <c r="E15" s="48">
        <f>Z1_Equipment_Calculations!AM25</f>
        <v>0</v>
      </c>
      <c r="F15" s="53">
        <f t="shared" si="0"/>
        <v>0</v>
      </c>
      <c r="G15" s="62" t="str">
        <f>IF(Machine!$B25&gt;0,B15/Machine!$B25," ")</f>
        <v xml:space="preserve"> </v>
      </c>
      <c r="H15" s="48" t="str">
        <f>IF(Machine!$B25&gt;0,C15/Machine!$B25," ")</f>
        <v xml:space="preserve"> </v>
      </c>
      <c r="I15" s="48" t="str">
        <f>IF(Machine!$B25&gt;0,D15/Machine!$B25," ")</f>
        <v xml:space="preserve"> </v>
      </c>
      <c r="J15" s="48" t="str">
        <f>IF(Machine!$B25&gt;0,E15/Machine!$B25," ")</f>
        <v xml:space="preserve"> </v>
      </c>
      <c r="K15" s="53" t="str">
        <f>IF(Machine!$B25&gt;0,F15/Machine!$B25," ")</f>
        <v xml:space="preserve"> 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4.6543890672290615</v>
      </c>
      <c r="C18" s="48">
        <f>Z1_Equipment_Calculations!AC28+Z1_Equipment_Calculations!AF28</f>
        <v>0.80766507546005373</v>
      </c>
      <c r="D18" s="48">
        <f>Z1_Equipment_Calculations!AJ28</f>
        <v>0.93546218487394939</v>
      </c>
      <c r="E18" s="48">
        <f>Z1_Equipment_Calculations!AM28</f>
        <v>0.49886914765906354</v>
      </c>
      <c r="F18" s="53">
        <f t="shared" si="0"/>
        <v>6.8963854752221279</v>
      </c>
      <c r="G18" s="62">
        <f>IF(Machine!$B28&gt;0,B18/Machine!$B28," ")</f>
        <v>4.6543890672290615</v>
      </c>
      <c r="H18" s="48">
        <f>IF(Machine!$B28&gt;0,C18/Machine!$B28," ")</f>
        <v>0.80766507546005373</v>
      </c>
      <c r="I18" s="48">
        <f>IF(Machine!$B28&gt;0,D18/Machine!$B28," ")</f>
        <v>0.93546218487394939</v>
      </c>
      <c r="J18" s="48">
        <f>IF(Machine!$B28&gt;0,E18/Machine!$B28," ")</f>
        <v>0.49886914765906354</v>
      </c>
      <c r="K18" s="53">
        <f>IF(Machine!$B28&gt;0,F18/Machine!$B28," ")</f>
        <v>6.8963854752221279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0</v>
      </c>
      <c r="C22" s="48">
        <f>Z1_Equipment_Calculations!AC32+Z1_Equipment_Calculations!AF32</f>
        <v>0</v>
      </c>
      <c r="D22" s="48">
        <f>Z1_Equipment_Calculations!AJ32</f>
        <v>0</v>
      </c>
      <c r="E22" s="48">
        <f>Z1_Equipment_Calculations!AM32</f>
        <v>0</v>
      </c>
      <c r="F22" s="53">
        <f t="shared" si="1"/>
        <v>0</v>
      </c>
      <c r="G22" s="62" t="str">
        <f>IF(Machine!$B32&gt;0,B22/Machine!$B32," ")</f>
        <v xml:space="preserve"> </v>
      </c>
      <c r="H22" s="48" t="str">
        <f>IF(Machine!$B32&gt;0,C22/Machine!$B32," ")</f>
        <v xml:space="preserve"> </v>
      </c>
      <c r="I22" s="48" t="str">
        <f>IF(Machine!$B32&gt;0,D22/Machine!$B32," ")</f>
        <v xml:space="preserve"> </v>
      </c>
      <c r="J22" s="48" t="str">
        <f>IF(Machine!$B32&gt;0,E22/Machine!$B32," ")</f>
        <v xml:space="preserve"> </v>
      </c>
      <c r="K22" s="53" t="str">
        <f>IF(Machine!$B32&gt;0,F22/Machine!$B32," ")</f>
        <v xml:space="preserve"> 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8.3809010451777848</v>
      </c>
      <c r="C25" s="48">
        <f>Z1_Equipment_Calculations!AC35+Z1_Equipment_Calculations!AF35</f>
        <v>2.2480540085864007</v>
      </c>
      <c r="D25" s="48">
        <f>Z1_Equipment_Calculations!AJ35</f>
        <v>1.3373684210526315</v>
      </c>
      <c r="E25" s="48">
        <f>Z1_Equipment_Calculations!AM35</f>
        <v>0.93827327935222649</v>
      </c>
      <c r="F25" s="53">
        <f t="shared" si="1"/>
        <v>12.904596754169045</v>
      </c>
      <c r="G25" s="62">
        <f>IF(Machine!$B35&gt;0,B25/Machine!$B35," ")</f>
        <v>8.3809010451777848</v>
      </c>
      <c r="H25" s="48">
        <f>IF(Machine!$B35&gt;0,C25/Machine!$B35," ")</f>
        <v>2.2480540085864007</v>
      </c>
      <c r="I25" s="48">
        <f>IF(Machine!$B35&gt;0,D25/Machine!$B35," ")</f>
        <v>1.3373684210526315</v>
      </c>
      <c r="J25" s="48">
        <f>IF(Machine!$B35&gt;0,E25/Machine!$B35," ")</f>
        <v>0.93827327935222649</v>
      </c>
      <c r="K25" s="53">
        <f>IF(Machine!$B35&gt;0,F25/Machine!$B35," ")</f>
        <v>12.904596754169045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0</v>
      </c>
      <c r="C27" s="48">
        <f>Z1_Equipment_Calculations!AC37+Z1_Equipment_Calculations!AF37</f>
        <v>0</v>
      </c>
      <c r="D27" s="48">
        <f>Z1_Equipment_Calculations!AJ37</f>
        <v>0</v>
      </c>
      <c r="E27" s="48">
        <f>Z1_Equipment_Calculations!AM37</f>
        <v>0</v>
      </c>
      <c r="F27" s="53">
        <f t="shared" si="1"/>
        <v>0</v>
      </c>
      <c r="G27" s="62" t="str">
        <f>IF(Machine!$B37&gt;0,B27/Machine!$B37," ")</f>
        <v xml:space="preserve"> </v>
      </c>
      <c r="H27" s="48" t="str">
        <f>IF(Machine!$B37&gt;0,C27/Machine!$B37," ")</f>
        <v xml:space="preserve"> </v>
      </c>
      <c r="I27" s="48" t="str">
        <f>IF(Machine!$B37&gt;0,D27/Machine!$B37," ")</f>
        <v xml:space="preserve"> </v>
      </c>
      <c r="J27" s="48" t="str">
        <f>IF(Machine!$B37&gt;0,E27/Machine!$B37," ")</f>
        <v xml:space="preserve"> </v>
      </c>
      <c r="K27" s="53" t="str">
        <f>IF(Machine!$B37&gt;0,F27/Machine!$B37," ")</f>
        <v xml:space="preserve"> 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0</v>
      </c>
      <c r="C33" s="48">
        <f>Z1_Equipment_Calculations!AC43+Z1_Equipment_Calculations!AF43</f>
        <v>0</v>
      </c>
      <c r="D33" s="48">
        <f>Z1_Equipment_Calculations!AJ43</f>
        <v>0</v>
      </c>
      <c r="E33" s="48">
        <f>Z1_Equipment_Calculations!AM43</f>
        <v>0</v>
      </c>
      <c r="F33" s="53">
        <f t="shared" si="1"/>
        <v>0</v>
      </c>
      <c r="G33" s="62" t="str">
        <f>IF(Machine!$B43&gt;0,B33/Machine!$B43," ")</f>
        <v xml:space="preserve"> </v>
      </c>
      <c r="H33" s="48" t="str">
        <f>IF(Machine!$B43&gt;0,C33/Machine!$B43," ")</f>
        <v xml:space="preserve"> </v>
      </c>
      <c r="I33" s="48" t="str">
        <f>IF(Machine!$B43&gt;0,D33/Machine!$B43," ")</f>
        <v xml:space="preserve"> </v>
      </c>
      <c r="J33" s="48" t="str">
        <f>IF(Machine!$B43&gt;0,E33/Machine!$B43," ")</f>
        <v xml:space="preserve"> </v>
      </c>
      <c r="K33" s="53" t="str">
        <f>IF(Machine!$B43&gt;0,F33/Machine!$B43," ")</f>
        <v xml:space="preserve"> 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0</v>
      </c>
      <c r="C36" s="48">
        <f>Z1_Equipment_Calculations!AC46+Z1_Equipment_Calculations!AF46</f>
        <v>0</v>
      </c>
      <c r="D36" s="48">
        <f>Z1_Equipment_Calculations!AJ46</f>
        <v>0</v>
      </c>
      <c r="E36" s="48">
        <f>Z1_Equipment_Calculations!AM46</f>
        <v>0</v>
      </c>
      <c r="F36" s="53">
        <f t="shared" si="1"/>
        <v>0</v>
      </c>
      <c r="G36" s="62" t="str">
        <f>IF(Machine!$B46&gt;0,B36/Machine!$B46," ")</f>
        <v xml:space="preserve"> </v>
      </c>
      <c r="H36" s="48" t="str">
        <f>IF(Machine!$B46&gt;0,C36/Machine!$B46," ")</f>
        <v xml:space="preserve"> </v>
      </c>
      <c r="I36" s="48" t="str">
        <f>IF(Machine!$B46&gt;0,D36/Machine!$B46," ")</f>
        <v xml:space="preserve"> </v>
      </c>
      <c r="J36" s="48" t="str">
        <f>IF(Machine!$B46&gt;0,E36/Machine!$B46," ")</f>
        <v xml:space="preserve"> </v>
      </c>
      <c r="K36" s="53" t="str">
        <f>IF(Machine!$B46&gt;0,F36/Machine!$B46," ")</f>
        <v xml:space="preserve"> 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0</v>
      </c>
      <c r="C37" s="48">
        <f>Z1_Equipment_Calculations!AC47+Z1_Equipment_Calculations!AF47</f>
        <v>0</v>
      </c>
      <c r="D37" s="48">
        <f>Z1_Equipment_Calculations!AJ47</f>
        <v>0</v>
      </c>
      <c r="E37" s="48">
        <f>Z1_Equipment_Calculations!AM47</f>
        <v>0</v>
      </c>
      <c r="F37" s="53">
        <f t="shared" si="1"/>
        <v>0</v>
      </c>
      <c r="G37" s="62" t="str">
        <f>IF(Machine!$B47&gt;0,B37/Machine!$B47," ")</f>
        <v xml:space="preserve"> </v>
      </c>
      <c r="H37" s="48" t="str">
        <f>IF(Machine!$B47&gt;0,C37/Machine!$B47," ")</f>
        <v xml:space="preserve"> </v>
      </c>
      <c r="I37" s="48" t="str">
        <f>IF(Machine!$B47&gt;0,D37/Machine!$B47," ")</f>
        <v xml:space="preserve"> </v>
      </c>
      <c r="J37" s="48" t="str">
        <f>IF(Machine!$B47&gt;0,E37/Machine!$B47," ")</f>
        <v xml:space="preserve"> </v>
      </c>
      <c r="K37" s="53" t="str">
        <f>IF(Machine!$B47&gt;0,F37/Machine!$B47," ")</f>
        <v xml:space="preserve"> 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23.093762672909151</v>
      </c>
      <c r="C38" s="48">
        <f>Z1_Equipment_Calculations!AC48+Z1_Equipment_Calculations!AF48</f>
        <v>4.7996684343448628</v>
      </c>
      <c r="D38" s="48">
        <f>Z1_Equipment_Calculations!AJ48</f>
        <v>5.3494736842105262</v>
      </c>
      <c r="E38" s="48">
        <f>Z1_Equipment_Calculations!AM48</f>
        <v>3.3648421052631576</v>
      </c>
      <c r="F38" s="53">
        <f>SUM(B38:E38)</f>
        <v>36.607746896727697</v>
      </c>
      <c r="G38" s="62">
        <f>IF(Machine!$B48&gt;0,B38/Machine!$B48," ")</f>
        <v>23.093762672909151</v>
      </c>
      <c r="H38" s="48">
        <f>IF(Machine!$B48&gt;0,C38/Machine!$B48," ")</f>
        <v>4.7996684343448628</v>
      </c>
      <c r="I38" s="48">
        <f>IF(Machine!$B48&gt;0,D38/Machine!$B48," ")</f>
        <v>5.3494736842105262</v>
      </c>
      <c r="J38" s="48">
        <f>IF(Machine!$B48&gt;0,E38/Machine!$B48," ")</f>
        <v>3.3648421052631576</v>
      </c>
      <c r="K38" s="53">
        <f>IF(Machine!$B48&gt;0,F38/Machine!$B48," ")</f>
        <v>36.607746896727697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17.056501978570946</v>
      </c>
      <c r="C39" s="48">
        <f>Z1_Equipment_Calculations!AC49+Z1_Equipment_Calculations!AF49</f>
        <v>2.4652239477406273</v>
      </c>
      <c r="D39" s="48">
        <f>Z1_Equipment_Calculations!AJ49</f>
        <v>5.3494736842105262</v>
      </c>
      <c r="E39" s="48">
        <f>Z1_Equipment_Calculations!AM49</f>
        <v>3.3648421052631576</v>
      </c>
      <c r="F39" s="53">
        <f>SUM(B39:E39)</f>
        <v>28.236041715785259</v>
      </c>
      <c r="G39" s="62">
        <f>IF(Machine!$B49&gt;0,B39/Machine!$B49," ")</f>
        <v>17.056501978570946</v>
      </c>
      <c r="H39" s="48">
        <f>IF(Machine!$B49&gt;0,C39/Machine!$B49," ")</f>
        <v>2.4652239477406273</v>
      </c>
      <c r="I39" s="48">
        <f>IF(Machine!$B49&gt;0,D39/Machine!$B49," ")</f>
        <v>5.3494736842105262</v>
      </c>
      <c r="J39" s="48">
        <f>IF(Machine!$B49&gt;0,E39/Machine!$B49," ")</f>
        <v>3.3648421052631576</v>
      </c>
      <c r="K39" s="53">
        <f>IF(Machine!$B49&gt;0,F39/Machine!$B49," ")</f>
        <v>28.236041715785259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78.784659193842657</v>
      </c>
      <c r="C45" s="77">
        <f>SUM(C4:C44)</f>
        <v>13.889370802067736</v>
      </c>
      <c r="D45" s="77">
        <f>SUM(D4:D44)</f>
        <v>18.993543505823382</v>
      </c>
      <c r="E45" s="77">
        <f>SUM(E4:E44)</f>
        <v>11.378151570458142</v>
      </c>
      <c r="F45" s="77">
        <f>SUM(F4:F44)</f>
        <v>123.04572507219191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0</v>
      </c>
      <c r="C59" s="75">
        <f>Z1_Equipment_Calculations!AC69+Z1_Equipment_Calculations!AF69</f>
        <v>0</v>
      </c>
      <c r="D59" s="75">
        <f>Z1_Equipment_Calculations!AJ69</f>
        <v>0</v>
      </c>
      <c r="E59" s="75">
        <f>Z1_Equipment_Calculations!AM69</f>
        <v>0</v>
      </c>
      <c r="F59" s="75">
        <f t="shared" si="2"/>
        <v>0</v>
      </c>
      <c r="G59" s="74" t="str">
        <f>IF(Machine!$B69&gt;0,B59/Machine!$B69," ")</f>
        <v xml:space="preserve"> </v>
      </c>
      <c r="H59" s="75" t="str">
        <f>IF(Machine!$B69&gt;0,C59/Machine!$B69," ")</f>
        <v xml:space="preserve"> </v>
      </c>
      <c r="I59" s="75" t="str">
        <f>IF(Machine!$B69&gt;0,D59/Machine!$B69," ")</f>
        <v xml:space="preserve"> </v>
      </c>
      <c r="J59" s="75" t="str">
        <f>IF(Machine!$B69&gt;0,E59/Machine!$B69," ")</f>
        <v xml:space="preserve"> </v>
      </c>
      <c r="K59" s="76" t="str">
        <f>IF(Machine!$B69&gt;0,F59/Machine!$B69," ")</f>
        <v xml:space="preserve"> </v>
      </c>
      <c r="L59" s="638">
        <f>Z1_Equipment_Calculations!N69</f>
        <v>8.484848484848484E-2</v>
      </c>
      <c r="M59" s="639">
        <f>Z1_Equipment_Calculations!O69</f>
        <v>11.785714285714286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0</v>
      </c>
      <c r="C64" s="72">
        <f>Z1_Equipment_Calculations!AC74+Z1_Equipment_Calculations!AF74</f>
        <v>0</v>
      </c>
      <c r="D64" s="72">
        <f>Z1_Equipment_Calculations!AJ74</f>
        <v>0</v>
      </c>
      <c r="E64" s="72">
        <f>Z1_Equipment_Calculations!AM74</f>
        <v>0</v>
      </c>
      <c r="F64" s="72">
        <f t="shared" si="2"/>
        <v>0</v>
      </c>
      <c r="G64" s="71" t="str">
        <f>IF(Machine!$B74&gt;0,B64/Machine!$B74," ")</f>
        <v xml:space="preserve"> </v>
      </c>
      <c r="H64" s="72" t="str">
        <f>IF(Machine!$B74&gt;0,C64/Machine!$B74," ")</f>
        <v xml:space="preserve"> </v>
      </c>
      <c r="I64" s="72" t="str">
        <f>IF(Machine!$B74&gt;0,D64/Machine!$B74," ")</f>
        <v xml:space="preserve"> </v>
      </c>
      <c r="J64" s="72" t="str">
        <f>IF(Machine!$B74&gt;0,E64/Machine!$B74," ")</f>
        <v xml:space="preserve"> </v>
      </c>
      <c r="K64" s="73" t="str">
        <f>IF(Machine!$B74&gt;0,F64/Machine!$B74," ")</f>
        <v xml:space="preserve"> 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72.018160429592157</v>
      </c>
      <c r="C66" s="48">
        <f>Z1_Equipment_Calculations!AC76+Z1_Equipment_Calculations!AF76</f>
        <v>5.612062200572451</v>
      </c>
      <c r="D66" s="48">
        <f>Z1_Equipment_Calculations!AJ76</f>
        <v>9.4644534412955466</v>
      </c>
      <c r="E66" s="48">
        <f>Z1_Equipment_Calculations!AM76</f>
        <v>5.3869827935222681</v>
      </c>
      <c r="F66" s="53">
        <f t="shared" si="3"/>
        <v>92.481658864982421</v>
      </c>
      <c r="G66" s="62">
        <f>IF(Machine!$B76&gt;0,B66/Machine!$B76," ")</f>
        <v>72.018160429592157</v>
      </c>
      <c r="H66" s="48">
        <f>IF(Machine!$B76&gt;0,C66/Machine!$B76," ")</f>
        <v>5.612062200572451</v>
      </c>
      <c r="I66" s="48">
        <f>IF(Machine!$B76&gt;0,D66/Machine!$B76," ")</f>
        <v>9.4644534412955466</v>
      </c>
      <c r="J66" s="48">
        <f>IF(Machine!$B76&gt;0,E66/Machine!$B76," ")</f>
        <v>5.3869827935222681</v>
      </c>
      <c r="K66" s="53">
        <f>IF(Machine!$B76&gt;0,F66/Machine!$B76," ")</f>
        <v>92.481658864982421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36.654573756328659</v>
      </c>
      <c r="C67" s="48">
        <f>Z1_Equipment_Calculations!AC77+Z1_Equipment_Calculations!AF77</f>
        <v>5.8705989321699983</v>
      </c>
      <c r="D67" s="48">
        <f>Z1_Equipment_Calculations!AJ77</f>
        <v>8.0242105263157892</v>
      </c>
      <c r="E67" s="48">
        <f>Z1_Equipment_Calculations!AM77</f>
        <v>5.3869827935222681</v>
      </c>
      <c r="F67" s="53">
        <f t="shared" si="3"/>
        <v>55.936366008336719</v>
      </c>
      <c r="G67" s="62">
        <f>IF(Machine!$B77&gt;0,B67/Machine!$B77," ")</f>
        <v>36.654573756328659</v>
      </c>
      <c r="H67" s="48">
        <f>IF(Machine!$B77&gt;0,C67/Machine!$B77," ")</f>
        <v>5.8705989321699983</v>
      </c>
      <c r="I67" s="48">
        <f>IF(Machine!$B77&gt;0,D67/Machine!$B77," ")</f>
        <v>8.0242105263157892</v>
      </c>
      <c r="J67" s="48">
        <f>IF(Machine!$B77&gt;0,E67/Machine!$B77," ")</f>
        <v>5.3869827935222681</v>
      </c>
      <c r="K67" s="53">
        <f>IF(Machine!$B77&gt;0,F67/Machine!$B77," ")</f>
        <v>55.936366008336719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108.67273418592082</v>
      </c>
      <c r="C72" s="77">
        <f>SUM(C54:C71)</f>
        <v>11.48266113274245</v>
      </c>
      <c r="D72" s="77">
        <f>SUM(D54:D71)</f>
        <v>17.488663967611338</v>
      </c>
      <c r="E72" s="77">
        <f>SUM(E54:E71)</f>
        <v>10.773965587044536</v>
      </c>
      <c r="F72" s="77">
        <f>SUM(F54:F71)</f>
        <v>148.41802487331915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187.45739337976346</v>
      </c>
      <c r="C74" s="77">
        <f>C45+C51+C72</f>
        <v>25.372031934810188</v>
      </c>
      <c r="D74" s="77">
        <f>D45+D51+D72</f>
        <v>36.48220747343472</v>
      </c>
      <c r="E74" s="77">
        <f>E45+E51+E72</f>
        <v>22.15211715750268</v>
      </c>
      <c r="F74" s="77">
        <f>F45+F51+F72</f>
        <v>271.46374994551104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105.51775493978874</v>
      </c>
      <c r="C76" s="77">
        <f>Budget!F30</f>
        <v>10.45246153846154</v>
      </c>
      <c r="D76" s="77">
        <f>Budget!F29</f>
        <v>60.283747368421054</v>
      </c>
      <c r="E76" s="77">
        <f>'C2_Irrigation_Calculations'!M41*Budget!E33</f>
        <v>1.3948799999999999</v>
      </c>
      <c r="F76" s="77">
        <f>SUM(B76:E76)</f>
        <v>177.64884384667133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19.61853633227371</v>
      </c>
      <c r="D59" s="1288">
        <f>SUM(Z2_Machine_Custom_Calculations!W69:Y69)</f>
        <v>2.4695372777777775</v>
      </c>
      <c r="E59" s="1288">
        <f>Z2_Machine_Custom_Calculations!AC69+Z2_Machine_Custom_Calculations!AF69</f>
        <v>4.1339815608579276</v>
      </c>
      <c r="F59" s="1288">
        <f>Z2_Machine_Custom_Calculations!AJ69</f>
        <v>3.4955555555555549</v>
      </c>
      <c r="G59" s="1288">
        <f>Z2_Machine_Custom_Calculations!AM69</f>
        <v>1.4080261904761906</v>
      </c>
      <c r="H59" s="1289">
        <f t="shared" si="10"/>
        <v>31.125636916941158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24.586478962607274</v>
      </c>
      <c r="T60" s="1292">
        <f t="shared" si="18"/>
        <v>3.0948907349206349</v>
      </c>
      <c r="U60" s="1292">
        <f t="shared" si="18"/>
        <v>7.5590834086249634</v>
      </c>
      <c r="V60" s="1292">
        <f t="shared" si="18"/>
        <v>3.4955555555555549</v>
      </c>
      <c r="W60" s="1292">
        <f t="shared" si="18"/>
        <v>1.4080261904761906</v>
      </c>
      <c r="X60" s="1292">
        <f t="shared" si="18"/>
        <v>40.144034852184618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21.695625748163458</v>
      </c>
      <c r="T61" s="1292">
        <f t="shared" si="18"/>
        <v>2.7309966269841266</v>
      </c>
      <c r="U61" s="1292">
        <f t="shared" si="18"/>
        <v>5.5660115430285657</v>
      </c>
      <c r="V61" s="1292">
        <f t="shared" si="18"/>
        <v>3.4955555555555549</v>
      </c>
      <c r="W61" s="1292">
        <f t="shared" si="18"/>
        <v>1.4080261904761906</v>
      </c>
      <c r="X61" s="1292">
        <f t="shared" si="18"/>
        <v>34.896215664207894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26.327819678394292</v>
      </c>
      <c r="T62" s="1292">
        <f t="shared" si="18"/>
        <v>3.3140867920634918</v>
      </c>
      <c r="U62" s="1292">
        <f t="shared" si="18"/>
        <v>8.7596345717598005</v>
      </c>
      <c r="V62" s="1292">
        <f t="shared" si="18"/>
        <v>3.4955555555555549</v>
      </c>
      <c r="W62" s="1292">
        <f t="shared" si="18"/>
        <v>1.4080261904761906</v>
      </c>
      <c r="X62" s="1292">
        <f t="shared" si="18"/>
        <v>43.305122788249328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21.39280155739284</v>
      </c>
      <c r="T63" s="1292">
        <f t="shared" si="18"/>
        <v>2.6928777981859406</v>
      </c>
      <c r="U63" s="1292">
        <f t="shared" si="18"/>
        <v>5.3572322207747263</v>
      </c>
      <c r="V63" s="1292">
        <f t="shared" si="18"/>
        <v>3.4955555555555549</v>
      </c>
      <c r="W63" s="1292">
        <f t="shared" si="18"/>
        <v>1.4080261904761906</v>
      </c>
      <c r="X63" s="1292">
        <f t="shared" si="18"/>
        <v>34.34649332238525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7.2659213798382192</v>
      </c>
      <c r="D64" s="1298">
        <f>SUM(Z2_Machine_Custom_Calculations!W74:Y74)</f>
        <v>1.0282436243386242</v>
      </c>
      <c r="E64" s="1298">
        <f>Z2_Machine_Custom_Calculations!AC74+Z2_Machine_Custom_Calculations!AF74</f>
        <v>1.7283607647400463</v>
      </c>
      <c r="F64" s="1298">
        <f>Z2_Machine_Custom_Calculations!AJ74</f>
        <v>2.0973333333333328</v>
      </c>
      <c r="G64" s="1298">
        <f>Z2_Machine_Custom_Calculations!AM74</f>
        <v>1.4080261904761906</v>
      </c>
      <c r="H64" s="1299">
        <f t="shared" si="10"/>
        <v>13.527885292726413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7.2659213798382192</v>
      </c>
      <c r="T64" s="1292">
        <f t="shared" si="19"/>
        <v>1.0282436243386242</v>
      </c>
      <c r="U64" s="1292">
        <f t="shared" si="19"/>
        <v>1.7283607647400463</v>
      </c>
      <c r="V64" s="1292">
        <f t="shared" si="19"/>
        <v>2.0973333333333328</v>
      </c>
      <c r="W64" s="1292">
        <f t="shared" si="19"/>
        <v>1.4080261904761906</v>
      </c>
      <c r="X64" s="1292">
        <f t="shared" si="19"/>
        <v>13.527885292726413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130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13717.308142172536</v>
      </c>
      <c r="C7" s="1224">
        <f>Irrigation!F38</f>
        <v>0</v>
      </c>
      <c r="D7" s="1225">
        <f>Irrigation!G38</f>
        <v>13717.308142172536</v>
      </c>
    </row>
    <row r="8" spans="1:4" ht="13.9" x14ac:dyDescent="0.4">
      <c r="A8" s="1222" t="str">
        <f>Irrigation!D39</f>
        <v>Repairs</v>
      </c>
      <c r="B8" s="1224">
        <f>Irrigation!E39</f>
        <v>1358.8200000000002</v>
      </c>
      <c r="C8" s="1224">
        <f>Irrigation!F39</f>
        <v>0</v>
      </c>
      <c r="D8" s="1225">
        <f>Irrigation!G39</f>
        <v>1358.8200000000002</v>
      </c>
    </row>
    <row r="9" spans="1:4" ht="13.9" x14ac:dyDescent="0.4">
      <c r="A9" s="1222" t="str">
        <f>Irrigation!D40</f>
        <v>Fuel, Energy</v>
      </c>
      <c r="B9" s="1224">
        <f>Irrigation!E40</f>
        <v>7836.8871578947374</v>
      </c>
      <c r="C9" s="1224">
        <f>Irrigation!F40</f>
        <v>0</v>
      </c>
      <c r="D9" s="1225">
        <f>Irrigation!G40</f>
        <v>7836.8871578947374</v>
      </c>
    </row>
    <row r="10" spans="1:4" ht="13.9" x14ac:dyDescent="0.4">
      <c r="A10" s="1222" t="str">
        <f>Irrigation!D41</f>
        <v>Labor</v>
      </c>
      <c r="B10" s="1224">
        <f>Irrigation!E41</f>
        <v>181.33439999999999</v>
      </c>
      <c r="C10" s="1224">
        <f>Irrigation!F41</f>
        <v>0</v>
      </c>
      <c r="D10" s="1225">
        <f>Irrigation!G41</f>
        <v>181.33439999999999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0</v>
      </c>
      <c r="D12" s="1225">
        <f>Irrigation!G43</f>
        <v>0</v>
      </c>
    </row>
    <row r="13" spans="1:4" ht="13.9" thickBot="1" x14ac:dyDescent="0.4">
      <c r="A13" s="1226" t="str">
        <f>Irrigation!D44</f>
        <v>Total</v>
      </c>
      <c r="B13" s="1227">
        <f>Irrigation!E44</f>
        <v>23094.349700067272</v>
      </c>
      <c r="C13" s="1227">
        <f>Irrigation!F44</f>
        <v>0</v>
      </c>
      <c r="D13" s="1228">
        <f>Irrigation!G44</f>
        <v>23094.349700067272</v>
      </c>
    </row>
    <row r="14" spans="1:4" ht="13.9" x14ac:dyDescent="0.4">
      <c r="A14" s="1219" t="str">
        <f>Irrigation!D45</f>
        <v>Irrigation Expenses per Acre</v>
      </c>
      <c r="B14" s="1229">
        <f>Irrigation!E45</f>
        <v>12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105.51775493978874</v>
      </c>
      <c r="C17" s="1230">
        <f>Irrigation!F48</f>
        <v>0</v>
      </c>
      <c r="D17" s="1231">
        <f>Irrigation!G48</f>
        <v>105.51775493978874</v>
      </c>
    </row>
    <row r="18" spans="1:4" ht="13.9" x14ac:dyDescent="0.4">
      <c r="A18" s="1222" t="str">
        <f>Irrigation!D49</f>
        <v>Repairs</v>
      </c>
      <c r="B18" s="1230">
        <f>Irrigation!E49</f>
        <v>10.45246153846154</v>
      </c>
      <c r="C18" s="1230">
        <f>Irrigation!F49</f>
        <v>0</v>
      </c>
      <c r="D18" s="1231">
        <f>Irrigation!G49</f>
        <v>10.45246153846154</v>
      </c>
    </row>
    <row r="19" spans="1:4" ht="13.9" x14ac:dyDescent="0.4">
      <c r="A19" s="1222" t="str">
        <f>Irrigation!D50</f>
        <v>Fuel, Energy</v>
      </c>
      <c r="B19" s="1230">
        <f>Irrigation!E50</f>
        <v>60.283747368421054</v>
      </c>
      <c r="C19" s="1230">
        <f>Irrigation!F50</f>
        <v>0</v>
      </c>
      <c r="D19" s="1231">
        <f>Irrigation!G50</f>
        <v>60.283747368421054</v>
      </c>
    </row>
    <row r="20" spans="1:4" ht="13.9" x14ac:dyDescent="0.4">
      <c r="A20" s="1222" t="str">
        <f>Irrigation!D51</f>
        <v>Labor</v>
      </c>
      <c r="B20" s="1230">
        <f>Irrigation!E51</f>
        <v>1.3948799999999999</v>
      </c>
      <c r="C20" s="1230">
        <f>Irrigation!F51</f>
        <v>0</v>
      </c>
      <c r="D20" s="1231">
        <f>Irrigation!G51</f>
        <v>1.3948799999999999</v>
      </c>
    </row>
    <row r="21" spans="1:4" ht="13.9" x14ac:dyDescent="0.4">
      <c r="A21" s="1222" t="str">
        <f>Irrigation!D52</f>
        <v>Irrigation Supplies</v>
      </c>
      <c r="B21" s="1230">
        <f>Irrigation!E52</f>
        <v>0</v>
      </c>
      <c r="C21" s="1230">
        <f>Irrigation!F52</f>
        <v>0</v>
      </c>
      <c r="D21" s="1231">
        <f>Irrigation!G52</f>
        <v>0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</v>
      </c>
      <c r="D22" s="1231">
        <f>Irrigation!G53</f>
        <v>0</v>
      </c>
    </row>
    <row r="23" spans="1:4" ht="13.9" thickBot="1" x14ac:dyDescent="0.4">
      <c r="A23" s="1226" t="str">
        <f>Irrigation!D54</f>
        <v>Total</v>
      </c>
      <c r="B23" s="1232">
        <f>Irrigation!E54</f>
        <v>177.64884384667133</v>
      </c>
      <c r="C23" s="1232">
        <f>Irrigation!F54</f>
        <v>0</v>
      </c>
      <c r="D23" s="1233">
        <f>Irrigation!G54</f>
        <v>177.64884384667133</v>
      </c>
    </row>
    <row r="24" spans="1:4" ht="13.9" x14ac:dyDescent="0.4">
      <c r="A24" s="1219" t="str">
        <f>Irrigation!D55</f>
        <v>Irrigation Expenses per Inch</v>
      </c>
      <c r="B24" s="1229">
        <f>Irrigation!E55</f>
        <v>130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1143.1090118477114</v>
      </c>
      <c r="C27" s="1230">
        <f>Irrigation!F58</f>
        <v>0</v>
      </c>
      <c r="D27" s="1231">
        <f>Irrigation!G58</f>
        <v>1143.1090118477114</v>
      </c>
    </row>
    <row r="28" spans="1:4" ht="13.9" x14ac:dyDescent="0.4">
      <c r="A28" s="1222" t="str">
        <f>Irrigation!D59</f>
        <v>Repairs</v>
      </c>
      <c r="B28" s="1230">
        <f>Irrigation!E59</f>
        <v>113.23500000000001</v>
      </c>
      <c r="C28" s="1230">
        <f>Irrigation!F59</f>
        <v>0</v>
      </c>
      <c r="D28" s="1231">
        <f>Irrigation!G59</f>
        <v>113.23500000000001</v>
      </c>
    </row>
    <row r="29" spans="1:4" ht="13.9" x14ac:dyDescent="0.4">
      <c r="A29" s="1222" t="str">
        <f>Irrigation!D60</f>
        <v>Fuel, Energy</v>
      </c>
      <c r="B29" s="1230">
        <f>Irrigation!E60</f>
        <v>653.07392982456145</v>
      </c>
      <c r="C29" s="1230">
        <f>Irrigation!F60</f>
        <v>0</v>
      </c>
      <c r="D29" s="1231">
        <f>Irrigation!G60</f>
        <v>653.07392982456145</v>
      </c>
    </row>
    <row r="30" spans="1:4" ht="13.9" x14ac:dyDescent="0.4">
      <c r="A30" s="1222" t="str">
        <f>Irrigation!D61</f>
        <v>Labor</v>
      </c>
      <c r="B30" s="1230">
        <f>Irrigation!E61</f>
        <v>15.111199999999998</v>
      </c>
      <c r="C30" s="1230">
        <f>Irrigation!F61</f>
        <v>0</v>
      </c>
      <c r="D30" s="1231">
        <f>Irrigation!G61</f>
        <v>15.111199999999998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0</v>
      </c>
      <c r="D32" s="1231">
        <f>Irrigation!G63</f>
        <v>0</v>
      </c>
    </row>
    <row r="33" spans="1:4" ht="13.9" thickBot="1" x14ac:dyDescent="0.4">
      <c r="A33" s="1226" t="str">
        <f>Irrigation!D64</f>
        <v>Total</v>
      </c>
      <c r="B33" s="1232">
        <f>Irrigation!E64</f>
        <v>1924.5291416722728</v>
      </c>
      <c r="C33" s="1232">
        <f>Irrigation!F64</f>
        <v>0</v>
      </c>
      <c r="D33" s="1233">
        <f>Irrigation!G64</f>
        <v>1924.5291416722728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4.5</v>
      </c>
      <c r="M69" s="224">
        <f>EquipmentSpecs!C69</f>
        <v>0.7</v>
      </c>
      <c r="N69" s="89">
        <f t="shared" si="30"/>
        <v>11.454545454545455</v>
      </c>
      <c r="O69" s="226">
        <f t="shared" si="31"/>
        <v>8.7301587301587297E-2</v>
      </c>
      <c r="P69" s="270"/>
      <c r="Q69" s="20"/>
      <c r="R69" s="339">
        <f>Machine!H69</f>
        <v>325</v>
      </c>
      <c r="S69" s="1197">
        <v>1</v>
      </c>
      <c r="T69" s="89">
        <f t="shared" si="32"/>
        <v>19.61853633227371</v>
      </c>
      <c r="U69" s="269"/>
      <c r="V69" s="269"/>
      <c r="W69" s="1144">
        <f t="shared" si="33"/>
        <v>0.84573194444444433</v>
      </c>
      <c r="X69" s="1144">
        <f t="shared" si="33"/>
        <v>0.84573194444444433</v>
      </c>
      <c r="Y69" s="1144">
        <f t="shared" si="33"/>
        <v>0.77807338888888888</v>
      </c>
      <c r="Z69" s="1136">
        <f t="shared" si="34"/>
        <v>22.088073610051488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4.1339815608579276</v>
      </c>
      <c r="AD69" s="271"/>
      <c r="AE69" s="272"/>
      <c r="AF69" s="269"/>
      <c r="AG69" s="229">
        <f t="shared" si="35"/>
        <v>14.299999999999999</v>
      </c>
      <c r="AH69" s="89">
        <f t="shared" si="36"/>
        <v>3.4955555555555549</v>
      </c>
      <c r="AI69" s="89">
        <f t="shared" si="37"/>
        <v>0.34955555555555551</v>
      </c>
      <c r="AJ69" s="89">
        <f t="shared" si="38"/>
        <v>3.4955555555555549</v>
      </c>
      <c r="AK69" s="227">
        <f>EquipmentSpecs!L69</f>
        <v>1.1100000000000001</v>
      </c>
      <c r="AL69" s="226">
        <f t="shared" si="39"/>
        <v>9.690476190476191E-2</v>
      </c>
      <c r="AM69" s="230">
        <f t="shared" si="40"/>
        <v>1.4080261904761906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4.5</v>
      </c>
      <c r="M74" s="233">
        <f>EquipmentSpecs!C74</f>
        <v>0.7</v>
      </c>
      <c r="N74" s="235">
        <f t="shared" si="30"/>
        <v>11.454545454545455</v>
      </c>
      <c r="O74" s="236">
        <f t="shared" si="31"/>
        <v>8.7301587301587297E-2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2.5911222786782022</v>
      </c>
      <c r="U74" s="235">
        <f>(((P74-(AQ74*P74))*AS74)+(AR74*(AQ74*P74)))/AO74</f>
        <v>53.547698795105653</v>
      </c>
      <c r="V74" s="235">
        <f>U74*O74*S74</f>
        <v>4.6747991011600174</v>
      </c>
      <c r="W74" s="1146">
        <f t="shared" si="33"/>
        <v>0.35213822751322749</v>
      </c>
      <c r="X74" s="1146">
        <f t="shared" si="33"/>
        <v>0.35213822751322749</v>
      </c>
      <c r="Y74" s="1146">
        <f t="shared" si="33"/>
        <v>0.32396716931216929</v>
      </c>
      <c r="Z74" s="1139">
        <f t="shared" si="34"/>
        <v>8.2941650041768433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1.2596560028352846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0.46870476190476185</v>
      </c>
      <c r="AG74" s="240">
        <f>0.044*R74</f>
        <v>8.58</v>
      </c>
      <c r="AH74" s="235">
        <f t="shared" ref="AH74:AH81" si="41">AG74*O74*$AJ$11*S74</f>
        <v>2.0973333333333328</v>
      </c>
      <c r="AI74" s="235">
        <f>AH74*0.1</f>
        <v>0.2097333333333333</v>
      </c>
      <c r="AJ74" s="235">
        <f>AH74</f>
        <v>2.0973333333333328</v>
      </c>
      <c r="AK74" s="459">
        <f>EquipmentSpecs!L74</f>
        <v>1.1100000000000001</v>
      </c>
      <c r="AL74" s="236">
        <f t="shared" si="39"/>
        <v>9.690476190476191E-2</v>
      </c>
      <c r="AM74" s="241">
        <f t="shared" si="40"/>
        <v>1.4080261904761906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264.08463779147166</v>
      </c>
      <c r="U83" s="17"/>
      <c r="V83" s="257">
        <f>SUM(V64:V81)</f>
        <v>1343.5232192461158</v>
      </c>
      <c r="W83" s="1147"/>
      <c r="X83" s="1147">
        <f>Z83-(T83+V83)</f>
        <v>220.58780855147438</v>
      </c>
      <c r="Y83" s="1148">
        <f>(Z83-(T83+V83))/(T83+V83)</f>
        <v>0.13721493558631992</v>
      </c>
      <c r="Z83" s="257">
        <f>SUM(Z64:Z81)</f>
        <v>1828.1956655890619</v>
      </c>
      <c r="AA83" s="17"/>
      <c r="AB83" s="17"/>
      <c r="AC83" s="257">
        <f>SUM(AC64:AC81)</f>
        <v>107.41142375733844</v>
      </c>
      <c r="AD83" s="258"/>
      <c r="AE83" s="17"/>
      <c r="AF83" s="257">
        <f>SUM(AF64:AF81)</f>
        <v>134.68476453213083</v>
      </c>
      <c r="AG83" s="17"/>
      <c r="AH83" s="257">
        <f>SUM(AH64:AH81)</f>
        <v>1102.8152301964808</v>
      </c>
      <c r="AI83" s="257">
        <f>SUM(AI64:AI81)</f>
        <v>110.28152301964809</v>
      </c>
      <c r="AJ83" s="257"/>
      <c r="AK83" s="17"/>
      <c r="AL83" s="259">
        <f>SUM(AL64:AL81)</f>
        <v>41.993617325472705</v>
      </c>
      <c r="AM83" s="257">
        <f>SUM(AM64:AM81)</f>
        <v>610.16725973911844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2.6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2.6</v>
      </c>
    </row>
    <row r="5" spans="2:14" ht="13.9" x14ac:dyDescent="0.4">
      <c r="B5" s="4" t="s">
        <v>21</v>
      </c>
      <c r="C5" s="1793">
        <f>Print_Budget!E3</f>
        <v>500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500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1300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100.05</v>
      </c>
      <c r="D9" s="3"/>
      <c r="E9" s="1190"/>
      <c r="F9" s="3"/>
      <c r="G9" s="1185" t="s">
        <v>223</v>
      </c>
      <c r="H9" s="1801">
        <f>C9</f>
        <v>100.05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43.674999999999997</v>
      </c>
      <c r="D10" s="3"/>
      <c r="E10" s="1190"/>
      <c r="F10" s="3"/>
      <c r="G10" s="1185" t="s">
        <v>421</v>
      </c>
      <c r="H10" s="1795">
        <f t="shared" ref="H10:H21" si="0">C10</f>
        <v>43.674999999999997</v>
      </c>
      <c r="I10" s="3"/>
      <c r="J10" s="3"/>
      <c r="K10" s="1190"/>
      <c r="L10" s="3"/>
      <c r="M10" s="648" t="s">
        <v>779</v>
      </c>
      <c r="N10" s="1542">
        <f>Print_Summary!B20</f>
        <v>457.61556421685572</v>
      </c>
    </row>
    <row r="11" spans="2:14" ht="13.9" x14ac:dyDescent="0.4">
      <c r="B11" s="1185" t="s">
        <v>495</v>
      </c>
      <c r="C11" s="1795">
        <f>SUM(Print_Budget!F13:F17)</f>
        <v>157.62460937499998</v>
      </c>
      <c r="D11" s="3"/>
      <c r="E11" s="1190"/>
      <c r="F11" s="3"/>
      <c r="G11" s="1185" t="s">
        <v>495</v>
      </c>
      <c r="H11" s="1795">
        <f t="shared" si="0"/>
        <v>157.62460937499998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116.07590809891778</v>
      </c>
    </row>
    <row r="12" spans="2:14" ht="13.9" x14ac:dyDescent="0.4">
      <c r="B12" s="1185" t="s">
        <v>225</v>
      </c>
      <c r="C12" s="1795">
        <f>SUM(Print_Budget!F19:F22)</f>
        <v>59.5</v>
      </c>
      <c r="D12" s="3"/>
      <c r="E12" s="1190"/>
      <c r="F12" s="3"/>
      <c r="G12" s="1185" t="s">
        <v>225</v>
      </c>
      <c r="H12" s="1795">
        <f t="shared" si="0"/>
        <v>59.5</v>
      </c>
      <c r="I12" s="3"/>
      <c r="J12" s="3"/>
      <c r="K12" s="1190"/>
      <c r="L12" s="3"/>
      <c r="M12" s="648" t="s">
        <v>168</v>
      </c>
      <c r="N12" s="182">
        <f>SUM(N10:N11)</f>
        <v>573.69147231577347</v>
      </c>
    </row>
    <row r="13" spans="2:14" ht="13.9" x14ac:dyDescent="0.4">
      <c r="B13" s="1185" t="s">
        <v>422</v>
      </c>
      <c r="C13" s="1795">
        <f>Print_Budget!F30+Print_Budget!F31</f>
        <v>0</v>
      </c>
      <c r="D13" s="3"/>
      <c r="E13" s="1190"/>
      <c r="F13" s="3"/>
      <c r="G13" s="1185" t="s">
        <v>782</v>
      </c>
      <c r="H13" s="1795">
        <f t="shared" si="0"/>
        <v>0</v>
      </c>
      <c r="I13" s="3"/>
      <c r="J13" s="3"/>
      <c r="K13" s="1190"/>
      <c r="L13" s="3"/>
      <c r="M13" s="648" t="s">
        <v>792</v>
      </c>
      <c r="N13" s="1805">
        <f>Print_Summary!B27</f>
        <v>93.73</v>
      </c>
    </row>
    <row r="14" spans="2:14" ht="13.9" x14ac:dyDescent="0.4">
      <c r="B14" s="1185" t="s">
        <v>781</v>
      </c>
      <c r="C14" s="1795">
        <f>Print_Budget!F24+Print_Budget!F26</f>
        <v>36.48220747343472</v>
      </c>
      <c r="D14" s="3"/>
      <c r="E14" s="1190"/>
      <c r="F14" s="3"/>
      <c r="G14" s="1185" t="s">
        <v>781</v>
      </c>
      <c r="H14" s="1795">
        <f t="shared" si="0"/>
        <v>36.48220747343472</v>
      </c>
      <c r="I14" s="3"/>
      <c r="J14" s="3"/>
      <c r="K14" s="1190"/>
      <c r="L14" s="3"/>
      <c r="M14" s="652" t="s">
        <v>1014</v>
      </c>
      <c r="N14" s="173">
        <f>SUM(N12:N13)-N8</f>
        <v>667.42147231577349</v>
      </c>
    </row>
    <row r="15" spans="2:14" ht="13.9" x14ac:dyDescent="0.4">
      <c r="B15" s="1185" t="s">
        <v>423</v>
      </c>
      <c r="C15" s="1795">
        <f>Print_Budget!F28</f>
        <v>60.283747368421054</v>
      </c>
      <c r="D15" s="3"/>
      <c r="E15" s="1190"/>
      <c r="F15" s="3"/>
      <c r="G15" s="1185" t="s">
        <v>423</v>
      </c>
      <c r="H15" s="1795">
        <f t="shared" si="0"/>
        <v>60.283747368421054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10</v>
      </c>
      <c r="D16" s="3"/>
      <c r="E16" s="1190"/>
      <c r="F16" s="3"/>
      <c r="G16" s="1185" t="s">
        <v>780</v>
      </c>
      <c r="H16" s="1795">
        <f t="shared" si="0"/>
        <v>10</v>
      </c>
      <c r="I16" s="3"/>
      <c r="J16" s="3"/>
      <c r="K16" s="1190"/>
      <c r="L16" s="3"/>
      <c r="M16" s="652" t="s">
        <v>233</v>
      </c>
      <c r="N16" s="173">
        <f>N7-N14-N15</f>
        <v>632.57852768422651</v>
      </c>
    </row>
    <row r="17" spans="2:14" ht="13.9" x14ac:dyDescent="0.4">
      <c r="B17" s="1185" t="s">
        <v>1</v>
      </c>
      <c r="C17" s="1795">
        <f>Print_Budget!F35</f>
        <v>22</v>
      </c>
      <c r="D17" s="3"/>
      <c r="E17" s="1190"/>
      <c r="F17" s="3"/>
      <c r="G17" s="1185" t="s">
        <v>1</v>
      </c>
      <c r="H17" s="1795">
        <f t="shared" si="0"/>
        <v>22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35.824493473271723</v>
      </c>
      <c r="D18" s="3"/>
      <c r="E18" s="1190"/>
      <c r="F18" s="3"/>
      <c r="G18" s="1185" t="s">
        <v>205</v>
      </c>
      <c r="H18" s="1795">
        <f t="shared" si="0"/>
        <v>35.824493473271723</v>
      </c>
      <c r="I18" s="3"/>
      <c r="J18" s="3"/>
      <c r="K18" s="1190"/>
      <c r="L18" s="3"/>
      <c r="M18" s="648" t="s">
        <v>249</v>
      </c>
      <c r="N18" s="1804">
        <f>Print_Summary!B32</f>
        <v>302.34801798854039</v>
      </c>
    </row>
    <row r="19" spans="2:14" ht="13.9" x14ac:dyDescent="0.4">
      <c r="B19" s="1185" t="s">
        <v>214</v>
      </c>
      <c r="C19" s="1795">
        <f>Trips!E45+Trips!E51+Trips!E72+Trips!E76</f>
        <v>23.54699715750268</v>
      </c>
      <c r="D19" s="3"/>
      <c r="E19" s="1190"/>
      <c r="F19" s="3"/>
      <c r="G19" s="1185" t="s">
        <v>214</v>
      </c>
      <c r="H19" s="1795">
        <f t="shared" si="0"/>
        <v>23.54699715750268</v>
      </c>
      <c r="I19" s="3"/>
      <c r="J19" s="3"/>
      <c r="K19" s="1190"/>
      <c r="L19" s="3"/>
      <c r="M19" s="308" t="s">
        <v>651</v>
      </c>
      <c r="N19" s="173">
        <f>N14+N18</f>
        <v>969.76949030431388</v>
      </c>
    </row>
    <row r="20" spans="2:14" ht="13.9" x14ac:dyDescent="0.4">
      <c r="B20" s="1185" t="s">
        <v>28</v>
      </c>
      <c r="C20" s="1795">
        <f>Print_Budget!F36</f>
        <v>24.704417468143355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330.23050969568612</v>
      </c>
    </row>
    <row r="22" spans="2:14" ht="13.9" x14ac:dyDescent="0.4">
      <c r="B22" s="1185" t="s">
        <v>792</v>
      </c>
      <c r="C22" s="1795">
        <f>Print_Budget!F39+Print_Budget!F40</f>
        <v>78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15.73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292.9751483195522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187.45739337976346</v>
      </c>
      <c r="D26" s="3"/>
      <c r="E26" s="1190"/>
      <c r="F26" s="3"/>
      <c r="G26" s="648" t="s">
        <v>648</v>
      </c>
      <c r="H26" s="1802">
        <f>C28</f>
        <v>9.372869668988173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105.51775493978874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9.372869668988173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457.61556421685577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548.98705484763013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667.42147231577349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302.34801798854039</v>
      </c>
    </row>
    <row r="34" spans="2:3" ht="13.5" x14ac:dyDescent="0.35">
      <c r="B34" s="308" t="s">
        <v>651</v>
      </c>
      <c r="C34" s="173">
        <f>C32+C33</f>
        <v>969.76949030431388</v>
      </c>
    </row>
    <row r="35" spans="2:3" ht="13.5" x14ac:dyDescent="0.35">
      <c r="B35" s="308" t="s">
        <v>763</v>
      </c>
      <c r="C35" s="173">
        <f>(C4*C5*C6)-C24-C34</f>
        <v>330.23050969568612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>
        <f>IF(Machine!B15&gt;0,Machine!B15," ")</f>
        <v>1</v>
      </c>
      <c r="E6" s="1525"/>
      <c r="F6" s="1354">
        <f>IF(Machine!$B15&gt;0,E6*Trips!$M5*$D6," ")</f>
        <v>0</v>
      </c>
      <c r="G6" s="1394">
        <f>IF(AND($D6&gt;0,Machine!$H15&lt;=170),$E6,0)</f>
        <v>0</v>
      </c>
      <c r="H6" s="1393">
        <f>IF(Machine!$B15&gt;0,G6*Trips!$M5*$D6," ")</f>
        <v>0</v>
      </c>
      <c r="I6" s="1398">
        <f>IF(AND($D6&gt;0,Machine!$H15&gt;170,Machine!$H15&lt;200),$E6,0)</f>
        <v>0</v>
      </c>
      <c r="J6" s="1399">
        <f>IF(Machine!$B15&gt;0,I6*Trips!$M5*$D6," ")</f>
        <v>0</v>
      </c>
      <c r="K6" s="1404">
        <f>IF(AND($D6&gt;0,Machine!$H15&gt;=200,Machine!$H15&lt;250),$E6,0)</f>
        <v>0</v>
      </c>
      <c r="L6" s="1405">
        <f>IF(Machine!$B15&gt;0,K6*Trips!$M5*$D6," ")</f>
        <v>0</v>
      </c>
      <c r="M6" s="1413">
        <f>IF(AND($D6&gt;0,Machine!$H15&gt;=250),$E6,0)</f>
        <v>0</v>
      </c>
      <c r="N6" s="1412">
        <f>IF(Machine!$B15&gt;0,M6*Trips!$M5*$D6," ")</f>
        <v>0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>
        <f>IF(Machine!B20&gt;0,Machine!B20," ")</f>
        <v>1</v>
      </c>
      <c r="E11" s="1525">
        <v>1000</v>
      </c>
      <c r="F11" s="1354">
        <f>IF(Machine!$B20&gt;0,E11*Trips!$M10*$D11," ")</f>
        <v>60.307017543859651</v>
      </c>
      <c r="G11" s="1394">
        <f>IF(AND($D11&gt;0,Machine!$H20&lt;=170),$E11,0)</f>
        <v>0</v>
      </c>
      <c r="H11" s="1393">
        <f>IF(Machine!$B20&gt;0,G11*Trips!$M10*$D11," ")</f>
        <v>0</v>
      </c>
      <c r="I11" s="1398">
        <f>IF(AND($D11&gt;0,Machine!$H20&gt;170,Machine!$H20&lt;200),$E11,0)</f>
        <v>0</v>
      </c>
      <c r="J11" s="1399">
        <f>IF(Machine!$B20&gt;0,I11*Trips!$M10*$D11," ")</f>
        <v>0</v>
      </c>
      <c r="K11" s="1404">
        <f>IF(AND($D11&gt;0,Machine!$H20&gt;=200,Machine!$H20&lt;250),$E11,0)</f>
        <v>1000</v>
      </c>
      <c r="L11" s="1405">
        <f>IF(Machine!$B20&gt;0,K11*Trips!$M10*$D11," ")</f>
        <v>60.307017543859651</v>
      </c>
      <c r="M11" s="1413">
        <f>IF(AND($D11&gt;0,Machine!$H20&gt;=250),$E11,0)</f>
        <v>0</v>
      </c>
      <c r="N11" s="1412">
        <f>IF(Machine!$B20&gt;0,M11*Trips!$M10*$D11," ")</f>
        <v>0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 t="str">
        <f>IF(Machine!B25&gt;0,Machine!B25," ")</f>
        <v xml:space="preserve"> </v>
      </c>
      <c r="E16" s="1525"/>
      <c r="F16" s="1354" t="str">
        <f>IF(Machine!$B25&gt;0,E16*Trips!$M15*$D16," ")</f>
        <v xml:space="preserve"> </v>
      </c>
      <c r="G16" s="1394">
        <f>IF(AND($D16&gt;0,Machine!$H25&lt;=170),$E16,0)</f>
        <v>0</v>
      </c>
      <c r="H16" s="1393" t="str">
        <f>IF(Machine!$B25&gt;0,G16*Trips!$M15*$D16," ")</f>
        <v xml:space="preserve"> </v>
      </c>
      <c r="I16" s="1398">
        <f>IF(AND($D16&gt;0,Machine!$H25&gt;170,Machine!$H25&lt;200),$E16,0)</f>
        <v>0</v>
      </c>
      <c r="J16" s="1399" t="str">
        <f>IF(Machine!$B25&gt;0,I16*Trips!$M15*$D16," ")</f>
        <v xml:space="preserve"> </v>
      </c>
      <c r="K16" s="1404">
        <f>IF(AND($D16&gt;0,Machine!$H25&gt;=200,Machine!$H25&lt;250),$E16,0)</f>
        <v>0</v>
      </c>
      <c r="L16" s="1405" t="str">
        <f>IF(Machine!$B25&gt;0,K16*Trips!$M15*$D16," ")</f>
        <v xml:space="preserve"> </v>
      </c>
      <c r="M16" s="1413">
        <f>IF(AND($D16&gt;0,Machine!$H25&gt;=250),$E16,0)</f>
        <v>0</v>
      </c>
      <c r="N16" s="1412" t="str">
        <f>IF(Machine!$B25&gt;0,M16*Trips!$M15*$D16," ")</f>
        <v xml:space="preserve"> 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>
        <f>IF(Machine!B28&gt;0,Machine!B28," ")</f>
        <v>1</v>
      </c>
      <c r="E19" s="1525"/>
      <c r="F19" s="1354">
        <f>IF(Machine!$B28&gt;0,E19*Trips!$M18*$D19," ")</f>
        <v>0</v>
      </c>
      <c r="G19" s="1394">
        <f>IF(AND($D19&gt;0,Machine!$H28&lt;=170),$E19,0)</f>
        <v>0</v>
      </c>
      <c r="H19" s="1393">
        <f>IF(Machine!$B28&gt;0,G19*Trips!$M18*$D19," ")</f>
        <v>0</v>
      </c>
      <c r="I19" s="1398">
        <f>IF(AND($D19&gt;0,Machine!$H28&gt;170,Machine!$H28&lt;200),$E19,0)</f>
        <v>0</v>
      </c>
      <c r="J19" s="1399">
        <f>IF(Machine!$B28&gt;0,I19*Trips!$M18*$D19," ")</f>
        <v>0</v>
      </c>
      <c r="K19" s="1404">
        <f>IF(AND($D19&gt;0,Machine!$H28&gt;=200,Machine!$H28&lt;250),$E19,0)</f>
        <v>0</v>
      </c>
      <c r="L19" s="1405">
        <f>IF(Machine!$B28&gt;0,K19*Trips!$M18*$D19," ")</f>
        <v>0</v>
      </c>
      <c r="M19" s="1413">
        <f>IF(AND($D19&gt;0,Machine!$H28&gt;=250),$E19,0)</f>
        <v>0</v>
      </c>
      <c r="N19" s="1412">
        <f>IF(Machine!$B28&gt;0,M19*Trips!$M18*$D19," ")</f>
        <v>0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 t="str">
        <f>IF(Machine!B32&gt;0,Machine!B32," ")</f>
        <v xml:space="preserve"> </v>
      </c>
      <c r="E23" s="1525"/>
      <c r="F23" s="1354" t="str">
        <f>IF(Machine!$B32&gt;0,E23*Trips!$M22*$D23," ")</f>
        <v xml:space="preserve"> </v>
      </c>
      <c r="G23" s="1394">
        <f>IF(AND($D23&gt;0,Machine!$H32&lt;=170),$E23,0)</f>
        <v>0</v>
      </c>
      <c r="H23" s="1393" t="str">
        <f>IF(Machine!$B32&gt;0,G23*Trips!$M22*$D23," ")</f>
        <v xml:space="preserve"> </v>
      </c>
      <c r="I23" s="1398">
        <f>IF(AND($D23&gt;0,Machine!$H32&gt;170,Machine!$H32&lt;200),$E23,0)</f>
        <v>0</v>
      </c>
      <c r="J23" s="1399" t="str">
        <f>IF(Machine!$B32&gt;0,I23*Trips!$M22*$D23," ")</f>
        <v xml:space="preserve"> </v>
      </c>
      <c r="K23" s="1404">
        <f>IF(AND($D23&gt;0,Machine!$H32&gt;=200,Machine!$H32&lt;250),$E23,0)</f>
        <v>0</v>
      </c>
      <c r="L23" s="1405" t="str">
        <f>IF(Machine!$B32&gt;0,K23*Trips!$M22*$D23," ")</f>
        <v xml:space="preserve"> </v>
      </c>
      <c r="M23" s="1413">
        <f>IF(AND($D23&gt;0,Machine!$H32&gt;=250),$E23,0)</f>
        <v>0</v>
      </c>
      <c r="N23" s="1412" t="str">
        <f>IF(Machine!$B32&gt;0,M23*Trips!$M22*$D23," ")</f>
        <v xml:space="preserve"> 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>
        <f>IF(Machine!B35&gt;0,Machine!B35," ")</f>
        <v>1</v>
      </c>
      <c r="E26" s="1525">
        <v>1000</v>
      </c>
      <c r="F26" s="1354">
        <f>IF(Machine!$B35&gt;0,E26*Trips!$M25*$D26," ")</f>
        <v>55.668016194331983</v>
      </c>
      <c r="G26" s="1394">
        <f>IF(AND($D26&gt;0,Machine!$H35&lt;=170),$E26,0)</f>
        <v>0</v>
      </c>
      <c r="H26" s="1393">
        <f>IF(Machine!$B35&gt;0,G26*Trips!$M25*$D26," ")</f>
        <v>0</v>
      </c>
      <c r="I26" s="1398">
        <f>IF(AND($D26&gt;0,Machine!$H35&gt;170,Machine!$H35&lt;200),$E26,0)</f>
        <v>1000</v>
      </c>
      <c r="J26" s="1399">
        <f>IF(Machine!$B35&gt;0,I26*Trips!$M25*$D26," ")</f>
        <v>55.668016194331983</v>
      </c>
      <c r="K26" s="1404">
        <f>IF(AND($D26&gt;0,Machine!$H35&gt;=200,Machine!$H35&lt;250),$E26,0)</f>
        <v>0</v>
      </c>
      <c r="L26" s="1405">
        <f>IF(Machine!$B35&gt;0,K26*Trips!$M25*$D26," ")</f>
        <v>0</v>
      </c>
      <c r="M26" s="1413">
        <f>IF(AND($D26&gt;0,Machine!$H35&gt;=250),$E26,0)</f>
        <v>0</v>
      </c>
      <c r="N26" s="1412">
        <f>IF(Machine!$B35&gt;0,M26*Trips!$M25*$D26," ")</f>
        <v>0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 t="str">
        <f>IF(Machine!B37&gt;0,Machine!B37," ")</f>
        <v xml:space="preserve"> </v>
      </c>
      <c r="E28" s="1525"/>
      <c r="F28" s="1354" t="str">
        <f>IF(Machine!$B37&gt;0,E28*Trips!$M27*$D28," ")</f>
        <v xml:space="preserve"> </v>
      </c>
      <c r="G28" s="1394">
        <f>IF(AND($D28&gt;0,Machine!$H37&lt;=170),$E28,0)</f>
        <v>0</v>
      </c>
      <c r="H28" s="1393" t="str">
        <f>IF(Machine!$B37&gt;0,G28*Trips!$M27*$D28," ")</f>
        <v xml:space="preserve"> </v>
      </c>
      <c r="I28" s="1398">
        <f>IF(AND($D28&gt;0,Machine!$H37&gt;170,Machine!$H37&lt;200),$E28,0)</f>
        <v>0</v>
      </c>
      <c r="J28" s="1399" t="str">
        <f>IF(Machine!$B37&gt;0,I28*Trips!$M27*$D28," ")</f>
        <v xml:space="preserve"> </v>
      </c>
      <c r="K28" s="1404">
        <f>IF(AND($D28&gt;0,Machine!$H37&gt;=200,Machine!$H37&lt;250),$E28,0)</f>
        <v>0</v>
      </c>
      <c r="L28" s="1405" t="str">
        <f>IF(Machine!$B37&gt;0,K28*Trips!$M27*$D28," ")</f>
        <v xml:space="preserve"> </v>
      </c>
      <c r="M28" s="1413">
        <f>IF(AND($D28&gt;0,Machine!$H37&gt;=250),$E28,0)</f>
        <v>0</v>
      </c>
      <c r="N28" s="1412" t="str">
        <f>IF(Machine!$B37&gt;0,M28*Trips!$M27*$D28," ")</f>
        <v xml:space="preserve"> 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 t="str">
        <f>IF(Machine!B43&gt;0,Machine!B43," ")</f>
        <v xml:space="preserve"> </v>
      </c>
      <c r="E34" s="1525"/>
      <c r="F34" s="1354" t="str">
        <f>IF(Machine!$B43&gt;0,E34*Trips!$M33*$D34," ")</f>
        <v xml:space="preserve"> </v>
      </c>
      <c r="G34" s="1394">
        <f>IF(AND($D34&gt;0,Machine!$H43&lt;=170),$E34,0)</f>
        <v>0</v>
      </c>
      <c r="H34" s="1393" t="str">
        <f>IF(Machine!$B43&gt;0,G34*Trips!$M33*$D34," ")</f>
        <v xml:space="preserve"> </v>
      </c>
      <c r="I34" s="1398">
        <f>IF(AND($D34&gt;0,Machine!$H43&gt;170,Machine!$H43&lt;200),$E34,0)</f>
        <v>0</v>
      </c>
      <c r="J34" s="1399" t="str">
        <f>IF(Machine!$B43&gt;0,I34*Trips!$M33*$D34," ")</f>
        <v xml:space="preserve"> </v>
      </c>
      <c r="K34" s="1404">
        <f>IF(AND($D34&gt;0,Machine!$H43&gt;=200,Machine!$H43&lt;250),$E34,0)</f>
        <v>0</v>
      </c>
      <c r="L34" s="1405" t="str">
        <f>IF(Machine!$B43&gt;0,K34*Trips!$M33*$D34," ")</f>
        <v xml:space="preserve"> </v>
      </c>
      <c r="M34" s="1413">
        <f>IF(AND($D34&gt;0,Machine!$H43&gt;=250),$E34,0)</f>
        <v>0</v>
      </c>
      <c r="N34" s="1412" t="str">
        <f>IF(Machine!$B43&gt;0,M34*Trips!$M33*$D34," ")</f>
        <v xml:space="preserve"> 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 t="str">
        <f>IF(Machine!B46&gt;0,Machine!B46," ")</f>
        <v xml:space="preserve"> </v>
      </c>
      <c r="E37" s="1525"/>
      <c r="F37" s="1354" t="str">
        <f>IF(Machine!$B46&gt;0,E37*Trips!$M36*$D37," ")</f>
        <v xml:space="preserve"> </v>
      </c>
      <c r="G37" s="1394">
        <f>IF(AND($D37&gt;0,Machine!$H46&lt;=170),$E37,0)</f>
        <v>0</v>
      </c>
      <c r="H37" s="1393" t="str">
        <f>IF(Machine!$B46&gt;0,G37*Trips!$M36*$D37," ")</f>
        <v xml:space="preserve"> </v>
      </c>
      <c r="I37" s="1398">
        <f>IF(AND($D37&gt;0,Machine!$H46&gt;170,Machine!$H46&lt;200),$E37,0)</f>
        <v>0</v>
      </c>
      <c r="J37" s="1399" t="str">
        <f>IF(Machine!$B46&gt;0,I37*Trips!$M36*$D37," ")</f>
        <v xml:space="preserve"> </v>
      </c>
      <c r="K37" s="1404">
        <f>IF(AND($D37&gt;0,Machine!$H46&gt;=200,Machine!$H46&lt;250),$E37,0)</f>
        <v>0</v>
      </c>
      <c r="L37" s="1405" t="str">
        <f>IF(Machine!$B46&gt;0,K37*Trips!$M36*$D37," ")</f>
        <v xml:space="preserve"> </v>
      </c>
      <c r="M37" s="1413">
        <f>IF(AND($D37&gt;0,Machine!$H46&gt;=250),$E37,0)</f>
        <v>0</v>
      </c>
      <c r="N37" s="1412" t="str">
        <f>IF(Machine!$B46&gt;0,M37*Trips!$M36*$D37," ")</f>
        <v xml:space="preserve"> 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 t="str">
        <f>IF(Machine!B47&gt;0,Machine!B47," ")</f>
        <v xml:space="preserve"> </v>
      </c>
      <c r="E38" s="1525"/>
      <c r="F38" s="1354" t="str">
        <f>IF(Machine!$B47&gt;0,E38*Trips!$M37*$D38," ")</f>
        <v xml:space="preserve"> </v>
      </c>
      <c r="G38" s="1394">
        <f>IF(AND($D38&gt;0,Machine!$H47&lt;=170),$E38,0)</f>
        <v>0</v>
      </c>
      <c r="H38" s="1393" t="str">
        <f>IF(Machine!$B47&gt;0,G38*Trips!$M37*$D38," ")</f>
        <v xml:space="preserve"> </v>
      </c>
      <c r="I38" s="1398">
        <f>IF(AND($D38&gt;0,Machine!$H47&gt;170,Machine!$H47&lt;200),$E38,0)</f>
        <v>0</v>
      </c>
      <c r="J38" s="1399" t="str">
        <f>IF(Machine!$B47&gt;0,I38*Trips!$M37*$D38," ")</f>
        <v xml:space="preserve"> </v>
      </c>
      <c r="K38" s="1404">
        <f>IF(AND($D38&gt;0,Machine!$H47&gt;=200,Machine!$H47&lt;250),$E38,0)</f>
        <v>0</v>
      </c>
      <c r="L38" s="1405" t="str">
        <f>IF(Machine!$B47&gt;0,K38*Trips!$M37*$D38," ")</f>
        <v xml:space="preserve"> </v>
      </c>
      <c r="M38" s="1413">
        <f>IF(AND($D38&gt;0,Machine!$H47&gt;=250),$E38,0)</f>
        <v>0</v>
      </c>
      <c r="N38" s="1412" t="str">
        <f>IF(Machine!$B47&gt;0,M38*Trips!$M37*$D38," ")</f>
        <v xml:space="preserve"> 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>
        <f>IF(Machine!B48&gt;0,Machine!B48," ")</f>
        <v>1</v>
      </c>
      <c r="E39" s="1525"/>
      <c r="F39" s="1354">
        <f>IF(Machine!$B48&gt;0,E39*Trips!$M38*$D39," ")</f>
        <v>0</v>
      </c>
      <c r="G39" s="1394">
        <f>IF(AND($D39&gt;0,Machine!$H48&lt;=170),$E39,0)</f>
        <v>0</v>
      </c>
      <c r="H39" s="1393">
        <f>IF(Machine!$B48&gt;0,G39*Trips!$M38*$D39," ")</f>
        <v>0</v>
      </c>
      <c r="I39" s="1398">
        <f>IF(AND($D39&gt;0,Machine!$H48&gt;170,Machine!$H48&lt;200),$E39,0)</f>
        <v>0</v>
      </c>
      <c r="J39" s="1399">
        <f>IF(Machine!$B48&gt;0,I39*Trips!$M38*$D39," ")</f>
        <v>0</v>
      </c>
      <c r="K39" s="1404">
        <f>IF(AND($D39&gt;0,Machine!$H48&gt;=200,Machine!$H48&lt;250),$E39,0)</f>
        <v>0</v>
      </c>
      <c r="L39" s="1405">
        <f>IF(Machine!$B48&gt;0,K39*Trips!$M38*$D39," ")</f>
        <v>0</v>
      </c>
      <c r="M39" s="1413">
        <f>IF(AND($D39&gt;0,Machine!$H48&gt;=250),$E39,0)</f>
        <v>0</v>
      </c>
      <c r="N39" s="1412">
        <f>IF(Machine!$B48&gt;0,M39*Trips!$M38*$D39," ")</f>
        <v>0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>
        <f>IF(Machine!B49&gt;0,Machine!B49," ")</f>
        <v>1</v>
      </c>
      <c r="E40" s="1525"/>
      <c r="F40" s="1354">
        <f>IF(Machine!$B49&gt;0,E40*Trips!$M39*$D40," ")</f>
        <v>0</v>
      </c>
      <c r="G40" s="1394">
        <f>IF(AND($D40&gt;0,Machine!$H49&lt;=170),$E40,0)</f>
        <v>0</v>
      </c>
      <c r="H40" s="1393">
        <f>IF(Machine!$B49&gt;0,G40*Trips!$M39*$D40," ")</f>
        <v>0</v>
      </c>
      <c r="I40" s="1398">
        <f>IF(AND($D40&gt;0,Machine!$H49&gt;170,Machine!$H49&lt;200),$E40,0)</f>
        <v>0</v>
      </c>
      <c r="J40" s="1399">
        <f>IF(Machine!$B49&gt;0,I40*Trips!$M39*$D40," ")</f>
        <v>0</v>
      </c>
      <c r="K40" s="1404">
        <f>IF(AND($D40&gt;0,Machine!$H49&gt;=200,Machine!$H49&lt;250),$E40,0)</f>
        <v>0</v>
      </c>
      <c r="L40" s="1405">
        <f>IF(Machine!$B49&gt;0,K40*Trips!$M39*$D40," ")</f>
        <v>0</v>
      </c>
      <c r="M40" s="1413">
        <f>IF(AND($D40&gt;0,Machine!$H49&gt;=250),$E40,0)</f>
        <v>0</v>
      </c>
      <c r="N40" s="1412">
        <f>IF(Machine!$B49&gt;0,M40*Trips!$M39*$D40," ")</f>
        <v>0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 t="str">
        <f>IF(Machine!B69&gt;0,Machine!B69," ")</f>
        <v xml:space="preserve"> </v>
      </c>
      <c r="E60" s="1525"/>
      <c r="F60" s="1354" t="str">
        <f>IF(Machine!$B69&gt;0,E60*Trips!$M$59*$D60," ")</f>
        <v xml:space="preserve"> 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 t="str">
        <f>IF(Machine!B74&gt;0,Machine!B74," ")</f>
        <v xml:space="preserve"> </v>
      </c>
      <c r="E65" s="1525"/>
      <c r="F65" s="1354" t="str">
        <f>IF(Machine!$B74&gt;0,E65*Trips!$M$59*$D65," ")</f>
        <v xml:space="preserve"> </v>
      </c>
      <c r="G65" s="1394">
        <f>IF(AND($D65&gt;0,Machine!$H74&lt;=170),$E65,0)</f>
        <v>0</v>
      </c>
      <c r="H65" s="1393" t="str">
        <f>IF(Machine!$B74&gt;0,G65*Trips!$M$59*$D65," ")</f>
        <v xml:space="preserve"> </v>
      </c>
      <c r="I65" s="1398">
        <f>IF(AND($D65&gt;0,Machine!$H74&gt;170,Machine!$H74&lt;200),$E65,0)</f>
        <v>0</v>
      </c>
      <c r="J65" s="1399" t="str">
        <f>IF(Machine!$B74&gt;0,I65*Trips!$M$59*$D65," ")</f>
        <v xml:space="preserve"> </v>
      </c>
      <c r="K65" s="1404">
        <f>IF(AND($D65&gt;0,Machine!$H74&gt;=200,Machine!$H74&lt;250),$E65,0)</f>
        <v>0</v>
      </c>
      <c r="L65" s="1405" t="str">
        <f>IF(Machine!$B74&gt;0,K65*Trips!$M$59*$D65," ")</f>
        <v xml:space="preserve"> </v>
      </c>
      <c r="M65" s="1413">
        <f>IF(AND($D65&gt;0,Machine!$H74&gt;=250),$E65,0)</f>
        <v>0</v>
      </c>
      <c r="N65" s="1412" t="str">
        <f>IF(Machine!$B74&gt;0,M65*Trips!$M$59*$D65," ")</f>
        <v xml:space="preserve"> 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>
        <f>IF(Machine!B76&gt;0,Machine!B76," ")</f>
        <v>1</v>
      </c>
      <c r="E67" s="1525"/>
      <c r="F67" s="1354">
        <f>IF(Machine!$B76&gt;0,E67*Trips!$M$66*$D67," ")</f>
        <v>0</v>
      </c>
      <c r="G67" s="1394">
        <f>IF(AND($D67&gt;0,Machine!$H76&lt;=170),$E67,0)</f>
        <v>0</v>
      </c>
      <c r="H67" s="1393">
        <f>IF(Machine!$B76&gt;0,G67*Trips!$M$66*$D67," ")</f>
        <v>0</v>
      </c>
      <c r="I67" s="1398">
        <f>IF(AND($D67&gt;0,Machine!$H76&gt;170,Machine!$H76&lt;200),$E67,0)</f>
        <v>0</v>
      </c>
      <c r="J67" s="1399">
        <f>IF(Machine!$B76&gt;0,I67*Trips!$M$66*$D67," ")</f>
        <v>0</v>
      </c>
      <c r="K67" s="1404">
        <f>IF(AND($D67&gt;0,Machine!$H76&gt;=200,Machine!$H76&lt;250),$E67,0)</f>
        <v>0</v>
      </c>
      <c r="L67" s="1405">
        <f>IF(Machine!$B76&gt;0,K67*Trips!$M$66*$D67," ")</f>
        <v>0</v>
      </c>
      <c r="M67" s="1413">
        <f>IF(AND($D67&gt;0,Machine!$H76&gt;=250),$E67,0)</f>
        <v>0</v>
      </c>
      <c r="N67" s="1412">
        <f>IF(Machine!$B76&gt;0,M67*Trips!$M$66*$D67," ")</f>
        <v>0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>
        <f>IF(Machine!B77&gt;0,Machine!B77," ")</f>
        <v>1</v>
      </c>
      <c r="E68" s="1525"/>
      <c r="F68" s="1354">
        <f>IF(Machine!$B77&gt;0,E68*Trips!$M$66*$D68," ")</f>
        <v>0</v>
      </c>
      <c r="G68" s="1394">
        <f>IF(AND($D68&gt;0,Machine!$H77&lt;=170),$E68,0)</f>
        <v>0</v>
      </c>
      <c r="H68" s="1393">
        <f>IF(Machine!$B77&gt;0,G68*Trips!$M$66*$D68," ")</f>
        <v>0</v>
      </c>
      <c r="I68" s="1398">
        <f>IF(AND($D68&gt;0,Machine!$H77&gt;170,Machine!$H77&lt;200),$E68,0)</f>
        <v>0</v>
      </c>
      <c r="J68" s="1399">
        <f>IF(Machine!$B77&gt;0,I68*Trips!$M$66*$D68," ")</f>
        <v>0</v>
      </c>
      <c r="K68" s="1404">
        <f>IF(AND($D68&gt;0,Machine!$H77&gt;=200,Machine!$H77&lt;250),$E68,0)</f>
        <v>0</v>
      </c>
      <c r="L68" s="1405">
        <f>IF(Machine!$B77&gt;0,K68*Trips!$M$66*$D68," ")</f>
        <v>0</v>
      </c>
      <c r="M68" s="1413">
        <f>IF(AND($D68&gt;0,Machine!$H77&gt;=250),$E68,0)</f>
        <v>0</v>
      </c>
      <c r="N68" s="1412">
        <f>IF(Machine!$B77&gt;0,M68*Trips!$M$66*$D68," ")</f>
        <v>0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55.668016194331983</v>
      </c>
      <c r="K73" s="3"/>
      <c r="L73" s="1359">
        <f>SUM(L5:L72)</f>
        <v>60.307017543859651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139</v>
      </c>
      <c r="C4" s="182">
        <f>SUM(A5_Chem_Look_Up!G24:G33)+SUM(A5_Chem_Look_Up!G38:G39)</f>
        <v>9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8</v>
      </c>
      <c r="C5" s="585">
        <f>IF(A2_Budget_Look_Up!B13&gt;0,SUM(A5_Chem_Look_Up!G44:G50),0)</f>
        <v>58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147</v>
      </c>
      <c r="C6" s="182">
        <f>C4+C5</f>
        <v>67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4.3473117643579586</v>
      </c>
      <c r="C7" s="1456">
        <f>C6/$E$6</f>
        <v>1.9814278109658721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27.996687762465257</v>
      </c>
      <c r="C9" s="1459">
        <f>C7*C8</f>
        <v>10.778967291654345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0</v>
      </c>
      <c r="D15" s="1456">
        <f>C15/$B$12</f>
        <v>0</v>
      </c>
      <c r="E15" s="1456">
        <v>1.3</v>
      </c>
      <c r="F15" s="1456">
        <f>D15*E15</f>
        <v>0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65</v>
      </c>
      <c r="D16" s="1456">
        <f>C16/$B$12</f>
        <v>29.483472245846798</v>
      </c>
      <c r="E16" s="1456">
        <v>0.2</v>
      </c>
      <c r="F16" s="1456">
        <f>D16*E16</f>
        <v>5.8966944491693596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85</v>
      </c>
      <c r="D17" s="1456">
        <f>C17/$B$12</f>
        <v>38.555309859953503</v>
      </c>
      <c r="E17" s="1456">
        <v>0.16</v>
      </c>
      <c r="F17" s="1456">
        <f>D17*E17</f>
        <v>6.1688495775925603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12.06554402676192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0</v>
      </c>
      <c r="D22" s="1456">
        <f>C22/$B$12</f>
        <v>0</v>
      </c>
      <c r="E22" s="1456">
        <v>1.27</v>
      </c>
      <c r="F22" s="1459">
        <f>D22*E22</f>
        <v>0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13.029359811940973</v>
      </c>
      <c r="D28" s="1456">
        <f>C28/$B$25</f>
        <v>49.321875352768942</v>
      </c>
      <c r="E28" s="1456">
        <v>0.84</v>
      </c>
      <c r="F28" s="1456">
        <f>D28*E28</f>
        <v>41.430375296325913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21.529909774436092</v>
      </c>
      <c r="D29" s="1450">
        <f>C29/$B$25</f>
        <v>81.500207345406707</v>
      </c>
      <c r="E29" s="1450">
        <v>0.84</v>
      </c>
      <c r="F29" s="1450">
        <f>D29*E29</f>
        <v>68.460174170141627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109.89054946646755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160.73174854734907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397.18422383535426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0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397.18422383535426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2024-11-14T07:42:20Z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