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6C55C229-EEC0-45BE-9F5F-F45CF828000F}" xr6:coauthVersionLast="47" xr6:coauthVersionMax="47" xr10:uidLastSave="{00000000-0000-0000-0000-000000000000}"/>
  <bookViews>
    <workbookView xWindow="1170" yWindow="1170" windowWidth="14460" windowHeight="12990" xr2:uid="{D29855A1-290D-4B7F-A9E5-99329D8F031A}"/>
  </bookViews>
  <sheets>
    <sheet name="Budget" sheetId="1" r:id="rId1"/>
    <sheet name="Field_Activities" sheetId="3" r:id="rId2"/>
  </sheets>
  <externalReferences>
    <externalReference r:id="rId3"/>
  </externalReferences>
  <definedNames>
    <definedName name="_xlnm.Print_Area" localSheetId="1">Field_Activities!$A$2:$D$18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J62" i="1"/>
  <c r="C34" i="1"/>
  <c r="C27" i="1"/>
  <c r="C26" i="1"/>
  <c r="J57" i="1" l="1"/>
  <c r="E26" i="3"/>
  <c r="E25" i="3"/>
  <c r="E24" i="3"/>
  <c r="E23" i="3"/>
  <c r="E22" i="3"/>
  <c r="E20" i="3"/>
  <c r="E19" i="3"/>
  <c r="E18" i="3"/>
  <c r="E16" i="3"/>
  <c r="E12" i="3"/>
  <c r="E11" i="3"/>
  <c r="E10" i="3"/>
  <c r="E9" i="3"/>
  <c r="E7" i="3"/>
  <c r="E6" i="3"/>
  <c r="E5" i="3"/>
  <c r="E4" i="3"/>
  <c r="E28" i="1" l="1"/>
  <c r="C24" i="1"/>
  <c r="C23" i="1"/>
  <c r="C22" i="1"/>
  <c r="C21" i="1"/>
  <c r="D52" i="1"/>
  <c r="D58" i="1"/>
  <c r="D57" i="1"/>
  <c r="D51" i="1"/>
  <c r="D56" i="1"/>
  <c r="G28" i="1" l="1"/>
  <c r="H28" i="1" s="1"/>
  <c r="E15" i="1"/>
  <c r="E49" i="1"/>
  <c r="G49" i="1" s="1"/>
  <c r="G15" i="1" l="1"/>
  <c r="H15" i="1" s="1"/>
  <c r="H49" i="1"/>
  <c r="E54" i="1" l="1"/>
  <c r="G54" i="1" l="1"/>
  <c r="H54" i="1" s="1"/>
  <c r="E18" i="1" l="1"/>
  <c r="G18" i="1" s="1"/>
  <c r="E34" i="1"/>
  <c r="G34" i="1" s="1"/>
  <c r="H34" i="1" s="1"/>
  <c r="E38" i="1"/>
  <c r="E14" i="1"/>
  <c r="E17" i="1"/>
  <c r="G17" i="1" s="1"/>
  <c r="E19" i="1"/>
  <c r="H18" i="1" l="1"/>
  <c r="G38" i="1"/>
  <c r="H38" i="1" s="1"/>
  <c r="G14" i="1"/>
  <c r="H14" i="1" s="1"/>
  <c r="J15" i="1" s="1"/>
  <c r="G19" i="1"/>
  <c r="H19" i="1" s="1"/>
  <c r="H17" i="1"/>
  <c r="J19" i="1" l="1"/>
  <c r="E70" i="1"/>
  <c r="G70" i="1" s="1"/>
  <c r="E69" i="1"/>
  <c r="E68" i="1"/>
  <c r="G68" i="1" s="1"/>
  <c r="H68" i="1" s="1"/>
  <c r="E63" i="1"/>
  <c r="G63" i="1" s="1"/>
  <c r="H63" i="1" s="1"/>
  <c r="E62" i="1"/>
  <c r="E61" i="1"/>
  <c r="G61" i="1" s="1"/>
  <c r="E60" i="1"/>
  <c r="G60" i="1" s="1"/>
  <c r="E58" i="1"/>
  <c r="G58" i="1" s="1"/>
  <c r="H58" i="1" s="1"/>
  <c r="E57" i="1"/>
  <c r="G57" i="1" s="1"/>
  <c r="H57" i="1" s="1"/>
  <c r="E56" i="1"/>
  <c r="G56" i="1" s="1"/>
  <c r="E52" i="1"/>
  <c r="G52" i="1" s="1"/>
  <c r="H52" i="1" s="1"/>
  <c r="E51" i="1"/>
  <c r="G51" i="1" s="1"/>
  <c r="E47" i="1"/>
  <c r="G47" i="1" s="1"/>
  <c r="H47" i="1" s="1"/>
  <c r="E45" i="1"/>
  <c r="E43" i="1"/>
  <c r="G43" i="1" s="1"/>
  <c r="E41" i="1"/>
  <c r="E36" i="1"/>
  <c r="G36" i="1" s="1"/>
  <c r="H36" i="1" s="1"/>
  <c r="E33" i="1"/>
  <c r="E32" i="1"/>
  <c r="G32" i="1" s="1"/>
  <c r="H32" i="1" s="1"/>
  <c r="E31" i="1"/>
  <c r="E30" i="1"/>
  <c r="G30" i="1" s="1"/>
  <c r="E29" i="1"/>
  <c r="E27" i="1"/>
  <c r="G27" i="1" s="1"/>
  <c r="E26" i="1"/>
  <c r="G26" i="1" s="1"/>
  <c r="H26" i="1" s="1"/>
  <c r="E24" i="1"/>
  <c r="E23" i="1"/>
  <c r="G23" i="1" s="1"/>
  <c r="H23" i="1" s="1"/>
  <c r="E22" i="1"/>
  <c r="E21" i="1"/>
  <c r="E7" i="1"/>
  <c r="G21" i="1" l="1"/>
  <c r="H21" i="1" s="1"/>
  <c r="E64" i="1"/>
  <c r="E8" i="1"/>
  <c r="G7" i="1"/>
  <c r="G8" i="1" s="1"/>
  <c r="E12" i="1" s="1"/>
  <c r="H12" i="1" s="1"/>
  <c r="H51" i="1"/>
  <c r="H56" i="1"/>
  <c r="J58" i="1" s="1"/>
  <c r="H30" i="1"/>
  <c r="H61" i="1"/>
  <c r="G22" i="1"/>
  <c r="H22" i="1" s="1"/>
  <c r="H27" i="1"/>
  <c r="G31" i="1"/>
  <c r="H31" i="1" s="1"/>
  <c r="G45" i="1"/>
  <c r="H45" i="1" s="1"/>
  <c r="H60" i="1"/>
  <c r="G62" i="1"/>
  <c r="H62" i="1" s="1"/>
  <c r="G24" i="1"/>
  <c r="H24" i="1" s="1"/>
  <c r="G33" i="1"/>
  <c r="H33" i="1" s="1"/>
  <c r="H70" i="1"/>
  <c r="E71" i="1"/>
  <c r="H43" i="1"/>
  <c r="G29" i="1"/>
  <c r="H29" i="1" s="1"/>
  <c r="G41" i="1"/>
  <c r="H41" i="1" s="1"/>
  <c r="G69" i="1"/>
  <c r="H69" i="1" s="1"/>
  <c r="J34" i="1" l="1"/>
  <c r="J36" i="1" s="1"/>
  <c r="J38" i="1" s="1"/>
  <c r="J24" i="1"/>
  <c r="H7" i="1"/>
  <c r="G71" i="1"/>
  <c r="H71" i="1" s="1"/>
  <c r="H8" i="1"/>
  <c r="E72" i="1" l="1"/>
  <c r="G64" i="1"/>
  <c r="E65" i="1" l="1"/>
  <c r="H64" i="1"/>
  <c r="G65" i="1"/>
  <c r="G72" i="1"/>
  <c r="G73" i="1" s="1"/>
  <c r="E73" i="1"/>
  <c r="H72" i="1" l="1"/>
  <c r="H65" i="1"/>
  <c r="H73" i="1"/>
  <c r="E13" i="3" l="1"/>
  <c r="E14" i="3"/>
  <c r="E8" i="3" l="1"/>
  <c r="E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<sst xmlns="http://schemas.openxmlformats.org/spreadsheetml/2006/main" count="197" uniqueCount="142">
  <si>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</si>
  <si>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</si>
  <si>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</si>
  <si>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</si>
  <si>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</si>
  <si>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</si>
  <si>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</si>
  <si>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</si>
  <si>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</si>
  <si>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</si>
  <si>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Rice</t>
  </si>
  <si>
    <t>bu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</si>
  <si>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</si>
  <si>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</si>
  <si>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</si>
  <si>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</si>
  <si>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</si>
  <si>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>pt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</si>
  <si>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</si>
  <si>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</si>
  <si>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</si>
  <si>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</si>
  <si>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</si>
  <si>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>lb</t>
  </si>
  <si>
    <t xml:space="preserve">  ADJUVANTS</t>
  </si>
  <si>
    <t xml:space="preserve">  HAULING</t>
  </si>
  <si>
    <t>Haul Rice</t>
  </si>
  <si>
    <t xml:space="preserve">  DRYING</t>
  </si>
  <si>
    <t>Dry Rice</t>
  </si>
  <si>
    <t xml:space="preserve">  SURVEY &amp; MARK LEVEES</t>
  </si>
  <si>
    <t>Survey &amp; Mark Levees</t>
  </si>
  <si>
    <t>acre</t>
  </si>
  <si>
    <t>Rice Consultant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</si>
  <si>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</si>
  <si>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</si>
  <si>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</si>
  <si>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</si>
  <si>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</si>
  <si>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</si>
  <si>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</si>
  <si>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>Flood Irr.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</si>
  <si>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</si>
  <si>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</si>
  <si>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</si>
  <si>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</si>
  <si>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</si>
  <si>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</si>
  <si>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</si>
  <si>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</si>
  <si>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Estimated costs and returns per acre</t>
  </si>
  <si>
    <t>Flood irrigated, 30 ac-in., Arkansas, 2024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</si>
  <si>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</si>
  <si>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</si>
  <si>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</si>
  <si>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</si>
  <si>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Command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</si>
  <si>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</si>
  <si>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Prowl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</si>
  <si>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Permit Plus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</si>
  <si>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Basagran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</si>
  <si>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Urea, agrotain treated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</si>
  <si>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Urea (46-0-0)</t>
    </r>
    <r>
      <rPr>
        <vertAlign val="superscript"/>
        <sz val="11"/>
        <color rgb="FF990000"/>
        <rFont val="Calibri"/>
        <family val="2"/>
        <scheme val="minor"/>
      </rPr>
      <t>7</t>
    </r>
  </si>
  <si>
    <t xml:space="preserve">  CROP CONSULTANT/SCOUTING FEE</t>
  </si>
  <si>
    <t>Rice Seed</t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</si>
  <si>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</t>
    </r>
  </si>
  <si>
    <t>Tractors/Implements</t>
  </si>
  <si>
    <t>Field Trip</t>
  </si>
  <si>
    <t>Width</t>
  </si>
  <si>
    <t>Activity</t>
  </si>
  <si>
    <t>Estimated Cost Per Acre*</t>
  </si>
  <si>
    <t>Disk</t>
  </si>
  <si>
    <t>32 ft.</t>
  </si>
  <si>
    <t>Fall Tillage</t>
  </si>
  <si>
    <t>Field Cultivator</t>
  </si>
  <si>
    <t>36 ft.</t>
  </si>
  <si>
    <t>Land  Plane</t>
  </si>
  <si>
    <t>17 ft.</t>
  </si>
  <si>
    <t>Ditcher</t>
  </si>
  <si>
    <t>Fall</t>
  </si>
  <si>
    <t>Custom Ground Application</t>
  </si>
  <si>
    <t>Herbicide (Burndown)</t>
  </si>
  <si>
    <t>2 pt Glyphosate</t>
  </si>
  <si>
    <t>Fertilizer</t>
  </si>
  <si>
    <t>Grain Drill</t>
  </si>
  <si>
    <t>30 ft.</t>
  </si>
  <si>
    <t>Plant</t>
  </si>
  <si>
    <t>Make Levees</t>
  </si>
  <si>
    <t>Three Round-Trips</t>
  </si>
  <si>
    <t>Levee Gates</t>
  </si>
  <si>
    <t>Total Season Activities</t>
  </si>
  <si>
    <t>Custom Aerial Application</t>
  </si>
  <si>
    <t>Herbicide</t>
  </si>
  <si>
    <t>Flood Field</t>
  </si>
  <si>
    <t>Insecticide</t>
  </si>
  <si>
    <t>Fungicide</t>
  </si>
  <si>
    <t>Drain Field</t>
  </si>
  <si>
    <t>Combine</t>
  </si>
  <si>
    <t>325 hp</t>
  </si>
  <si>
    <t>Harvest</t>
  </si>
  <si>
    <t>Head</t>
  </si>
  <si>
    <t>30 ft Rigid</t>
  </si>
  <si>
    <t>Grain Wagon (875 bu)</t>
  </si>
  <si>
    <t>Remove Levees</t>
  </si>
  <si>
    <t xml:space="preserve">Stubble Roller </t>
  </si>
  <si>
    <t>Manage Stubble</t>
  </si>
  <si>
    <t xml:space="preserve">  CROP INSURANCE</t>
  </si>
  <si>
    <t>Rice Crop Insurance</t>
  </si>
  <si>
    <t xml:space="preserve">  LAND EXPENSE</t>
  </si>
  <si>
    <t>Cash Land Rent</t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</si>
  <si>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3,4,5,8,9</t>
    </r>
  </si>
  <si>
    <r>
      <t>Aerial App Fert</t>
    </r>
    <r>
      <rPr>
        <vertAlign val="superscript"/>
        <sz val="11"/>
        <color rgb="FF990000"/>
        <rFont val="Calibri"/>
        <family val="2"/>
        <scheme val="minor"/>
      </rPr>
      <t>6,7</t>
    </r>
  </si>
  <si>
    <t>Rice Seed Cv (Levees)</t>
  </si>
  <si>
    <t xml:space="preserve">  IRRIGATE LABOR</t>
  </si>
  <si>
    <r>
      <t>Tenchu</t>
    </r>
    <r>
      <rPr>
        <vertAlign val="superscript"/>
        <sz val="11"/>
        <color rgb="FF990000"/>
        <rFont val="Calibri"/>
        <family val="2"/>
        <scheme val="minor"/>
      </rPr>
      <t>8</t>
    </r>
  </si>
  <si>
    <t>**Implements assumed in use for this budget are as follows: 1 x disk; 1 x ditcher; 1 x field cultivator; 1 x land plane; 1 x grain drill; 2 x levee pull; 1x levee pull, planter/incorporate; 1 x install gates; 1 x take down levees; 1 x stubble roller</t>
  </si>
  <si>
    <t>Tractors/Implements**</t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</si>
  <si>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</si>
  <si>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</si>
  <si>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>FullPage Hybrid Rice</t>
  </si>
  <si>
    <r>
      <t>Preface</t>
    </r>
    <r>
      <rPr>
        <vertAlign val="superscript"/>
        <sz val="11"/>
        <color rgb="FF990000"/>
        <rFont val="Calibri"/>
        <family val="2"/>
        <scheme val="minor"/>
      </rPr>
      <t>3</t>
    </r>
  </si>
  <si>
    <t>87 lbs Phosphate (0-46-0), 100 lbs Potash (0-0-60)</t>
  </si>
  <si>
    <t>23 lbs seed per acre</t>
  </si>
  <si>
    <t>12.8 oz Command, 5 oz Preface, 2 pt Glyphosate</t>
  </si>
  <si>
    <t>2.1 pt Prowl, 5 oz Preface, 0.75 oz Permit Plus</t>
  </si>
  <si>
    <t>5 oz Postscript, 1.5 pt Basagran</t>
  </si>
  <si>
    <r>
      <rPr>
        <sz val="10"/>
        <rFont val="Times New Roman"/>
        <family val="1"/>
      </rPr>
      <t xml:space="preserve">260 </t>
    </r>
    <r>
      <rPr>
        <sz val="10"/>
        <color indexed="8"/>
        <rFont val="Times New Roman"/>
        <family val="1"/>
      </rPr>
      <t xml:space="preserve">lb Urea (46-0-0), </t>
    </r>
    <r>
      <rPr>
        <sz val="10"/>
        <rFont val="Times New Roman"/>
        <family val="1"/>
      </rPr>
      <t xml:space="preserve">0.52 </t>
    </r>
    <r>
      <rPr>
        <sz val="10"/>
        <color indexed="8"/>
        <rFont val="Times New Roman"/>
        <family val="1"/>
      </rPr>
      <t>qt Agrotain treated</t>
    </r>
  </si>
  <si>
    <t>70 lb Urea (46-0-0)</t>
  </si>
  <si>
    <t>8 oz Tenchu</t>
  </si>
  <si>
    <t>8 oz Tilt 3.6 EC</t>
  </si>
  <si>
    <t>Table A. Rice Field Activities, FullPage Hybrid Seed</t>
  </si>
  <si>
    <r>
      <t>Preface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</si>
  <si>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Postscript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</si>
  <si>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Tilt 3.6 EC</t>
    </r>
    <r>
      <rPr>
        <vertAlign val="superscript"/>
        <sz val="11"/>
        <color rgb="FF990000"/>
        <rFont val="Calibri"/>
        <family val="2"/>
        <scheme val="minor"/>
      </rPr>
      <t>9</t>
    </r>
  </si>
  <si>
    <t>Note: Cost of production estimates are based on input prices gathered in fall 2023. These budgets are an adaptation of budgets from MSState following University of Arkansas System Recommendations.</t>
  </si>
  <si>
    <t>Total Seed</t>
  </si>
  <si>
    <t>Total Custom App</t>
  </si>
  <si>
    <t>Total Fert</t>
  </si>
  <si>
    <t>Total Herbicides</t>
  </si>
  <si>
    <t>Total Crop Protectants</t>
  </si>
  <si>
    <t>Total Gallons</t>
  </si>
  <si>
    <t>Total Diesel Cost</t>
  </si>
  <si>
    <t>Total Repair/Maint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</si>
</sst>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trike/>
      <sz val="10"/>
      <color indexed="8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84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6" fillId="2" borderId="0" xfId="0" applyFont="1" applyFill="1" applyAlignment="1">
      <alignment horizontal="center"/>
    </xf>
    <xf numFmtId="44" fontId="0" fillId="0" borderId="0" xfId="1" applyFont="1" applyBorder="1"/>
    <xf numFmtId="0" fontId="8" fillId="2" borderId="0" xfId="2" applyFill="1"/>
    <xf numFmtId="0" fontId="8" fillId="0" borderId="0" xfId="2"/>
    <xf numFmtId="0" fontId="12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2" fillId="0" borderId="0" xfId="1" applyFont="1"/>
    <xf numFmtId="44" fontId="2" fillId="0" borderId="0" xfId="0" applyNumberFormat="1" applyFont="1"/>
    <xf numFmtId="0" fontId="10" fillId="2" borderId="0" xfId="2" applyFont="1" applyFill="1"/>
    <xf numFmtId="0" fontId="0" fillId="2" borderId="12" xfId="0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13" xfId="0" applyFont="1" applyFill="1" applyBorder="1"/>
    <xf numFmtId="0" fontId="9" fillId="2" borderId="14" xfId="0" applyFont="1" applyFill="1" applyBorder="1"/>
    <xf numFmtId="0" fontId="9" fillId="2" borderId="15" xfId="0" applyFont="1" applyFill="1" applyBorder="1" applyAlignment="1">
      <alignment horizontal="center"/>
    </xf>
    <xf numFmtId="0" fontId="9" fillId="2" borderId="28" xfId="0" applyFont="1" applyFill="1" applyBorder="1"/>
    <xf numFmtId="8" fontId="9" fillId="2" borderId="15" xfId="0" applyNumberFormat="1" applyFont="1" applyFill="1" applyBorder="1" applyAlignment="1">
      <alignment horizontal="center"/>
    </xf>
    <xf numFmtId="0" fontId="9" fillId="2" borderId="16" xfId="0" applyFont="1" applyFill="1" applyBorder="1"/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8" fontId="10" fillId="2" borderId="17" xfId="0" applyNumberFormat="1" applyFont="1" applyFill="1" applyBorder="1" applyAlignment="1">
      <alignment horizontal="center"/>
    </xf>
    <xf numFmtId="0" fontId="9" fillId="2" borderId="17" xfId="0" applyFont="1" applyFill="1" applyBorder="1"/>
    <xf numFmtId="0" fontId="9" fillId="2" borderId="18" xfId="0" applyFont="1" applyFill="1" applyBorder="1"/>
    <xf numFmtId="8" fontId="9" fillId="2" borderId="17" xfId="0" applyNumberFormat="1" applyFont="1" applyFill="1" applyBorder="1" applyAlignment="1">
      <alignment horizontal="center"/>
    </xf>
    <xf numFmtId="0" fontId="10" fillId="2" borderId="18" xfId="0" applyFont="1" applyFill="1" applyBorder="1"/>
    <xf numFmtId="0" fontId="9" fillId="2" borderId="19" xfId="0" applyFont="1" applyFill="1" applyBorder="1"/>
    <xf numFmtId="0" fontId="9" fillId="2" borderId="17" xfId="0" applyFont="1" applyFill="1" applyBorder="1" applyAlignment="1">
      <alignment horizontal="center" wrapText="1"/>
    </xf>
    <xf numFmtId="0" fontId="11" fillId="2" borderId="1" xfId="0" applyFont="1" applyFill="1" applyBorder="1"/>
    <xf numFmtId="0" fontId="9" fillId="2" borderId="30" xfId="0" applyFont="1" applyFill="1" applyBorder="1"/>
    <xf numFmtId="0" fontId="9" fillId="2" borderId="8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20" xfId="0" applyFont="1" applyFill="1" applyBorder="1"/>
    <xf numFmtId="0" fontId="9" fillId="2" borderId="21" xfId="0" applyFont="1" applyFill="1" applyBorder="1"/>
    <xf numFmtId="0" fontId="9" fillId="2" borderId="22" xfId="0" applyFont="1" applyFill="1" applyBorder="1" applyAlignment="1">
      <alignment horizontal="center"/>
    </xf>
    <xf numFmtId="8" fontId="9" fillId="2" borderId="24" xfId="0" applyNumberFormat="1" applyFont="1" applyFill="1" applyBorder="1" applyAlignment="1">
      <alignment horizontal="center"/>
    </xf>
    <xf numFmtId="0" fontId="9" fillId="2" borderId="4" xfId="0" applyFont="1" applyFill="1" applyBorder="1"/>
    <xf numFmtId="0" fontId="9" fillId="2" borderId="0" xfId="0" applyFont="1" applyFill="1"/>
    <xf numFmtId="0" fontId="9" fillId="2" borderId="2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8" fontId="9" fillId="2" borderId="25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/>
    <xf numFmtId="0" fontId="9" fillId="2" borderId="6" xfId="0" applyFont="1" applyFill="1" applyBorder="1"/>
    <xf numFmtId="0" fontId="9" fillId="2" borderId="2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8" fontId="9" fillId="2" borderId="26" xfId="0" applyNumberFormat="1" applyFont="1" applyFill="1" applyBorder="1" applyAlignment="1">
      <alignment horizontal="center"/>
    </xf>
    <xf numFmtId="0" fontId="9" fillId="2" borderId="27" xfId="0" applyFont="1" applyFill="1" applyBorder="1"/>
    <xf numFmtId="0" fontId="9" fillId="2" borderId="28" xfId="0" applyFont="1" applyFill="1" applyBorder="1" applyAlignment="1">
      <alignment horizontal="center"/>
    </xf>
    <xf numFmtId="0" fontId="0" fillId="2" borderId="29" xfId="0" applyFill="1" applyBorder="1"/>
    <xf numFmtId="0" fontId="9" fillId="2" borderId="7" xfId="0" applyFont="1" applyFill="1" applyBorder="1" applyAlignment="1">
      <alignment horizontal="center"/>
    </xf>
    <xf numFmtId="0" fontId="14" fillId="0" borderId="0" xfId="0" applyFont="1"/>
    <xf numFmtId="44" fontId="14" fillId="0" borderId="0" xfId="0" applyNumberFormat="1" applyFont="1"/>
    <xf numFmtId="0" fontId="15" fillId="0" borderId="0" xfId="0" applyFont="1"/>
    <xf numFmtId="167" fontId="14" fillId="0" borderId="0" xfId="0" applyNumberFormat="1" applyFont="1"/>
    <xf numFmtId="0" fontId="0" fillId="0" borderId="0" xfId="0" applyAlignment="1">
      <alignment wrapText="1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left"/>
    </xf>
    <xf numFmtId="0" fontId="8" fillId="0" borderId="11" xfId="0" applyFont="1" applyBorder="1"/>
    <xf numFmtId="0" fontId="0" fillId="0" borderId="0" xfId="0" applyFont="1"/>
  </cellXfs>
  <cellStyles count="3">
    <cellStyle name="Currency" xfId="1" builtinId="4"/>
    <cellStyle name="Normal" xfId="0" builtinId="0"/>
    <cellStyle name="Normal 2" xfId="2" xr:uid="{7F815CE7-D695-4C0A-8D2B-F4CD3FE460F1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f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84905</xdr:rowOff>
    </xdr:from>
    <xdr:to>
      <xdr:col>0</xdr:col>
      <xdr:colOff>989277</xdr:colOff>
      <xdr:row>2</xdr:row>
      <xdr:rowOff>152401</xdr:rowOff>
    </xdr:to>
    <xdr:pic>
      <xdr:nvPicPr>
        <xdr:cNvPr id="3" name="Picture 2" descr="Arkansas Rice Check-Off Logo">
          <a:extLst>
            <a:ext uri="{FF2B5EF4-FFF2-40B4-BE49-F238E27FC236}">
              <a16:creationId xmlns:a16="http://schemas.microsoft.com/office/drawing/2014/main" id="{4495D2E4-36B3-4FB7-9E7A-CA001D35C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84905"/>
          <a:ext cx="941653" cy="543746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0</xdr:row>
      <xdr:rowOff>0</xdr:rowOff>
    </xdr:from>
    <xdr:to>
      <xdr:col>1</xdr:col>
      <xdr:colOff>171449</xdr:colOff>
      <xdr:row>2</xdr:row>
      <xdr:rowOff>190500</xdr:rowOff>
    </xdr:to>
    <xdr:pic>
      <xdr:nvPicPr>
        <xdr:cNvPr id="4" name="Picture 3" descr="Arkansas Rice Promotion Board Logo">
          <a:extLst>
            <a:ext uri="{FF2B5EF4-FFF2-40B4-BE49-F238E27FC236}">
              <a16:creationId xmlns:a16="http://schemas.microsoft.com/office/drawing/2014/main" id="{82F154D6-E9B8-4A33-8945-FF1656802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628649" cy="666750"/>
        </a:xfrm>
        <a:prstGeom prst="rect">
          <a:avLst/>
        </a:prstGeom>
      </xdr:spPr>
    </xdr:pic>
    <xdr:clientData/>
  </xdr:twoCellAnchor>
  <xdr:twoCellAnchor editAs="oneCell">
    <xdr:from>
      <xdr:col>5</xdr:col>
      <xdr:colOff>663340</xdr:colOff>
      <xdr:row>0</xdr:row>
      <xdr:rowOff>47625</xdr:rowOff>
    </xdr:from>
    <xdr:to>
      <xdr:col>7</xdr:col>
      <xdr:colOff>589136</xdr:colOff>
      <xdr:row>2</xdr:row>
      <xdr:rowOff>209550</xdr:rowOff>
    </xdr:to>
    <xdr:pic>
      <xdr:nvPicPr>
        <xdr:cNvPr id="5" name="Picture 4" descr="University of Arkansas Division of Agriculture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840" y="47625"/>
          <a:ext cx="1211671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watkins\Desktop\Enterprise%20Budgets%202024\A24_Rice_FullPageHybrid_2024.xlsm" TargetMode="External"/><Relationship Id="rId1" Type="http://schemas.openxmlformats.org/officeDocument/2006/relationships/externalLinkPath" Target="A24_Rice_FullPageHybrid_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9">
          <cell r="E19">
            <v>8</v>
          </cell>
        </row>
        <row r="20">
          <cell r="E20">
            <v>8.5</v>
          </cell>
        </row>
        <row r="21">
          <cell r="E21">
            <v>8.5199999999999998E-2</v>
          </cell>
        </row>
      </sheetData>
      <sheetData sheetId="21" refreshError="1"/>
      <sheetData sheetId="22">
        <row r="4">
          <cell r="D4">
            <v>87</v>
          </cell>
          <cell r="E4">
            <v>0.35</v>
          </cell>
          <cell r="I4">
            <v>0.4</v>
          </cell>
        </row>
        <row r="5">
          <cell r="D5">
            <v>100</v>
          </cell>
          <cell r="E5">
            <v>0.25</v>
          </cell>
        </row>
        <row r="8">
          <cell r="D8">
            <v>0.52</v>
          </cell>
          <cell r="E8">
            <v>41.98</v>
          </cell>
        </row>
      </sheetData>
      <sheetData sheetId="23">
        <row r="8">
          <cell r="F8">
            <v>190.47</v>
          </cell>
        </row>
        <row r="12">
          <cell r="F12">
            <v>5.38</v>
          </cell>
        </row>
        <row r="13">
          <cell r="F13">
            <v>9.375</v>
          </cell>
        </row>
        <row r="14">
          <cell r="F14">
            <v>24.950000000000003</v>
          </cell>
        </row>
        <row r="15">
          <cell r="F15">
            <v>5.38</v>
          </cell>
        </row>
        <row r="16">
          <cell r="F16">
            <v>24.950000000000003</v>
          </cell>
        </row>
        <row r="17">
          <cell r="F17">
            <v>13.923</v>
          </cell>
        </row>
        <row r="18">
          <cell r="F18">
            <v>13.575000000000001</v>
          </cell>
        </row>
        <row r="19">
          <cell r="F19">
            <v>15.45</v>
          </cell>
        </row>
        <row r="20">
          <cell r="F20">
            <v>15.318750000000001</v>
          </cell>
        </row>
        <row r="30">
          <cell r="F30">
            <v>9.0399999999999991</v>
          </cell>
        </row>
        <row r="44">
          <cell r="F44">
            <v>8</v>
          </cell>
        </row>
      </sheetData>
      <sheetData sheetId="24" refreshError="1"/>
      <sheetData sheetId="25" refreshError="1"/>
      <sheetData sheetId="26">
        <row r="9">
          <cell r="G9">
            <v>7.9050478776762532</v>
          </cell>
        </row>
        <row r="15">
          <cell r="G15">
            <v>0.28494392213533959</v>
          </cell>
        </row>
        <row r="18">
          <cell r="G18">
            <v>4.4473625620426889</v>
          </cell>
        </row>
        <row r="22">
          <cell r="G22">
            <v>4.7117093872033111</v>
          </cell>
        </row>
        <row r="27">
          <cell r="G27">
            <v>14.21456168168678</v>
          </cell>
        </row>
        <row r="33">
          <cell r="B33">
            <v>1.5513268049673099</v>
          </cell>
        </row>
        <row r="36">
          <cell r="G36">
            <v>1.0050043923118712</v>
          </cell>
        </row>
        <row r="37">
          <cell r="G37">
            <v>0.76509735505608079</v>
          </cell>
        </row>
        <row r="42">
          <cell r="G42">
            <v>5.3133724968123381</v>
          </cell>
        </row>
        <row r="59">
          <cell r="G59">
            <v>21.482450880291843</v>
          </cell>
        </row>
        <row r="62">
          <cell r="G62">
            <v>7.2378775283988324</v>
          </cell>
        </row>
        <row r="64">
          <cell r="G64">
            <v>8.0384786802150892</v>
          </cell>
        </row>
      </sheetData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K80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8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1" ht="18.75" x14ac:dyDescent="0.3">
      <c r="A1" s="76" t="s">
        <v>49</v>
      </c>
      <c r="B1" s="76"/>
      <c r="C1" s="76"/>
      <c r="D1" s="76"/>
      <c r="E1" s="76"/>
      <c r="F1" s="76"/>
      <c r="G1" s="76"/>
      <c r="H1" s="76"/>
      <c r="I1" s="17"/>
    </row>
    <row r="2" spans="1:11" ht="18.75" x14ac:dyDescent="0.3">
      <c r="A2" s="77" t="s">
        <v>118</v>
      </c>
      <c r="B2" s="77"/>
      <c r="C2" s="77"/>
      <c r="D2" s="77"/>
      <c r="E2" s="77"/>
      <c r="F2" s="77"/>
      <c r="G2" s="77"/>
      <c r="H2" s="77"/>
      <c r="I2" s="17"/>
    </row>
    <row r="3" spans="1:11" ht="19.5" thickBot="1" x14ac:dyDescent="0.35">
      <c r="A3" s="78" t="s">
        <v>50</v>
      </c>
      <c r="B3" s="78"/>
      <c r="C3" s="78"/>
      <c r="D3" s="78"/>
      <c r="E3" s="78"/>
      <c r="F3" s="78"/>
      <c r="G3" s="78"/>
      <c r="H3" s="78"/>
      <c r="I3" s="17"/>
    </row>
    <row r="4" spans="1:11" ht="15.75" thickTop="1" x14ac:dyDescent="0.25">
      <c r="A4" s="1"/>
      <c r="B4" s="1"/>
      <c r="C4" s="2"/>
      <c r="D4" s="1"/>
      <c r="E4" s="2"/>
      <c r="F4" s="79" t="s">
        <v>0</v>
      </c>
      <c r="G4" s="79"/>
      <c r="H4" s="3" t="s">
        <v>1</v>
      </c>
      <c r="I4" s="3"/>
      <c r="J4" s="73"/>
      <c r="K4" s="73"/>
    </row>
    <row r="5" spans="1:11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  <c r="J5" s="73"/>
      <c r="K5" s="73"/>
    </row>
    <row r="6" spans="1:11" x14ac:dyDescent="0.25">
      <c r="A6" s="7" t="s">
        <v>9</v>
      </c>
      <c r="J6" s="73"/>
      <c r="K6" s="73"/>
    </row>
    <row r="7" spans="1:11" x14ac:dyDescent="0.25">
      <c r="A7" s="9" t="s">
        <v>10</v>
      </c>
      <c r="B7" s="9" t="s">
        <v>11</v>
      </c>
      <c r="C7" s="10">
        <v>6.75</v>
      </c>
      <c r="D7" s="9">
        <v>190</v>
      </c>
      <c r="E7" s="2">
        <f>ROUND(C7*D7,2)</f>
        <v>1282.5</v>
      </c>
      <c r="F7" s="11">
        <v>0</v>
      </c>
      <c r="G7" s="2">
        <f>ROUND(E7*F7,2)</f>
        <v>0</v>
      </c>
      <c r="H7" s="2">
        <f>ROUND(E7-G7,2)</f>
        <v>1282.5</v>
      </c>
      <c r="I7" s="18"/>
      <c r="J7" s="83"/>
      <c r="K7" s="83"/>
    </row>
    <row r="8" spans="1:11" x14ac:dyDescent="0.25">
      <c r="A8" s="7" t="s">
        <v>12</v>
      </c>
      <c r="E8" s="8">
        <f>SUM(E7:E7)</f>
        <v>1282.5</v>
      </c>
      <c r="G8" s="12">
        <f>SUM(G7:G7)</f>
        <v>0</v>
      </c>
      <c r="H8" s="12">
        <f>ROUND(E8-G8,2)</f>
        <v>1282.5</v>
      </c>
      <c r="I8" s="12"/>
      <c r="J8" s="83"/>
      <c r="K8" s="83"/>
    </row>
    <row r="9" spans="1:11" ht="7.5" customHeight="1" x14ac:dyDescent="0.25">
      <c r="A9" t="s">
        <v>13</v>
      </c>
      <c r="J9" s="83"/>
      <c r="K9" s="83"/>
    </row>
    <row r="10" spans="1:11" x14ac:dyDescent="0.25">
      <c r="A10" s="7" t="s">
        <v>14</v>
      </c>
      <c r="J10" s="71"/>
      <c r="K10" s="71"/>
    </row>
    <row r="11" spans="1:11" x14ac:dyDescent="0.25">
      <c r="A11" s="13" t="s">
        <v>107</v>
      </c>
      <c r="J11" s="71"/>
      <c r="K11" s="71"/>
    </row>
    <row r="12" spans="1:11" x14ac:dyDescent="0.25">
      <c r="A12" s="14" t="s">
        <v>108</v>
      </c>
      <c r="B12" s="14" t="s">
        <v>31</v>
      </c>
      <c r="C12" s="15"/>
      <c r="D12" s="14"/>
      <c r="E12" s="8">
        <f>G8</f>
        <v>0</v>
      </c>
      <c r="F12" s="16"/>
      <c r="G12" s="8"/>
      <c r="H12" s="8">
        <f>E12</f>
        <v>0</v>
      </c>
      <c r="J12" s="71"/>
      <c r="K12" s="71"/>
    </row>
    <row r="13" spans="1:11" x14ac:dyDescent="0.25">
      <c r="A13" s="13" t="s">
        <v>22</v>
      </c>
      <c r="J13" s="71"/>
      <c r="K13" s="71"/>
    </row>
    <row r="14" spans="1:11" x14ac:dyDescent="0.25">
      <c r="A14" s="14" t="s">
        <v>63</v>
      </c>
      <c r="B14" s="14" t="s">
        <v>23</v>
      </c>
      <c r="C14" s="15">
        <v>7.69</v>
      </c>
      <c r="D14" s="14">
        <v>23</v>
      </c>
      <c r="E14" s="8">
        <f>ROUND(C14*D14,2)</f>
        <v>176.87</v>
      </c>
      <c r="F14" s="16">
        <v>0</v>
      </c>
      <c r="G14" s="8">
        <f>ROUND(E14*F14,2)</f>
        <v>0</v>
      </c>
      <c r="H14" s="8">
        <f>ROUND(E14-G14,2)</f>
        <v>176.87</v>
      </c>
      <c r="I14" s="8"/>
      <c r="J14" s="71"/>
      <c r="K14" s="71"/>
    </row>
    <row r="15" spans="1:11" x14ac:dyDescent="0.25">
      <c r="A15" s="14" t="s">
        <v>111</v>
      </c>
      <c r="B15" s="14" t="s">
        <v>23</v>
      </c>
      <c r="C15" s="15">
        <v>3.2</v>
      </c>
      <c r="D15" s="14">
        <v>4.25</v>
      </c>
      <c r="E15" s="8">
        <f>ROUND(C15*D15,2)</f>
        <v>13.6</v>
      </c>
      <c r="F15" s="16">
        <v>0</v>
      </c>
      <c r="G15" s="8">
        <f>ROUND(E15*F15,2)</f>
        <v>0</v>
      </c>
      <c r="H15" s="8">
        <f>ROUND(E15-G15,2)</f>
        <v>13.6</v>
      </c>
      <c r="I15" s="8"/>
      <c r="J15" s="72">
        <f>SUM(H14:H15)</f>
        <v>190.47</v>
      </c>
      <c r="K15" s="71" t="s">
        <v>134</v>
      </c>
    </row>
    <row r="16" spans="1:11" x14ac:dyDescent="0.25">
      <c r="A16" s="13" t="s">
        <v>52</v>
      </c>
      <c r="J16" s="71"/>
      <c r="K16" s="71"/>
    </row>
    <row r="17" spans="1:11" ht="17.25" x14ac:dyDescent="0.25">
      <c r="A17" s="14" t="s">
        <v>64</v>
      </c>
      <c r="B17" s="14" t="s">
        <v>15</v>
      </c>
      <c r="C17" s="15">
        <v>8</v>
      </c>
      <c r="D17" s="14">
        <v>2</v>
      </c>
      <c r="E17" s="8">
        <f>ROUND(C17*D17,2)</f>
        <v>16</v>
      </c>
      <c r="F17" s="16">
        <v>0</v>
      </c>
      <c r="G17" s="8">
        <f>ROUND(E17*F17,2)</f>
        <v>0</v>
      </c>
      <c r="H17" s="8">
        <f>ROUND(E17-G17,2)</f>
        <v>16</v>
      </c>
      <c r="I17" s="8"/>
      <c r="J17" s="71"/>
      <c r="K17" s="71"/>
    </row>
    <row r="18" spans="1:11" ht="17.25" x14ac:dyDescent="0.25">
      <c r="A18" s="14" t="s">
        <v>109</v>
      </c>
      <c r="B18" s="14" t="s">
        <v>15</v>
      </c>
      <c r="C18" s="15">
        <v>8.5</v>
      </c>
      <c r="D18" s="14">
        <v>5</v>
      </c>
      <c r="E18" s="8">
        <f>ROUND(C18*D18,2)</f>
        <v>42.5</v>
      </c>
      <c r="F18" s="16">
        <v>0</v>
      </c>
      <c r="G18" s="8">
        <f>ROUND(E18*F18,2)</f>
        <v>0</v>
      </c>
      <c r="H18" s="8">
        <f>ROUND(E18-G18,2)</f>
        <v>42.5</v>
      </c>
      <c r="I18" s="8"/>
      <c r="J18" s="71"/>
      <c r="K18" s="71"/>
    </row>
    <row r="19" spans="1:11" ht="17.25" x14ac:dyDescent="0.25">
      <c r="A19" s="14" t="s">
        <v>110</v>
      </c>
      <c r="B19" s="14" t="s">
        <v>51</v>
      </c>
      <c r="C19" s="22">
        <v>8.5000000000000006E-2</v>
      </c>
      <c r="D19" s="14">
        <v>330</v>
      </c>
      <c r="E19" s="8">
        <f>ROUND(C19*D19,2)</f>
        <v>28.05</v>
      </c>
      <c r="F19" s="16">
        <v>0</v>
      </c>
      <c r="G19" s="8">
        <f>ROUND(E19*F19,2)</f>
        <v>0</v>
      </c>
      <c r="H19" s="8">
        <f>ROUND(E19-G19,2)</f>
        <v>28.05</v>
      </c>
      <c r="I19" s="8"/>
      <c r="J19" s="72">
        <f>SUM(H17:H19)</f>
        <v>86.55</v>
      </c>
      <c r="K19" s="71" t="s">
        <v>135</v>
      </c>
    </row>
    <row r="20" spans="1:11" x14ac:dyDescent="0.25">
      <c r="A20" s="13" t="s">
        <v>16</v>
      </c>
      <c r="J20" s="71"/>
      <c r="K20" s="71"/>
    </row>
    <row r="21" spans="1:11" ht="17.25" x14ac:dyDescent="0.25">
      <c r="A21" s="14" t="s">
        <v>117</v>
      </c>
      <c r="B21" s="14" t="s">
        <v>51</v>
      </c>
      <c r="C21" s="15">
        <f>700/2000</f>
        <v>0.35</v>
      </c>
      <c r="D21" s="14">
        <v>87</v>
      </c>
      <c r="E21" s="8">
        <f>ROUND(C21*D21,2)</f>
        <v>30.45</v>
      </c>
      <c r="F21" s="16">
        <v>0</v>
      </c>
      <c r="G21" s="8">
        <f>ROUND(E21*F21,2)</f>
        <v>0</v>
      </c>
      <c r="H21" s="8">
        <f>ROUND(E21-G21,2)</f>
        <v>30.45</v>
      </c>
      <c r="I21" s="8"/>
      <c r="J21" s="71"/>
      <c r="K21" s="71"/>
    </row>
    <row r="22" spans="1:11" ht="17.25" x14ac:dyDescent="0.25">
      <c r="A22" s="14" t="s">
        <v>54</v>
      </c>
      <c r="B22" s="14" t="s">
        <v>51</v>
      </c>
      <c r="C22" s="15">
        <f>500/2000</f>
        <v>0.25</v>
      </c>
      <c r="D22" s="14">
        <v>100</v>
      </c>
      <c r="E22" s="8">
        <f>ROUND(C22*D22,2)</f>
        <v>25</v>
      </c>
      <c r="F22" s="16">
        <v>0</v>
      </c>
      <c r="G22" s="8">
        <f>ROUND(E22*F22,2)</f>
        <v>0</v>
      </c>
      <c r="H22" s="8">
        <f>ROUND(E22-G22,2)</f>
        <v>25</v>
      </c>
      <c r="I22" s="8"/>
      <c r="J22" s="71"/>
      <c r="K22" s="71"/>
    </row>
    <row r="23" spans="1:11" ht="17.25" x14ac:dyDescent="0.25">
      <c r="A23" s="14" t="s">
        <v>61</v>
      </c>
      <c r="B23" s="14" t="s">
        <v>51</v>
      </c>
      <c r="C23" s="15">
        <f>500/2000</f>
        <v>0.25</v>
      </c>
      <c r="D23" s="14">
        <v>70</v>
      </c>
      <c r="E23" s="8">
        <f>ROUND(C23*D23,2)</f>
        <v>17.5</v>
      </c>
      <c r="F23" s="16">
        <v>0</v>
      </c>
      <c r="G23" s="8">
        <f>ROUND(E23*F23,2)</f>
        <v>0</v>
      </c>
      <c r="H23" s="8">
        <f>ROUND(E23-G23,2)</f>
        <v>17.5</v>
      </c>
      <c r="I23" s="8"/>
      <c r="J23" s="71"/>
      <c r="K23" s="71"/>
    </row>
    <row r="24" spans="1:11" ht="17.25" x14ac:dyDescent="0.25">
      <c r="A24" s="14" t="s">
        <v>60</v>
      </c>
      <c r="B24" s="14" t="s">
        <v>51</v>
      </c>
      <c r="C24" s="15">
        <f>(500/2000)+((0.52*41.98)/230)</f>
        <v>0.34491130434782608</v>
      </c>
      <c r="D24" s="14">
        <v>260</v>
      </c>
      <c r="E24" s="8">
        <f>ROUND(C24*D24,2)</f>
        <v>89.68</v>
      </c>
      <c r="F24" s="16">
        <v>0</v>
      </c>
      <c r="G24" s="8">
        <f>ROUND(E24*F24,2)</f>
        <v>0</v>
      </c>
      <c r="H24" s="8">
        <f>ROUND(E24-G24,2)</f>
        <v>89.68</v>
      </c>
      <c r="I24" s="8"/>
      <c r="J24" s="72">
        <f>SUM(H21:H24)</f>
        <v>162.63</v>
      </c>
      <c r="K24" s="71" t="s">
        <v>136</v>
      </c>
    </row>
    <row r="25" spans="1:11" x14ac:dyDescent="0.25">
      <c r="A25" s="13" t="s">
        <v>20</v>
      </c>
      <c r="J25" s="71"/>
      <c r="K25" s="71"/>
    </row>
    <row r="26" spans="1:11" ht="17.25" x14ac:dyDescent="0.25">
      <c r="A26" s="14" t="s">
        <v>53</v>
      </c>
      <c r="B26" s="14" t="s">
        <v>17</v>
      </c>
      <c r="C26" s="15">
        <f>5.38/2</f>
        <v>2.69</v>
      </c>
      <c r="D26" s="14">
        <v>2</v>
      </c>
      <c r="E26" s="8">
        <f t="shared" ref="E26:E34" si="0">ROUND(C26*D26,2)</f>
        <v>5.38</v>
      </c>
      <c r="F26" s="16">
        <v>0</v>
      </c>
      <c r="G26" s="8">
        <f t="shared" ref="G26:G33" si="1">ROUND(E26*F26,2)</f>
        <v>0</v>
      </c>
      <c r="H26" s="8">
        <f t="shared" ref="H26:H33" si="2">ROUND(E26-G26,2)</f>
        <v>5.38</v>
      </c>
      <c r="I26" s="8"/>
      <c r="J26" s="71"/>
      <c r="K26" s="71"/>
    </row>
    <row r="27" spans="1:11" ht="17.25" x14ac:dyDescent="0.25">
      <c r="A27" s="14" t="s">
        <v>55</v>
      </c>
      <c r="B27" s="14" t="s">
        <v>19</v>
      </c>
      <c r="C27" s="15">
        <f>93.75/128</f>
        <v>0.732421875</v>
      </c>
      <c r="D27" s="14">
        <v>12.8</v>
      </c>
      <c r="E27" s="8">
        <f t="shared" si="0"/>
        <v>9.3800000000000008</v>
      </c>
      <c r="F27" s="16">
        <v>0</v>
      </c>
      <c r="G27" s="8">
        <f t="shared" si="1"/>
        <v>0</v>
      </c>
      <c r="H27" s="8">
        <f t="shared" si="2"/>
        <v>9.3800000000000008</v>
      </c>
      <c r="I27" s="8"/>
      <c r="J27" s="71"/>
      <c r="K27" s="71"/>
    </row>
    <row r="28" spans="1:11" ht="17.25" x14ac:dyDescent="0.25">
      <c r="A28" s="14" t="s">
        <v>119</v>
      </c>
      <c r="B28" s="14" t="s">
        <v>19</v>
      </c>
      <c r="C28" s="15">
        <v>4.99</v>
      </c>
      <c r="D28" s="14">
        <v>5</v>
      </c>
      <c r="E28" s="8">
        <f t="shared" ref="E28" si="3">ROUND(C28*D28,2)</f>
        <v>24.95</v>
      </c>
      <c r="F28" s="16">
        <v>0</v>
      </c>
      <c r="G28" s="8">
        <f t="shared" ref="G28" si="4">ROUND(E28*F28,2)</f>
        <v>0</v>
      </c>
      <c r="H28" s="8">
        <f t="shared" ref="H28" si="5">ROUND(E28-G28,2)</f>
        <v>24.95</v>
      </c>
      <c r="I28" s="8"/>
      <c r="J28" s="71"/>
      <c r="K28" s="71"/>
    </row>
    <row r="29" spans="1:11" ht="17.25" x14ac:dyDescent="0.25">
      <c r="A29" s="14" t="s">
        <v>56</v>
      </c>
      <c r="B29" s="14" t="s">
        <v>17</v>
      </c>
      <c r="C29" s="15">
        <f>C26</f>
        <v>2.69</v>
      </c>
      <c r="D29" s="14">
        <v>2</v>
      </c>
      <c r="E29" s="8">
        <f t="shared" si="0"/>
        <v>5.38</v>
      </c>
      <c r="F29" s="16">
        <v>0</v>
      </c>
      <c r="G29" s="8">
        <f t="shared" si="1"/>
        <v>0</v>
      </c>
      <c r="H29" s="8">
        <f t="shared" si="2"/>
        <v>5.38</v>
      </c>
      <c r="I29" s="8"/>
      <c r="J29" s="71"/>
      <c r="K29" s="71"/>
    </row>
    <row r="30" spans="1:11" ht="17.25" x14ac:dyDescent="0.25">
      <c r="A30" s="14" t="s">
        <v>130</v>
      </c>
      <c r="B30" s="14" t="s">
        <v>19</v>
      </c>
      <c r="C30" s="15">
        <v>4.99</v>
      </c>
      <c r="D30" s="14">
        <v>5</v>
      </c>
      <c r="E30" s="8">
        <f t="shared" si="0"/>
        <v>24.95</v>
      </c>
      <c r="F30" s="16">
        <v>0</v>
      </c>
      <c r="G30" s="8">
        <f t="shared" si="1"/>
        <v>0</v>
      </c>
      <c r="H30" s="8">
        <f t="shared" si="2"/>
        <v>24.95</v>
      </c>
      <c r="I30" s="8"/>
      <c r="J30" s="71"/>
      <c r="K30" s="71"/>
    </row>
    <row r="31" spans="1:11" ht="17.25" x14ac:dyDescent="0.25">
      <c r="A31" s="14" t="s">
        <v>57</v>
      </c>
      <c r="B31" s="14" t="s">
        <v>17</v>
      </c>
      <c r="C31" s="15">
        <v>6.63</v>
      </c>
      <c r="D31" s="14">
        <v>2.1</v>
      </c>
      <c r="E31" s="8">
        <f t="shared" si="0"/>
        <v>13.92</v>
      </c>
      <c r="F31" s="16">
        <v>0</v>
      </c>
      <c r="G31" s="8">
        <f t="shared" si="1"/>
        <v>0</v>
      </c>
      <c r="H31" s="8">
        <f t="shared" si="2"/>
        <v>13.92</v>
      </c>
      <c r="I31" s="8"/>
      <c r="J31" s="71"/>
      <c r="K31" s="71"/>
    </row>
    <row r="32" spans="1:11" ht="17.25" x14ac:dyDescent="0.25">
      <c r="A32" s="14" t="s">
        <v>58</v>
      </c>
      <c r="B32" s="14" t="s">
        <v>19</v>
      </c>
      <c r="C32" s="15">
        <v>18.100000000000001</v>
      </c>
      <c r="D32" s="14">
        <v>0.75</v>
      </c>
      <c r="E32" s="8">
        <f t="shared" si="0"/>
        <v>13.58</v>
      </c>
      <c r="F32" s="16">
        <v>0</v>
      </c>
      <c r="G32" s="8">
        <f t="shared" si="1"/>
        <v>0</v>
      </c>
      <c r="H32" s="8">
        <f t="shared" si="2"/>
        <v>13.58</v>
      </c>
      <c r="I32" s="8"/>
      <c r="J32" s="71"/>
      <c r="K32" s="71"/>
    </row>
    <row r="33" spans="1:11" ht="17.25" x14ac:dyDescent="0.25">
      <c r="A33" s="14" t="s">
        <v>131</v>
      </c>
      <c r="B33" s="14" t="s">
        <v>19</v>
      </c>
      <c r="C33" s="15">
        <v>3.09</v>
      </c>
      <c r="D33" s="14">
        <v>5</v>
      </c>
      <c r="E33" s="8">
        <f t="shared" si="0"/>
        <v>15.45</v>
      </c>
      <c r="F33" s="16">
        <v>0</v>
      </c>
      <c r="G33" s="8">
        <f t="shared" si="1"/>
        <v>0</v>
      </c>
      <c r="H33" s="8">
        <f t="shared" si="2"/>
        <v>15.45</v>
      </c>
      <c r="I33" s="8"/>
      <c r="J33" s="71"/>
      <c r="K33" s="71"/>
    </row>
    <row r="34" spans="1:11" ht="17.25" x14ac:dyDescent="0.25">
      <c r="A34" s="14" t="s">
        <v>59</v>
      </c>
      <c r="B34" s="14" t="s">
        <v>17</v>
      </c>
      <c r="C34" s="15">
        <f>81.7/8</f>
        <v>10.2125</v>
      </c>
      <c r="D34" s="14">
        <v>1.5</v>
      </c>
      <c r="E34" s="8">
        <f t="shared" si="0"/>
        <v>15.32</v>
      </c>
      <c r="F34" s="16">
        <v>0</v>
      </c>
      <c r="G34" s="8">
        <f t="shared" ref="G34" si="6">ROUND(E34*F34,2)</f>
        <v>0</v>
      </c>
      <c r="H34" s="8">
        <f t="shared" ref="H34" si="7">ROUND(E34-G34,2)</f>
        <v>15.32</v>
      </c>
      <c r="I34" s="8"/>
      <c r="J34" s="72">
        <f>SUM(H26:H34)</f>
        <v>128.31</v>
      </c>
      <c r="K34" s="71" t="s">
        <v>137</v>
      </c>
    </row>
    <row r="35" spans="1:11" x14ac:dyDescent="0.25">
      <c r="A35" s="13" t="s">
        <v>21</v>
      </c>
      <c r="J35" s="71"/>
      <c r="K35" s="71"/>
    </row>
    <row r="36" spans="1:11" ht="17.25" x14ac:dyDescent="0.25">
      <c r="A36" s="14" t="s">
        <v>113</v>
      </c>
      <c r="B36" s="14" t="s">
        <v>19</v>
      </c>
      <c r="C36" s="15">
        <v>1.1299999999999999</v>
      </c>
      <c r="D36" s="14">
        <v>8</v>
      </c>
      <c r="E36" s="8">
        <f>ROUND(C36*D36,2)</f>
        <v>9.0399999999999991</v>
      </c>
      <c r="F36" s="16">
        <v>0</v>
      </c>
      <c r="G36" s="8">
        <f>ROUND(E36*F36,2)</f>
        <v>0</v>
      </c>
      <c r="H36" s="8">
        <f>ROUND(E36-G36,2)</f>
        <v>9.0399999999999991</v>
      </c>
      <c r="I36" s="8"/>
      <c r="J36" s="72">
        <f>(J34+H36)</f>
        <v>137.35</v>
      </c>
      <c r="K36" s="71"/>
    </row>
    <row r="37" spans="1:11" x14ac:dyDescent="0.25">
      <c r="A37" s="13" t="s">
        <v>18</v>
      </c>
      <c r="J37" s="71"/>
      <c r="K37" s="71"/>
    </row>
    <row r="38" spans="1:11" ht="17.25" x14ac:dyDescent="0.25">
      <c r="A38" s="14" t="s">
        <v>132</v>
      </c>
      <c r="B38" s="14" t="s">
        <v>19</v>
      </c>
      <c r="C38" s="15">
        <v>1</v>
      </c>
      <c r="D38" s="14">
        <v>8</v>
      </c>
      <c r="E38" s="8">
        <f>ROUND(C38*D38,2)</f>
        <v>8</v>
      </c>
      <c r="F38" s="16">
        <v>0</v>
      </c>
      <c r="G38" s="8">
        <f>ROUND(E38*F38,2)</f>
        <v>0</v>
      </c>
      <c r="H38" s="8">
        <f>ROUND(E38-G38,2)</f>
        <v>8</v>
      </c>
      <c r="I38" s="8"/>
      <c r="J38" s="72">
        <f>J36+H38</f>
        <v>145.35</v>
      </c>
      <c r="K38" s="71" t="s">
        <v>138</v>
      </c>
    </row>
    <row r="39" spans="1:11" x14ac:dyDescent="0.25">
      <c r="A39" s="13" t="s">
        <v>24</v>
      </c>
      <c r="J39" s="71"/>
      <c r="K39" s="71"/>
    </row>
    <row r="40" spans="1:11" x14ac:dyDescent="0.25">
      <c r="A40" s="13" t="s">
        <v>25</v>
      </c>
      <c r="J40" s="71"/>
      <c r="K40" s="71"/>
    </row>
    <row r="41" spans="1:11" x14ac:dyDescent="0.25">
      <c r="A41" s="14" t="s">
        <v>26</v>
      </c>
      <c r="B41" s="14" t="s">
        <v>11</v>
      </c>
      <c r="C41" s="15">
        <v>0.27</v>
      </c>
      <c r="D41" s="14">
        <v>190</v>
      </c>
      <c r="E41" s="8">
        <f>ROUND(C41*D41,2)</f>
        <v>51.3</v>
      </c>
      <c r="F41" s="16">
        <v>0</v>
      </c>
      <c r="G41" s="8">
        <f>ROUND(E41*F41,2)</f>
        <v>0</v>
      </c>
      <c r="H41" s="8">
        <f>ROUND(E41-G41,2)</f>
        <v>51.3</v>
      </c>
      <c r="I41" s="8"/>
      <c r="J41" s="71"/>
      <c r="K41" s="71"/>
    </row>
    <row r="42" spans="1:11" x14ac:dyDescent="0.25">
      <c r="A42" s="13" t="s">
        <v>27</v>
      </c>
      <c r="J42" s="71"/>
      <c r="K42" s="71"/>
    </row>
    <row r="43" spans="1:11" x14ac:dyDescent="0.25">
      <c r="A43" s="14" t="s">
        <v>28</v>
      </c>
      <c r="B43" s="14" t="s">
        <v>11</v>
      </c>
      <c r="C43" s="15">
        <v>0.4</v>
      </c>
      <c r="D43" s="14">
        <v>190</v>
      </c>
      <c r="E43" s="8">
        <f>ROUND(C43*D43,2)</f>
        <v>76</v>
      </c>
      <c r="F43" s="16">
        <v>0</v>
      </c>
      <c r="G43" s="8">
        <f>ROUND(E43*F43,2)</f>
        <v>0</v>
      </c>
      <c r="H43" s="8">
        <f>ROUND(E43-G43,2)</f>
        <v>76</v>
      </c>
      <c r="I43" s="8"/>
      <c r="J43" s="71"/>
      <c r="K43" s="71"/>
    </row>
    <row r="44" spans="1:11" x14ac:dyDescent="0.25">
      <c r="A44" s="13" t="s">
        <v>29</v>
      </c>
      <c r="J44" s="71"/>
      <c r="K44" s="71"/>
    </row>
    <row r="45" spans="1:11" x14ac:dyDescent="0.25">
      <c r="A45" s="14" t="s">
        <v>30</v>
      </c>
      <c r="B45" s="14" t="s">
        <v>31</v>
      </c>
      <c r="C45" s="15">
        <v>4.5</v>
      </c>
      <c r="D45" s="14">
        <v>1</v>
      </c>
      <c r="E45" s="8">
        <f>ROUND(C45*D45,2)</f>
        <v>4.5</v>
      </c>
      <c r="F45" s="16">
        <v>0</v>
      </c>
      <c r="G45" s="8">
        <f>ROUND(E45*F45,2)</f>
        <v>0</v>
      </c>
      <c r="H45" s="8">
        <f>ROUND(E45-G45,2)</f>
        <v>4.5</v>
      </c>
      <c r="I45" s="8"/>
      <c r="J45" s="71"/>
      <c r="K45" s="71"/>
    </row>
    <row r="46" spans="1:11" x14ac:dyDescent="0.25">
      <c r="A46" s="13" t="s">
        <v>62</v>
      </c>
      <c r="J46" s="71"/>
      <c r="K46" s="71"/>
    </row>
    <row r="47" spans="1:11" x14ac:dyDescent="0.25">
      <c r="A47" s="14" t="s">
        <v>32</v>
      </c>
      <c r="B47" s="14" t="s">
        <v>31</v>
      </c>
      <c r="C47" s="15">
        <v>8</v>
      </c>
      <c r="D47" s="14">
        <v>1</v>
      </c>
      <c r="E47" s="8">
        <f>ROUND(C47*D47,2)</f>
        <v>8</v>
      </c>
      <c r="F47" s="16">
        <v>0</v>
      </c>
      <c r="G47" s="8">
        <f>ROUND(E47*F47,2)</f>
        <v>0</v>
      </c>
      <c r="H47" s="8">
        <f>ROUND(E47-G47,2)</f>
        <v>8</v>
      </c>
      <c r="I47" s="8"/>
      <c r="J47" s="71"/>
      <c r="K47" s="71"/>
    </row>
    <row r="48" spans="1:11" x14ac:dyDescent="0.25">
      <c r="A48" s="13" t="s">
        <v>105</v>
      </c>
      <c r="I48" s="8"/>
      <c r="J48" s="71"/>
      <c r="K48" s="71"/>
    </row>
    <row r="49" spans="1:11" x14ac:dyDescent="0.25">
      <c r="A49" s="14" t="s">
        <v>106</v>
      </c>
      <c r="B49" s="14" t="s">
        <v>31</v>
      </c>
      <c r="C49" s="15">
        <v>10.29</v>
      </c>
      <c r="D49" s="14">
        <v>1</v>
      </c>
      <c r="E49" s="8">
        <f>ROUND(C49*D49,2)</f>
        <v>10.29</v>
      </c>
      <c r="F49" s="16">
        <v>0</v>
      </c>
      <c r="G49" s="8">
        <f>ROUND(E49*F49,2)</f>
        <v>0</v>
      </c>
      <c r="H49" s="8">
        <f>ROUND(E49-G49,2)</f>
        <v>10.29</v>
      </c>
      <c r="I49" s="8"/>
      <c r="J49" s="71"/>
      <c r="K49" s="71"/>
    </row>
    <row r="50" spans="1:11" x14ac:dyDescent="0.25">
      <c r="A50" s="13" t="s">
        <v>33</v>
      </c>
      <c r="J50" s="71"/>
      <c r="K50" s="71"/>
    </row>
    <row r="51" spans="1:11" x14ac:dyDescent="0.25">
      <c r="A51" s="14" t="s">
        <v>34</v>
      </c>
      <c r="B51" s="14" t="s">
        <v>35</v>
      </c>
      <c r="C51" s="15">
        <v>16.54</v>
      </c>
      <c r="D51" s="23">
        <f>5.44/16.54</f>
        <v>0.32889963724304722</v>
      </c>
      <c r="E51" s="8">
        <f>ROUND(C51*D51,2)</f>
        <v>5.44</v>
      </c>
      <c r="F51" s="16">
        <v>0</v>
      </c>
      <c r="G51" s="8">
        <f>ROUND(E51*F51,2)</f>
        <v>0</v>
      </c>
      <c r="H51" s="8">
        <f>ROUND(E51-G51,2)</f>
        <v>5.44</v>
      </c>
      <c r="I51" s="8"/>
      <c r="J51" s="71"/>
      <c r="K51" s="71"/>
    </row>
    <row r="52" spans="1:11" x14ac:dyDescent="0.25">
      <c r="A52" s="14" t="s">
        <v>36</v>
      </c>
      <c r="B52" s="14" t="s">
        <v>35</v>
      </c>
      <c r="C52" s="15">
        <v>16.54</v>
      </c>
      <c r="D52" s="23">
        <f>2.45/16.54</f>
        <v>0.14812575574365178</v>
      </c>
      <c r="E52" s="8">
        <f>ROUND(C52*D52,2)</f>
        <v>2.4500000000000002</v>
      </c>
      <c r="F52" s="16">
        <v>0</v>
      </c>
      <c r="G52" s="8">
        <f>ROUND(E52*F52,2)</f>
        <v>0</v>
      </c>
      <c r="H52" s="8">
        <f>ROUND(E52-G52,2)</f>
        <v>2.4500000000000002</v>
      </c>
      <c r="I52" s="8"/>
      <c r="J52" s="71"/>
      <c r="K52" s="71"/>
    </row>
    <row r="53" spans="1:11" x14ac:dyDescent="0.25">
      <c r="A53" s="13" t="s">
        <v>112</v>
      </c>
      <c r="B53" s="14"/>
      <c r="C53" s="15"/>
      <c r="D53" s="14"/>
      <c r="F53" s="16"/>
      <c r="G53" s="8"/>
      <c r="H53" s="8"/>
      <c r="I53" s="8"/>
      <c r="J53" s="71"/>
      <c r="K53" s="71"/>
    </row>
    <row r="54" spans="1:11" x14ac:dyDescent="0.25">
      <c r="A54" s="14" t="s">
        <v>37</v>
      </c>
      <c r="B54" s="14" t="s">
        <v>35</v>
      </c>
      <c r="C54" s="15">
        <v>13.5</v>
      </c>
      <c r="D54" s="14">
        <v>3.5</v>
      </c>
      <c r="E54" s="8">
        <f>ROUND(C54*D54,2)</f>
        <v>47.25</v>
      </c>
      <c r="F54" s="16">
        <v>0</v>
      </c>
      <c r="G54" s="8">
        <f>ROUND(E54*F54,2)</f>
        <v>0</v>
      </c>
      <c r="H54" s="8">
        <f>ROUND(E54-G54,2)</f>
        <v>47.25</v>
      </c>
      <c r="I54" s="8"/>
      <c r="J54" s="71"/>
      <c r="K54" s="71"/>
    </row>
    <row r="55" spans="1:11" x14ac:dyDescent="0.25">
      <c r="A55" s="13" t="s">
        <v>38</v>
      </c>
      <c r="I55" s="8"/>
      <c r="J55" s="71"/>
      <c r="K55" s="71"/>
    </row>
    <row r="56" spans="1:11" x14ac:dyDescent="0.25">
      <c r="A56" s="14" t="s">
        <v>34</v>
      </c>
      <c r="B56" s="14" t="s">
        <v>39</v>
      </c>
      <c r="C56" s="15">
        <v>3.65</v>
      </c>
      <c r="D56" s="24">
        <f>12.68/3.65</f>
        <v>3.473972602739726</v>
      </c>
      <c r="E56" s="8">
        <f>ROUND(C56*D56,2)</f>
        <v>12.68</v>
      </c>
      <c r="F56" s="16">
        <v>0</v>
      </c>
      <c r="G56" s="8">
        <f>ROUND(E56*F56,2)</f>
        <v>0</v>
      </c>
      <c r="H56" s="8">
        <f>ROUND(E56-G56,2)</f>
        <v>12.68</v>
      </c>
      <c r="I56" s="8"/>
      <c r="J56" s="71"/>
      <c r="K56" s="71"/>
    </row>
    <row r="57" spans="1:11" x14ac:dyDescent="0.25">
      <c r="A57" s="14" t="s">
        <v>36</v>
      </c>
      <c r="B57" s="14" t="s">
        <v>39</v>
      </c>
      <c r="C57" s="15">
        <v>3.65</v>
      </c>
      <c r="D57" s="24">
        <f>7.4/3.65</f>
        <v>2.0273972602739727</v>
      </c>
      <c r="E57" s="8">
        <f>ROUND(C57*D57,2)</f>
        <v>7.4</v>
      </c>
      <c r="F57" s="16">
        <v>0</v>
      </c>
      <c r="G57" s="8">
        <f>ROUND(E57*F57,2)</f>
        <v>0</v>
      </c>
      <c r="H57" s="8">
        <f>ROUND(E57-G57,2)</f>
        <v>7.4</v>
      </c>
      <c r="J57" s="74">
        <f>SUM(D56:D58)</f>
        <v>40.93424657534247</v>
      </c>
      <c r="K57" s="71" t="s">
        <v>139</v>
      </c>
    </row>
    <row r="58" spans="1:11" x14ac:dyDescent="0.25">
      <c r="A58" s="14" t="s">
        <v>40</v>
      </c>
      <c r="B58" s="14" t="s">
        <v>39</v>
      </c>
      <c r="C58" s="15">
        <v>3.65</v>
      </c>
      <c r="D58" s="23">
        <f>129.33/3.65</f>
        <v>35.43287671232877</v>
      </c>
      <c r="E58" s="8">
        <f>ROUND(C58*D58,2)</f>
        <v>129.33000000000001</v>
      </c>
      <c r="F58" s="16">
        <v>0</v>
      </c>
      <c r="G58" s="8">
        <f>ROUND(E58*F58,2)</f>
        <v>0</v>
      </c>
      <c r="H58" s="8">
        <f>ROUND(E58-G58,2)</f>
        <v>129.33000000000001</v>
      </c>
      <c r="I58" s="8"/>
      <c r="J58" s="72">
        <f>SUM(H56:H58)</f>
        <v>149.41000000000003</v>
      </c>
      <c r="K58" s="71" t="s">
        <v>140</v>
      </c>
    </row>
    <row r="59" spans="1:11" x14ac:dyDescent="0.25">
      <c r="A59" s="13" t="s">
        <v>41</v>
      </c>
      <c r="I59" s="8"/>
      <c r="J59" s="71"/>
      <c r="K59" s="71"/>
    </row>
    <row r="60" spans="1:11" x14ac:dyDescent="0.25">
      <c r="A60" s="14" t="s">
        <v>115</v>
      </c>
      <c r="B60" s="14" t="s">
        <v>31</v>
      </c>
      <c r="C60" s="15">
        <v>7.65</v>
      </c>
      <c r="D60" s="14">
        <v>1</v>
      </c>
      <c r="E60" s="8">
        <f>ROUND(C60*D60,2)</f>
        <v>7.65</v>
      </c>
      <c r="F60" s="16">
        <v>0</v>
      </c>
      <c r="G60" s="8">
        <f>ROUND(E60*F60,2)</f>
        <v>0</v>
      </c>
      <c r="H60" s="8">
        <f t="shared" ref="H60:H65" si="8">ROUND(E60-G60,2)</f>
        <v>7.65</v>
      </c>
      <c r="I60" s="8"/>
      <c r="J60" s="71"/>
      <c r="K60" s="71"/>
    </row>
    <row r="61" spans="1:11" x14ac:dyDescent="0.25">
      <c r="A61" s="14" t="s">
        <v>36</v>
      </c>
      <c r="B61" s="14" t="s">
        <v>31</v>
      </c>
      <c r="C61" s="15">
        <v>10.75</v>
      </c>
      <c r="D61" s="14">
        <v>1</v>
      </c>
      <c r="E61" s="8">
        <f>ROUND(C61*D61,2)</f>
        <v>10.75</v>
      </c>
      <c r="F61" s="16">
        <v>0</v>
      </c>
      <c r="G61" s="8">
        <f>ROUND(E61*F61,2)</f>
        <v>0</v>
      </c>
      <c r="H61" s="8">
        <f t="shared" si="8"/>
        <v>10.75</v>
      </c>
      <c r="I61" s="18"/>
      <c r="J61" s="71"/>
      <c r="K61" s="71"/>
    </row>
    <row r="62" spans="1:11" x14ac:dyDescent="0.25">
      <c r="A62" s="14" t="s">
        <v>40</v>
      </c>
      <c r="B62" s="14" t="s">
        <v>31</v>
      </c>
      <c r="C62" s="15">
        <v>7.92</v>
      </c>
      <c r="D62" s="14">
        <v>1</v>
      </c>
      <c r="E62" s="8">
        <f>ROUND(C62*D62,2)</f>
        <v>7.92</v>
      </c>
      <c r="F62" s="16">
        <v>0</v>
      </c>
      <c r="G62" s="8">
        <f>ROUND(E62*F62,2)</f>
        <v>0</v>
      </c>
      <c r="H62" s="8">
        <f t="shared" si="8"/>
        <v>7.92</v>
      </c>
      <c r="I62" s="12"/>
      <c r="J62" s="72">
        <f>SUM(H60:H62)</f>
        <v>26.32</v>
      </c>
      <c r="K62" s="71" t="s">
        <v>141</v>
      </c>
    </row>
    <row r="63" spans="1:11" ht="15" customHeight="1" x14ac:dyDescent="0.25">
      <c r="A63" s="9" t="s">
        <v>42</v>
      </c>
      <c r="B63" s="9" t="s">
        <v>31</v>
      </c>
      <c r="C63" s="10">
        <v>37.51</v>
      </c>
      <c r="D63" s="9">
        <v>1</v>
      </c>
      <c r="E63" s="2">
        <f>ROUND(C63*D63,2)</f>
        <v>37.51</v>
      </c>
      <c r="F63" s="11">
        <v>0</v>
      </c>
      <c r="G63" s="2">
        <f>ROUND(E63*F63,2)</f>
        <v>0</v>
      </c>
      <c r="H63" s="2">
        <f t="shared" si="8"/>
        <v>37.51</v>
      </c>
      <c r="I63" s="12"/>
      <c r="J63" s="71"/>
      <c r="K63" s="71"/>
    </row>
    <row r="64" spans="1:11" x14ac:dyDescent="0.25">
      <c r="A64" s="7" t="s">
        <v>43</v>
      </c>
      <c r="E64" s="8">
        <f>SUM(E14:E63)</f>
        <v>1003.4699999999999</v>
      </c>
      <c r="G64" s="12">
        <f>SUM(G17:G63)</f>
        <v>0</v>
      </c>
      <c r="H64" s="12">
        <f t="shared" si="8"/>
        <v>1003.47</v>
      </c>
      <c r="J64" s="71"/>
      <c r="K64" s="71"/>
    </row>
    <row r="65" spans="1:11" x14ac:dyDescent="0.25">
      <c r="A65" s="7" t="s">
        <v>44</v>
      </c>
      <c r="E65" s="8">
        <f>+E8-E64</f>
        <v>279.03000000000009</v>
      </c>
      <c r="G65" s="12">
        <f>+G8-G64</f>
        <v>0</v>
      </c>
      <c r="H65" s="12">
        <f t="shared" si="8"/>
        <v>279.02999999999997</v>
      </c>
      <c r="J65" s="71"/>
      <c r="K65" s="71"/>
    </row>
    <row r="66" spans="1:11" ht="6.75" customHeight="1" x14ac:dyDescent="0.25">
      <c r="A66" t="s">
        <v>13</v>
      </c>
      <c r="I66" s="8"/>
      <c r="J66" s="71"/>
      <c r="K66" s="71"/>
    </row>
    <row r="67" spans="1:11" x14ac:dyDescent="0.25">
      <c r="A67" s="7" t="s">
        <v>45</v>
      </c>
      <c r="I67" s="8"/>
      <c r="J67" s="71"/>
      <c r="K67" s="71"/>
    </row>
    <row r="68" spans="1:11" x14ac:dyDescent="0.25">
      <c r="A68" s="14" t="s">
        <v>65</v>
      </c>
      <c r="B68" s="14" t="s">
        <v>31</v>
      </c>
      <c r="C68" s="15">
        <v>42.65</v>
      </c>
      <c r="D68" s="14">
        <v>1</v>
      </c>
      <c r="E68" s="8">
        <f>ROUND(C68*D68,2)</f>
        <v>42.65</v>
      </c>
      <c r="F68" s="16">
        <v>0</v>
      </c>
      <c r="G68" s="8">
        <f>ROUND(E68*F68,2)</f>
        <v>0</v>
      </c>
      <c r="H68" s="8">
        <f t="shared" ref="H68:H73" si="9">ROUND(E68-G68,2)</f>
        <v>42.65</v>
      </c>
      <c r="I68" s="18"/>
      <c r="J68" s="71"/>
      <c r="K68" s="71"/>
    </row>
    <row r="69" spans="1:11" x14ac:dyDescent="0.25">
      <c r="A69" s="14" t="s">
        <v>36</v>
      </c>
      <c r="B69" s="14" t="s">
        <v>31</v>
      </c>
      <c r="C69" s="15">
        <v>36.76</v>
      </c>
      <c r="D69" s="14">
        <v>1</v>
      </c>
      <c r="E69" s="8">
        <f>ROUND(C69*D69,2)</f>
        <v>36.76</v>
      </c>
      <c r="F69" s="16">
        <v>0</v>
      </c>
      <c r="G69" s="8">
        <f>ROUND(E69*F69,2)</f>
        <v>0</v>
      </c>
      <c r="H69" s="8">
        <f t="shared" si="9"/>
        <v>36.76</v>
      </c>
      <c r="I69" s="12"/>
      <c r="J69" s="71"/>
      <c r="K69" s="71"/>
    </row>
    <row r="70" spans="1:11" x14ac:dyDescent="0.25">
      <c r="A70" s="9" t="s">
        <v>40</v>
      </c>
      <c r="B70" s="9" t="s">
        <v>31</v>
      </c>
      <c r="C70" s="10">
        <v>55.82</v>
      </c>
      <c r="D70" s="9">
        <v>1</v>
      </c>
      <c r="E70" s="2">
        <f>ROUND(C70*D70,2)</f>
        <v>55.82</v>
      </c>
      <c r="F70" s="11">
        <v>0</v>
      </c>
      <c r="G70" s="2">
        <f>ROUND(E70*F70,2)</f>
        <v>0</v>
      </c>
      <c r="H70" s="2">
        <f t="shared" si="9"/>
        <v>55.82</v>
      </c>
      <c r="I70" s="12"/>
      <c r="J70" s="71"/>
      <c r="K70" s="71"/>
    </row>
    <row r="71" spans="1:11" x14ac:dyDescent="0.25">
      <c r="A71" s="7" t="s">
        <v>46</v>
      </c>
      <c r="E71" s="8">
        <f>SUM(E68:E70)</f>
        <v>135.22999999999999</v>
      </c>
      <c r="G71" s="12">
        <f>SUM(G68:G70)</f>
        <v>0</v>
      </c>
      <c r="H71" s="12">
        <f t="shared" si="9"/>
        <v>135.22999999999999</v>
      </c>
      <c r="I71" s="12"/>
      <c r="J71" s="71"/>
      <c r="K71" s="71"/>
    </row>
    <row r="72" spans="1:11" x14ac:dyDescent="0.25">
      <c r="A72" s="7" t="s">
        <v>47</v>
      </c>
      <c r="E72" s="8">
        <f>+E64+E71</f>
        <v>1138.6999999999998</v>
      </c>
      <c r="G72" s="12">
        <f>+G64+G71</f>
        <v>0</v>
      </c>
      <c r="H72" s="12">
        <f t="shared" si="9"/>
        <v>1138.7</v>
      </c>
      <c r="J72" s="71"/>
      <c r="K72" s="71"/>
    </row>
    <row r="73" spans="1:11" x14ac:dyDescent="0.25">
      <c r="A73" s="7" t="s">
        <v>48</v>
      </c>
      <c r="E73" s="25">
        <f>+E8-E72</f>
        <v>143.80000000000018</v>
      </c>
      <c r="G73" s="12">
        <f>+G8-G72</f>
        <v>0</v>
      </c>
      <c r="H73" s="26">
        <f t="shared" si="9"/>
        <v>143.80000000000001</v>
      </c>
      <c r="J73" s="71"/>
      <c r="K73" s="71"/>
    </row>
    <row r="74" spans="1:11" ht="8.25" customHeight="1" x14ac:dyDescent="0.25">
      <c r="A74" t="s">
        <v>116</v>
      </c>
      <c r="J74" s="71"/>
      <c r="K74" s="71"/>
    </row>
    <row r="75" spans="1:11" ht="14.25" customHeight="1" x14ac:dyDescent="0.25">
      <c r="A75" s="80" t="s">
        <v>133</v>
      </c>
      <c r="B75" s="80"/>
      <c r="C75" s="80"/>
      <c r="D75" s="80"/>
      <c r="E75" s="80"/>
      <c r="F75" s="80"/>
      <c r="G75" s="80"/>
      <c r="H75" s="80"/>
      <c r="J75" s="83"/>
      <c r="K75" s="83"/>
    </row>
    <row r="76" spans="1:11" ht="14.25" customHeight="1" x14ac:dyDescent="0.25">
      <c r="A76" s="80"/>
      <c r="B76" s="80"/>
      <c r="C76" s="80"/>
      <c r="D76" s="80"/>
      <c r="E76" s="80"/>
      <c r="F76" s="80"/>
      <c r="G76" s="80"/>
      <c r="H76" s="80"/>
      <c r="J76" s="83"/>
      <c r="K76" s="83"/>
    </row>
    <row r="77" spans="1:11" x14ac:dyDescent="0.25">
      <c r="A77" s="75" t="s">
        <v>114</v>
      </c>
      <c r="B77" s="75"/>
      <c r="C77" s="75"/>
      <c r="D77" s="75"/>
      <c r="E77" s="75"/>
      <c r="F77" s="75"/>
      <c r="G77" s="75"/>
      <c r="H77" s="75"/>
      <c r="J77" s="83"/>
      <c r="K77" s="83"/>
    </row>
    <row r="78" spans="1:11" x14ac:dyDescent="0.25">
      <c r="A78" s="75"/>
      <c r="B78" s="75"/>
      <c r="C78" s="75"/>
      <c r="D78" s="75"/>
      <c r="E78" s="75"/>
      <c r="F78" s="75"/>
      <c r="G78" s="75"/>
      <c r="H78" s="75"/>
      <c r="J78" s="83"/>
      <c r="K78" s="83"/>
    </row>
    <row r="79" spans="1:11" x14ac:dyDescent="0.25">
      <c r="A79" s="75"/>
      <c r="B79" s="75"/>
      <c r="C79" s="75"/>
      <c r="D79" s="75"/>
      <c r="E79" s="75"/>
      <c r="F79" s="75"/>
      <c r="G79" s="75"/>
      <c r="H79" s="75"/>
      <c r="J79" s="83"/>
      <c r="K79" s="83"/>
    </row>
    <row r="80" spans="1:11" x14ac:dyDescent="0.25">
      <c r="A80" s="7"/>
      <c r="J80" s="83"/>
      <c r="K80" s="83"/>
    </row>
  </sheetData>
  <mergeCells count="6">
    <mergeCell ref="A77:H79"/>
    <mergeCell ref="A1:H1"/>
    <mergeCell ref="A2:H2"/>
    <mergeCell ref="A3:H3"/>
    <mergeCell ref="F4:G4"/>
    <mergeCell ref="A75:H76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1301-D5F0-419B-805C-2F0AF6CE0A8C}">
  <dimension ref="A1:Z45"/>
  <sheetViews>
    <sheetView workbookViewId="0">
      <selection activeCell="A38" sqref="A38"/>
    </sheetView>
  </sheetViews>
  <sheetFormatPr defaultColWidth="8.7109375" defaultRowHeight="12.75" x14ac:dyDescent="0.2"/>
  <cols>
    <col min="1" max="1" width="23.7109375" style="20" customWidth="1"/>
    <col min="2" max="2" width="8.7109375" style="20" bestFit="1" customWidth="1"/>
    <col min="3" max="3" width="26.42578125" style="20" customWidth="1"/>
    <col min="4" max="4" width="41" style="20" bestFit="1" customWidth="1"/>
    <col min="5" max="5" width="20.7109375" style="20" bestFit="1" customWidth="1"/>
    <col min="6" max="16384" width="8.7109375" style="20"/>
  </cols>
  <sheetData>
    <row r="1" spans="1:26" s="19" customFormat="1" ht="13.5" thickBot="1" x14ac:dyDescent="0.25"/>
    <row r="2" spans="1:26" ht="15.75" customHeight="1" thickBot="1" x14ac:dyDescent="0.3">
      <c r="A2" s="81" t="s">
        <v>129</v>
      </c>
      <c r="B2" s="82"/>
      <c r="C2" s="82"/>
      <c r="D2" s="82"/>
      <c r="E2" s="2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5" customHeight="1" thickBot="1" x14ac:dyDescent="0.25">
      <c r="A3" s="29" t="s">
        <v>66</v>
      </c>
      <c r="B3" s="30" t="s">
        <v>67</v>
      </c>
      <c r="C3" s="31" t="s">
        <v>68</v>
      </c>
      <c r="D3" s="32"/>
      <c r="E3" s="31" t="s">
        <v>69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33" t="s">
        <v>70</v>
      </c>
      <c r="B4" s="34" t="s">
        <v>71</v>
      </c>
      <c r="C4" s="35" t="s">
        <v>72</v>
      </c>
      <c r="D4" s="36"/>
      <c r="E4" s="37">
        <f>[1]Trips!G9</f>
        <v>7.9050478776762532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">
      <c r="A5" s="38" t="s">
        <v>73</v>
      </c>
      <c r="B5" s="34" t="s">
        <v>74</v>
      </c>
      <c r="C5" s="39" t="s">
        <v>72</v>
      </c>
      <c r="D5" s="40"/>
      <c r="E5" s="41">
        <f>[1]Trips!G18</f>
        <v>4.4473625620426889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3.5" customHeight="1" x14ac:dyDescent="0.2">
      <c r="A6" s="38" t="s">
        <v>75</v>
      </c>
      <c r="B6" s="34" t="s">
        <v>76</v>
      </c>
      <c r="C6" s="35" t="s">
        <v>72</v>
      </c>
      <c r="D6" s="42"/>
      <c r="E6" s="37">
        <f>[1]Trips!G22</f>
        <v>4.7117093872033111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">
      <c r="A7" s="43" t="s">
        <v>77</v>
      </c>
      <c r="B7" s="34"/>
      <c r="C7" s="35" t="s">
        <v>78</v>
      </c>
      <c r="D7" s="40"/>
      <c r="E7" s="44">
        <f>[1]Trips!G15</f>
        <v>0.28494392213533959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2">
      <c r="A8" s="45" t="s">
        <v>79</v>
      </c>
      <c r="B8" s="46"/>
      <c r="C8" s="40" t="s">
        <v>80</v>
      </c>
      <c r="D8" s="40" t="s">
        <v>81</v>
      </c>
      <c r="E8" s="44">
        <f>[1]Budget!E19+[1]Seed_Chemical!F12</f>
        <v>13.379999999999999</v>
      </c>
      <c r="F8" s="19"/>
      <c r="G8" s="19"/>
      <c r="H8" s="19"/>
      <c r="I8" s="21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x14ac:dyDescent="0.2">
      <c r="A9" s="38" t="s">
        <v>79</v>
      </c>
      <c r="B9" s="34"/>
      <c r="C9" s="40" t="s">
        <v>82</v>
      </c>
      <c r="D9" s="47" t="s">
        <v>120</v>
      </c>
      <c r="E9" s="44">
        <f>[1]Budget!E19+([1]Fertilizer!D4*[1]Fertilizer!E4)+([1]Fertilizer!D5*[1]Fertilizer!E5)</f>
        <v>63.45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2">
      <c r="A10" s="38" t="s">
        <v>83</v>
      </c>
      <c r="B10" s="34" t="s">
        <v>84</v>
      </c>
      <c r="C10" s="40" t="s">
        <v>85</v>
      </c>
      <c r="D10" s="40" t="s">
        <v>121</v>
      </c>
      <c r="E10" s="44">
        <f>[1]Trips!G27+[1]Seed_Chemical!F8</f>
        <v>204.68456168168677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x14ac:dyDescent="0.2">
      <c r="A11" s="38" t="s">
        <v>86</v>
      </c>
      <c r="B11" s="34"/>
      <c r="C11" s="40" t="s">
        <v>87</v>
      </c>
      <c r="D11" s="40"/>
      <c r="E11" s="44">
        <f>[1]Trips!B33</f>
        <v>1.5513268049673099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2">
      <c r="A12" s="38" t="s">
        <v>88</v>
      </c>
      <c r="B12" s="34"/>
      <c r="C12" s="40" t="s">
        <v>89</v>
      </c>
      <c r="D12" s="40"/>
      <c r="E12" s="44">
        <f>[1]Trips!G36</f>
        <v>1.0050043923118712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x14ac:dyDescent="0.2">
      <c r="A13" s="45" t="s">
        <v>90</v>
      </c>
      <c r="B13" s="46"/>
      <c r="C13" s="40" t="s">
        <v>91</v>
      </c>
      <c r="D13" s="40" t="s">
        <v>122</v>
      </c>
      <c r="E13" s="44">
        <f>[1]Budget!E20+[1]Seed_Chemical!F13+[1]Seed_Chemical!F14+[1]Seed_Chemical!F15</f>
        <v>48.205000000000005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2">
      <c r="A14" s="45" t="s">
        <v>90</v>
      </c>
      <c r="B14" s="46"/>
      <c r="C14" s="40" t="s">
        <v>91</v>
      </c>
      <c r="D14" s="40" t="s">
        <v>123</v>
      </c>
      <c r="E14" s="44">
        <f>[1]Budget!E20+[1]Seed_Chemical!F17+[1]Seed_Chemical!F18+[1]Seed_Chemical!F16</f>
        <v>60.948000000000008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2">
      <c r="A15" s="45" t="s">
        <v>90</v>
      </c>
      <c r="B15" s="34"/>
      <c r="C15" s="40" t="s">
        <v>91</v>
      </c>
      <c r="D15" s="40" t="s">
        <v>124</v>
      </c>
      <c r="E15" s="44">
        <f>[1]Budget!E20+[1]Seed_Chemical!F19+[1]Seed_Chemical!F20</f>
        <v>39.268749999999997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x14ac:dyDescent="0.2">
      <c r="A16" s="45" t="s">
        <v>90</v>
      </c>
      <c r="B16" s="34"/>
      <c r="C16" s="40" t="s">
        <v>82</v>
      </c>
      <c r="D16" s="47" t="s">
        <v>125</v>
      </c>
      <c r="E16" s="44">
        <f>(260*[1]Budget!E21)+([1]Fertilizer!I4*260)+([1]Fertilizer!D8*[1]Fertilizer!E8)</f>
        <v>147.98160000000001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x14ac:dyDescent="0.2">
      <c r="A17" s="45" t="s">
        <v>92</v>
      </c>
      <c r="B17" s="48"/>
      <c r="C17" s="40"/>
      <c r="D17" s="40"/>
      <c r="E17" s="44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x14ac:dyDescent="0.2">
      <c r="A18" s="45" t="s">
        <v>90</v>
      </c>
      <c r="B18" s="48"/>
      <c r="C18" s="40" t="s">
        <v>82</v>
      </c>
      <c r="D18" s="40" t="s">
        <v>126</v>
      </c>
      <c r="E18" s="44">
        <f>([1]Budget!E21*70)+([1]Fertilizer!I4*70)</f>
        <v>33.963999999999999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2">
      <c r="A19" s="38" t="s">
        <v>90</v>
      </c>
      <c r="B19" s="34"/>
      <c r="C19" s="40" t="s">
        <v>93</v>
      </c>
      <c r="D19" s="40" t="s">
        <v>127</v>
      </c>
      <c r="E19" s="44">
        <f>[1]Budget!E20+[1]Seed_Chemical!F30</f>
        <v>17.54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x14ac:dyDescent="0.2">
      <c r="A20" s="49" t="s">
        <v>90</v>
      </c>
      <c r="B20" s="50"/>
      <c r="C20" s="51" t="s">
        <v>94</v>
      </c>
      <c r="D20" s="40" t="s">
        <v>128</v>
      </c>
      <c r="E20" s="44">
        <f>[1]Budget!E20+[1]Seed_Chemical!F44</f>
        <v>16.5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thickBot="1" x14ac:dyDescent="0.25">
      <c r="A21" s="52" t="s">
        <v>95</v>
      </c>
      <c r="B21" s="53"/>
      <c r="C21" s="54"/>
      <c r="D21" s="40"/>
      <c r="E21" s="5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x14ac:dyDescent="0.2">
      <c r="A22" s="56" t="s">
        <v>96</v>
      </c>
      <c r="B22" s="57" t="s">
        <v>97</v>
      </c>
      <c r="C22" s="58" t="s">
        <v>98</v>
      </c>
      <c r="D22" s="59"/>
      <c r="E22" s="60">
        <f>[1]Trips!G59</f>
        <v>21.482450880291843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x14ac:dyDescent="0.2">
      <c r="A23" s="56" t="s">
        <v>99</v>
      </c>
      <c r="B23" s="57" t="s">
        <v>100</v>
      </c>
      <c r="C23" s="58" t="s">
        <v>98</v>
      </c>
      <c r="D23" s="61"/>
      <c r="E23" s="55">
        <f>[1]Trips!G62</f>
        <v>7.2378775283988324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3.5" thickBot="1" x14ac:dyDescent="0.25">
      <c r="A24" s="62" t="s">
        <v>101</v>
      </c>
      <c r="B24" s="63"/>
      <c r="C24" s="64" t="s">
        <v>98</v>
      </c>
      <c r="D24" s="65"/>
      <c r="E24" s="66">
        <f>[1]Trips!G64</f>
        <v>8.0384786802150892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" x14ac:dyDescent="0.25">
      <c r="A25" s="33" t="s">
        <v>102</v>
      </c>
      <c r="B25" s="67"/>
      <c r="C25" s="68"/>
      <c r="D25" s="69"/>
      <c r="E25" s="37">
        <f>[1]Trips!G37</f>
        <v>0.76509735505608079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thickBot="1" x14ac:dyDescent="0.25">
      <c r="A26" s="62" t="s">
        <v>103</v>
      </c>
      <c r="B26" s="63" t="s">
        <v>71</v>
      </c>
      <c r="C26" s="64" t="s">
        <v>104</v>
      </c>
      <c r="D26" s="70"/>
      <c r="E26" s="66">
        <f>[1]Trips!G42</f>
        <v>5.3133724968123381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x14ac:dyDescent="0.2">
      <c r="A27" s="2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</sheetData>
  <mergeCells count="1"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2023-12-18T19:34:08Z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