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E4E9ACD8-D40E-4F84-9D5D-E5507836B38E}" xr6:coauthVersionLast="47" xr6:coauthVersionMax="47" xr10:uidLastSave="{00000000-0000-0000-0000-000000000000}"/>
  <bookViews>
    <workbookView xWindow="15" yWindow="2160" windowWidth="14460" windowHeight="12990" xr2:uid="{D29855A1-290D-4B7F-A9E5-99329D8F031A}"/>
  </bookViews>
  <sheets>
    <sheet name="Budget" sheetId="1" r:id="rId1"/>
    <sheet name="Field_Activities" sheetId="5" r:id="rId2"/>
  </sheets>
  <externalReferences>
    <externalReference r:id="rId3"/>
  </externalReferences>
  <definedNames>
    <definedName name="_xlnm.Print_Area" localSheetId="1">Field_Activities!$A$2:$D$21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8" i="1" l="1"/>
  <c r="C27" i="1"/>
  <c r="C26" i="1"/>
  <c r="J57" i="1" l="1"/>
  <c r="J56" i="1"/>
  <c r="E26" i="5"/>
  <c r="E25" i="5"/>
  <c r="E24" i="5"/>
  <c r="E23" i="5"/>
  <c r="E22" i="5"/>
  <c r="E20" i="5"/>
  <c r="E19" i="5"/>
  <c r="E18" i="5"/>
  <c r="E17" i="5"/>
  <c r="E14" i="5"/>
  <c r="E12" i="5"/>
  <c r="E11" i="5"/>
  <c r="E10" i="5"/>
  <c r="E9" i="5"/>
  <c r="E7" i="5"/>
  <c r="E6" i="5"/>
  <c r="E5" i="5"/>
  <c r="E4" i="5"/>
  <c r="C24" i="1"/>
  <c r="C23" i="1"/>
  <c r="C22" i="1"/>
  <c r="C21" i="1"/>
  <c r="D51" i="1"/>
  <c r="D57" i="1"/>
  <c r="D56" i="1"/>
  <c r="D50" i="1"/>
  <c r="D55" i="1"/>
  <c r="E15" i="1" l="1"/>
  <c r="E48" i="1"/>
  <c r="G48" i="1" s="1"/>
  <c r="G15" i="1" l="1"/>
  <c r="H15" i="1" s="1"/>
  <c r="H48" i="1"/>
  <c r="E53" i="1" l="1"/>
  <c r="G53" i="1" l="1"/>
  <c r="H53" i="1" s="1"/>
  <c r="E18" i="1" l="1"/>
  <c r="G18" i="1" s="1"/>
  <c r="E33" i="1"/>
  <c r="G33" i="1" s="1"/>
  <c r="H33" i="1" s="1"/>
  <c r="E37" i="1"/>
  <c r="E14" i="1"/>
  <c r="E17" i="1"/>
  <c r="G17" i="1" s="1"/>
  <c r="E19" i="1"/>
  <c r="H18" i="1" l="1"/>
  <c r="G37" i="1"/>
  <c r="H37" i="1" s="1"/>
  <c r="G14" i="1"/>
  <c r="H14" i="1" s="1"/>
  <c r="J15" i="1" s="1"/>
  <c r="G19" i="1"/>
  <c r="H19" i="1" s="1"/>
  <c r="H17" i="1"/>
  <c r="J19" i="1" s="1"/>
  <c r="E69" i="1" l="1"/>
  <c r="G69" i="1" s="1"/>
  <c r="E68" i="1"/>
  <c r="E67" i="1"/>
  <c r="G67" i="1" s="1"/>
  <c r="H67" i="1" s="1"/>
  <c r="E62" i="1"/>
  <c r="G62" i="1" s="1"/>
  <c r="H62" i="1" s="1"/>
  <c r="E61" i="1"/>
  <c r="E60" i="1"/>
  <c r="G60" i="1" s="1"/>
  <c r="E59" i="1"/>
  <c r="G59" i="1" s="1"/>
  <c r="E57" i="1"/>
  <c r="G57" i="1" s="1"/>
  <c r="H57" i="1" s="1"/>
  <c r="E56" i="1"/>
  <c r="G56" i="1" s="1"/>
  <c r="H56" i="1" s="1"/>
  <c r="E55" i="1"/>
  <c r="G55" i="1" s="1"/>
  <c r="E51" i="1"/>
  <c r="G51" i="1" s="1"/>
  <c r="H51" i="1" s="1"/>
  <c r="E50" i="1"/>
  <c r="G50" i="1" s="1"/>
  <c r="E46" i="1"/>
  <c r="G46" i="1" s="1"/>
  <c r="H46" i="1" s="1"/>
  <c r="E44" i="1"/>
  <c r="E42" i="1"/>
  <c r="G42" i="1" s="1"/>
  <c r="E40" i="1"/>
  <c r="E35" i="1"/>
  <c r="G35" i="1" s="1"/>
  <c r="H35" i="1" s="1"/>
  <c r="E32" i="1"/>
  <c r="E31" i="1"/>
  <c r="G31" i="1" s="1"/>
  <c r="H31" i="1" s="1"/>
  <c r="E30" i="1"/>
  <c r="E29" i="1"/>
  <c r="G29" i="1" s="1"/>
  <c r="E28" i="1"/>
  <c r="E27" i="1"/>
  <c r="G27" i="1" s="1"/>
  <c r="E26" i="1"/>
  <c r="G26" i="1" s="1"/>
  <c r="H26" i="1" s="1"/>
  <c r="E24" i="1"/>
  <c r="E23" i="1"/>
  <c r="G23" i="1" s="1"/>
  <c r="H23" i="1" s="1"/>
  <c r="E22" i="1"/>
  <c r="E21" i="1"/>
  <c r="E7" i="1"/>
  <c r="G21" i="1" l="1"/>
  <c r="H21" i="1" s="1"/>
  <c r="E63" i="1"/>
  <c r="E8" i="1"/>
  <c r="G7" i="1"/>
  <c r="G8" i="1" s="1"/>
  <c r="E12" i="1" s="1"/>
  <c r="H12" i="1" s="1"/>
  <c r="H50" i="1"/>
  <c r="H55" i="1"/>
  <c r="H29" i="1"/>
  <c r="H60" i="1"/>
  <c r="G22" i="1"/>
  <c r="H22" i="1" s="1"/>
  <c r="H27" i="1"/>
  <c r="G30" i="1"/>
  <c r="H30" i="1" s="1"/>
  <c r="G44" i="1"/>
  <c r="H44" i="1" s="1"/>
  <c r="H59" i="1"/>
  <c r="G61" i="1"/>
  <c r="H61" i="1" s="1"/>
  <c r="G24" i="1"/>
  <c r="H24" i="1" s="1"/>
  <c r="G32" i="1"/>
  <c r="H32" i="1" s="1"/>
  <c r="H69" i="1"/>
  <c r="E70" i="1"/>
  <c r="H42" i="1"/>
  <c r="G28" i="1"/>
  <c r="H28" i="1" s="1"/>
  <c r="G40" i="1"/>
  <c r="H40" i="1" s="1"/>
  <c r="G68" i="1"/>
  <c r="H68" i="1" s="1"/>
  <c r="J24" i="1" l="1"/>
  <c r="J33" i="1"/>
  <c r="J35" i="1" s="1"/>
  <c r="J37" i="1" s="1"/>
  <c r="H7" i="1"/>
  <c r="G70" i="1"/>
  <c r="H70" i="1" s="1"/>
  <c r="H8" i="1"/>
  <c r="E71" i="1" l="1"/>
  <c r="G63" i="1"/>
  <c r="E64" i="1" l="1"/>
  <c r="H63" i="1"/>
  <c r="G64" i="1"/>
  <c r="G71" i="1"/>
  <c r="G72" i="1" s="1"/>
  <c r="E72" i="1"/>
  <c r="H71" i="1" l="1"/>
  <c r="H64" i="1"/>
  <c r="H72" i="1"/>
  <c r="E13" i="5" l="1"/>
  <c r="E8" i="5"/>
  <c r="E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<sst xmlns="http://schemas.openxmlformats.org/spreadsheetml/2006/main" count="196" uniqueCount="143">
  <si>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</si>
  <si>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</si>
  <si>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</si>
  <si>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</si>
  <si>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</si>
  <si>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</si>
  <si>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</si>
  <si>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</si>
  <si>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</si>
  <si>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</si>
  <si>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Rice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</si>
  <si>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</si>
  <si>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</si>
  <si>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</si>
  <si>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</si>
  <si>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</si>
  <si>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</si>
  <si>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</si>
  <si>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</si>
  <si>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</si>
  <si>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</si>
  <si>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</si>
  <si>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</si>
  <si>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>lb</t>
  </si>
  <si>
    <t xml:space="preserve">  ADJUVANTS</t>
  </si>
  <si>
    <t xml:space="preserve">  HAULING</t>
  </si>
  <si>
    <t>Haul Rice</t>
  </si>
  <si>
    <t xml:space="preserve">  DRYING</t>
  </si>
  <si>
    <t>Dry Rice</t>
  </si>
  <si>
    <t xml:space="preserve">  SURVEY &amp; MARK LEVEES</t>
  </si>
  <si>
    <t>Survey &amp; Mark Levees</t>
  </si>
  <si>
    <t>acre</t>
  </si>
  <si>
    <t>Rice Consultant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</si>
  <si>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</si>
  <si>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</si>
  <si>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</si>
  <si>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</si>
  <si>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</si>
  <si>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</si>
  <si>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</si>
  <si>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>Flood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</si>
  <si>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</si>
  <si>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</si>
  <si>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</si>
  <si>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</si>
  <si>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</si>
  <si>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</si>
  <si>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</si>
  <si>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</si>
  <si>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Estimated costs and returns per acre</t>
  </si>
  <si>
    <t>Flood irrigated, 30 ac-in., Arkansas, 2024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</si>
  <si>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</si>
  <si>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</si>
  <si>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</si>
  <si>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</si>
  <si>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Command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</si>
  <si>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</si>
  <si>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Basagran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</si>
  <si>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Urea, agrotain treated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</si>
  <si>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7</t>
    </r>
  </si>
  <si>
    <t xml:space="preserve">  CROP CONSULTANT/SCOUTING FEE</t>
  </si>
  <si>
    <t>Rice Seed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</si>
  <si>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</t>
    </r>
  </si>
  <si>
    <t>Tractors/Implements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</si>
  <si>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</si>
  <si>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</si>
  <si>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</si>
  <si>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</si>
  <si>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</si>
  <si>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</si>
  <si>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</si>
  <si>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</si>
  <si>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</si>
  <si>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Tillage</t>
  </si>
  <si>
    <t>Land  Plane</t>
  </si>
  <si>
    <t>17 ft.</t>
  </si>
  <si>
    <t>Ditcher</t>
  </si>
  <si>
    <t>Fall</t>
  </si>
  <si>
    <t>Custom Ground Application</t>
  </si>
  <si>
    <t>Herbicide (Burndown)</t>
  </si>
  <si>
    <t>2 pt Glyphosate</t>
  </si>
  <si>
    <t>Fertilizer</t>
  </si>
  <si>
    <t>Grain Drill</t>
  </si>
  <si>
    <t>30 ft.</t>
  </si>
  <si>
    <t>Plant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</si>
  <si>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</si>
  <si>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</si>
  <si>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</si>
  <si>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</si>
  <si>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</si>
  <si>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</si>
  <si>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Flood Field</t>
  </si>
  <si>
    <t>Insecticide</t>
  </si>
  <si>
    <t>Fungicide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</si>
  <si>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</si>
  <si>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</si>
  <si>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</si>
  <si>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</si>
  <si>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</si>
  <si>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</si>
  <si>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</si>
  <si>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</si>
  <si>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</si>
  <si>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</si>
  <si>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</si>
  <si>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 xml:space="preserve">  CROP INSURANCE</t>
  </si>
  <si>
    <t>Rice Crop Insurance</t>
  </si>
  <si>
    <t xml:space="preserve">  LAND EXPENSE</t>
  </si>
  <si>
    <t>Cash Land Rent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</si>
  <si>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3,4,5,8,9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</si>
  <si>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6,7</t>
    </r>
  </si>
  <si>
    <t>Rice Seed Cv (Levees)</t>
  </si>
  <si>
    <t xml:space="preserve">  IRRIGATE LABOR</t>
  </si>
  <si>
    <r>
      <t>Tenchu</t>
    </r>
    <r>
      <rPr>
        <vertAlign val="superscript"/>
        <sz val="11"/>
        <color rgb="FF990000"/>
        <rFont val="Calibri"/>
        <family val="2"/>
        <scheme val="minor"/>
      </rPr>
      <t>8</t>
    </r>
  </si>
  <si>
    <t>**Implements assumed in use for this budget are as follows: 1 x disk; 1 x ditcher; 1 x field cultivator; 1 x land plane; 1 x grain drill; 2 x levee pull; 1x levee pull, planter/incorporate; 1 x install gates; 1 x take down levees; 1 x stubble roller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</si>
  <si>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</si>
  <si>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</si>
  <si>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</si>
  <si>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Hybrid Rice</t>
  </si>
  <si>
    <r>
      <t>Sharpen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</si>
  <si>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Facet L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</si>
  <si>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Ricestar HT</t>
    </r>
    <r>
      <rPr>
        <vertAlign val="superscript"/>
        <sz val="11"/>
        <color rgb="FF990000"/>
        <rFont val="Calibri"/>
        <family val="2"/>
        <scheme val="minor"/>
      </rPr>
      <t>4</t>
    </r>
  </si>
  <si>
    <t>87 lbs Phosphate and 100 lbs Potash</t>
  </si>
  <si>
    <t>23 lbs seed per acre</t>
  </si>
  <si>
    <t>12.8 oz Command, 2 pt Glyphosate,      3 oz Sharpen</t>
  </si>
  <si>
    <t>25 oz Facet L, 24 oz Ricestar HT</t>
  </si>
  <si>
    <t>1.5 oz Gambit, 1.5 pt Basagran</t>
  </si>
  <si>
    <t xml:space="preserve"> 8 oz Tilt 3.6 EC</t>
  </si>
  <si>
    <t>Table A. Rice Field Activities, Hybrid Seed</t>
  </si>
  <si>
    <t>8 oz Tenchu</t>
  </si>
  <si>
    <t>230 lb Urea (46-0-0),                           0.52 qt Agrotain treated</t>
  </si>
  <si>
    <t>Total Seed</t>
  </si>
  <si>
    <t>Total Applications</t>
  </si>
  <si>
    <t>Total Fertilizer</t>
  </si>
  <si>
    <t>Total Herbicide</t>
  </si>
  <si>
    <t>Total Crop Protectants</t>
  </si>
  <si>
    <t>Total Herbicide+Insecticide</t>
  </si>
  <si>
    <t>Total Diesel Fuel</t>
  </si>
  <si>
    <r>
      <t>Gambit</t>
    </r>
    <r>
      <rPr>
        <vertAlign val="superscript"/>
        <sz val="11"/>
        <color rgb="FF990000"/>
        <rFont val="Calibri"/>
        <family val="2"/>
        <scheme val="minor"/>
      </rPr>
      <t>5</t>
    </r>
  </si>
  <si>
    <t>70 lb Urea (46-0-0)</t>
  </si>
  <si>
    <t>Note: Cost of production estimates are based on input prices gathered in fall 2023. These budgets are an adaptation of budgets from MSState following University of Arkansas System Recommendations.</t>
  </si>
  <si>
    <t>Total Gal</t>
  </si>
  <si>
    <r>
      <t>Tilt 3.6 EC</t>
    </r>
    <r>
      <rPr>
        <vertAlign val="superscript"/>
        <sz val="11"/>
        <color rgb="FF990000"/>
        <rFont val="Calibri"/>
        <family val="2"/>
        <scheme val="minor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</si>
</sst>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2" borderId="11" xfId="2" applyFill="1" applyBorder="1"/>
    <xf numFmtId="0" fontId="8" fillId="0" borderId="0" xfId="2"/>
    <xf numFmtId="0" fontId="9" fillId="2" borderId="9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12" xfId="2" applyFont="1" applyFill="1" applyBorder="1"/>
    <xf numFmtId="0" fontId="9" fillId="2" borderId="13" xfId="2" applyFont="1" applyFill="1" applyBorder="1"/>
    <xf numFmtId="0" fontId="9" fillId="2" borderId="14" xfId="2" applyFont="1" applyFill="1" applyBorder="1" applyAlignment="1">
      <alignment horizontal="center"/>
    </xf>
    <xf numFmtId="8" fontId="9" fillId="2" borderId="14" xfId="2" applyNumberFormat="1" applyFont="1" applyFill="1" applyBorder="1" applyAlignment="1">
      <alignment horizontal="center"/>
    </xf>
    <xf numFmtId="0" fontId="9" fillId="2" borderId="15" xfId="2" applyFont="1" applyFill="1" applyBorder="1"/>
    <xf numFmtId="0" fontId="10" fillId="2" borderId="16" xfId="2" applyFont="1" applyFill="1" applyBorder="1" applyAlignment="1">
      <alignment horizontal="center"/>
    </xf>
    <xf numFmtId="8" fontId="9" fillId="2" borderId="16" xfId="2" applyNumberFormat="1" applyFont="1" applyFill="1" applyBorder="1" applyAlignment="1">
      <alignment horizontal="center"/>
    </xf>
    <xf numFmtId="0" fontId="9" fillId="2" borderId="17" xfId="2" applyFont="1" applyFill="1" applyBorder="1"/>
    <xf numFmtId="0" fontId="9" fillId="2" borderId="4" xfId="2" applyFont="1" applyFill="1" applyBorder="1"/>
    <xf numFmtId="0" fontId="9" fillId="2" borderId="0" xfId="2" applyFont="1" applyFill="1"/>
    <xf numFmtId="0" fontId="9" fillId="2" borderId="16" xfId="2" applyFont="1" applyFill="1" applyBorder="1" applyAlignment="1">
      <alignment horizontal="center"/>
    </xf>
    <xf numFmtId="0" fontId="12" fillId="2" borderId="0" xfId="2" applyFont="1" applyFill="1"/>
    <xf numFmtId="0" fontId="10" fillId="2" borderId="17" xfId="2" applyFont="1" applyFill="1" applyBorder="1"/>
    <xf numFmtId="0" fontId="9" fillId="2" borderId="18" xfId="2" applyFont="1" applyFill="1" applyBorder="1"/>
    <xf numFmtId="0" fontId="11" fillId="2" borderId="1" xfId="2" applyFont="1" applyFill="1" applyBorder="1"/>
    <xf numFmtId="0" fontId="9" fillId="2" borderId="19" xfId="2" applyFont="1" applyFill="1" applyBorder="1"/>
    <xf numFmtId="0" fontId="9" fillId="2" borderId="20" xfId="2" applyFont="1" applyFill="1" applyBorder="1"/>
    <xf numFmtId="0" fontId="9" fillId="2" borderId="21" xfId="2" applyFont="1" applyFill="1" applyBorder="1" applyAlignment="1">
      <alignment horizontal="center"/>
    </xf>
    <xf numFmtId="8" fontId="9" fillId="2" borderId="22" xfId="2" applyNumberFormat="1" applyFont="1" applyFill="1" applyBorder="1" applyAlignment="1">
      <alignment horizontal="center"/>
    </xf>
    <xf numFmtId="0" fontId="9" fillId="2" borderId="23" xfId="2" applyFont="1" applyFill="1" applyBorder="1" applyAlignment="1">
      <alignment horizontal="center"/>
    </xf>
    <xf numFmtId="8" fontId="9" fillId="2" borderId="24" xfId="2" applyNumberFormat="1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8" fontId="9" fillId="2" borderId="23" xfId="2" applyNumberFormat="1" applyFont="1" applyFill="1" applyBorder="1" applyAlignment="1">
      <alignment horizontal="center"/>
    </xf>
    <xf numFmtId="0" fontId="9" fillId="2" borderId="5" xfId="2" applyFont="1" applyFill="1" applyBorder="1"/>
    <xf numFmtId="0" fontId="9" fillId="2" borderId="6" xfId="2" applyFont="1" applyFill="1" applyBorder="1"/>
    <xf numFmtId="0" fontId="9" fillId="2" borderId="25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8" fontId="9" fillId="2" borderId="25" xfId="2" applyNumberFormat="1" applyFont="1" applyFill="1" applyBorder="1" applyAlignment="1">
      <alignment horizontal="center"/>
    </xf>
    <xf numFmtId="0" fontId="9" fillId="2" borderId="26" xfId="2" applyFont="1" applyFill="1" applyBorder="1"/>
    <xf numFmtId="0" fontId="9" fillId="2" borderId="27" xfId="2" applyFont="1" applyFill="1" applyBorder="1" applyAlignment="1">
      <alignment horizontal="center"/>
    </xf>
    <xf numFmtId="0" fontId="10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2" fillId="0" borderId="0" xfId="1" applyFont="1"/>
    <xf numFmtId="44" fontId="2" fillId="0" borderId="0" xfId="0" applyNumberFormat="1" applyFont="1"/>
    <xf numFmtId="0" fontId="15" fillId="2" borderId="0" xfId="3" applyFont="1" applyFill="1" applyProtection="1">
      <protection locked="0"/>
    </xf>
    <xf numFmtId="0" fontId="9" fillId="2" borderId="24" xfId="2" applyFont="1" applyFill="1" applyBorder="1" applyAlignment="1">
      <alignment horizontal="center"/>
    </xf>
    <xf numFmtId="0" fontId="9" fillId="2" borderId="27" xfId="2" applyFont="1" applyFill="1" applyBorder="1"/>
    <xf numFmtId="0" fontId="9" fillId="2" borderId="16" xfId="2" applyFont="1" applyFill="1" applyBorder="1"/>
    <xf numFmtId="0" fontId="9" fillId="2" borderId="16" xfId="2" applyFont="1" applyFill="1" applyBorder="1" applyAlignment="1">
      <alignment horizontal="center" wrapText="1"/>
    </xf>
    <xf numFmtId="0" fontId="9" fillId="2" borderId="1" xfId="2" applyFont="1" applyFill="1" applyBorder="1"/>
    <xf numFmtId="0" fontId="8" fillId="2" borderId="26" xfId="2" applyFill="1" applyBorder="1"/>
    <xf numFmtId="8" fontId="9" fillId="2" borderId="27" xfId="2" applyNumberFormat="1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8" fontId="9" fillId="2" borderId="0" xfId="2" applyNumberFormat="1" applyFont="1" applyFill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6" fillId="0" borderId="0" xfId="0" applyFont="1"/>
    <xf numFmtId="44" fontId="16" fillId="0" borderId="0" xfId="0" applyNumberFormat="1" applyFont="1"/>
    <xf numFmtId="0" fontId="17" fillId="0" borderId="0" xfId="0" applyFont="1"/>
    <xf numFmtId="167" fontId="16" fillId="0" borderId="0" xfId="0" applyNumberFormat="1" applyFont="1"/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2" borderId="0" xfId="3" applyFont="1" applyFill="1" applyBorder="1" applyProtection="1">
      <protection locked="0"/>
    </xf>
    <xf numFmtId="0" fontId="7" fillId="2" borderId="9" xfId="2" applyFont="1" applyFill="1" applyBorder="1" applyAlignment="1">
      <alignment horizontal="left"/>
    </xf>
    <xf numFmtId="0" fontId="7" fillId="2" borderId="10" xfId="2" applyFont="1" applyFill="1" applyBorder="1" applyAlignment="1">
      <alignment horizontal="left"/>
    </xf>
  </cellXfs>
  <cellStyles count="4">
    <cellStyle name="Currency" xfId="1" builtinId="4"/>
    <cellStyle name="Hyperlink 2" xfId="3" xr:uid="{2FD15639-232C-4DD2-B871-ADD4883249C2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84905</xdr:rowOff>
    </xdr:from>
    <xdr:to>
      <xdr:col>0</xdr:col>
      <xdr:colOff>989277</xdr:colOff>
      <xdr:row>2</xdr:row>
      <xdr:rowOff>152401</xdr:rowOff>
    </xdr:to>
    <xdr:pic>
      <xdr:nvPicPr>
        <xdr:cNvPr id="3" name="Picture 2" descr="Arkansas Rice Check-Off Logo">
          <a:extLst>
            <a:ext uri="{FF2B5EF4-FFF2-40B4-BE49-F238E27FC236}">
              <a16:creationId xmlns:a16="http://schemas.microsoft.com/office/drawing/2014/main" id="{4495D2E4-36B3-4FB7-9E7A-CA001D35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4905"/>
          <a:ext cx="941653" cy="543746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0</xdr:row>
      <xdr:rowOff>0</xdr:rowOff>
    </xdr:from>
    <xdr:to>
      <xdr:col>1</xdr:col>
      <xdr:colOff>171449</xdr:colOff>
      <xdr:row>2</xdr:row>
      <xdr:rowOff>190500</xdr:rowOff>
    </xdr:to>
    <xdr:pic>
      <xdr:nvPicPr>
        <xdr:cNvPr id="4" name="Picture 3" descr="Arkansas Rice Promotion Board Logo">
          <a:extLst>
            <a:ext uri="{FF2B5EF4-FFF2-40B4-BE49-F238E27FC236}">
              <a16:creationId xmlns:a16="http://schemas.microsoft.com/office/drawing/2014/main" id="{82F154D6-E9B8-4A33-8945-FF1656802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628649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Division of Agriculture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25_Rice_Hybrid_2024.xlsm" TargetMode="External"/><Relationship Id="rId1" Type="http://schemas.openxmlformats.org/officeDocument/2006/relationships/externalLinkPath" Target="A25_Rice_Hybrid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C2_Irrigation_Calculations"/>
      <sheetName val="Print_Land_Capitalization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E19">
            <v>8</v>
          </cell>
        </row>
        <row r="20">
          <cell r="D20">
            <v>5</v>
          </cell>
          <cell r="E20">
            <v>8.5</v>
          </cell>
          <cell r="F20">
            <v>42.5</v>
          </cell>
        </row>
        <row r="21">
          <cell r="D21">
            <v>330</v>
          </cell>
          <cell r="E21">
            <v>8.5000000000000006E-2</v>
          </cell>
          <cell r="F21">
            <v>28.05</v>
          </cell>
        </row>
      </sheetData>
      <sheetData sheetId="21"/>
      <sheetData sheetId="22">
        <row r="4">
          <cell r="D4">
            <v>87</v>
          </cell>
          <cell r="E4">
            <v>0.35</v>
          </cell>
          <cell r="I4">
            <v>0.25</v>
          </cell>
        </row>
        <row r="5">
          <cell r="D5">
            <v>100</v>
          </cell>
          <cell r="E5">
            <v>0.25</v>
          </cell>
        </row>
        <row r="8">
          <cell r="E8">
            <v>41.98</v>
          </cell>
        </row>
      </sheetData>
      <sheetData sheetId="23">
        <row r="8">
          <cell r="F8">
            <v>163.31</v>
          </cell>
        </row>
        <row r="12">
          <cell r="F12">
            <v>5.38</v>
          </cell>
        </row>
        <row r="13">
          <cell r="F13">
            <v>9.375</v>
          </cell>
        </row>
        <row r="14">
          <cell r="F14">
            <v>5.38</v>
          </cell>
        </row>
        <row r="15">
          <cell r="F15">
            <v>20.100000000000001</v>
          </cell>
        </row>
        <row r="16">
          <cell r="F16">
            <v>27.34375</v>
          </cell>
        </row>
        <row r="17">
          <cell r="F17">
            <v>38.400000000000006</v>
          </cell>
        </row>
        <row r="18">
          <cell r="F18">
            <v>24.75</v>
          </cell>
        </row>
        <row r="19">
          <cell r="F19">
            <v>15.318750000000001</v>
          </cell>
        </row>
        <row r="30">
          <cell r="F30">
            <v>9.0399999999999991</v>
          </cell>
        </row>
        <row r="44">
          <cell r="F44">
            <v>8</v>
          </cell>
        </row>
      </sheetData>
      <sheetData sheetId="24"/>
      <sheetData sheetId="25"/>
      <sheetData sheetId="26">
        <row r="9">
          <cell r="G9">
            <v>7.9050478776762532</v>
          </cell>
        </row>
        <row r="15">
          <cell r="G15">
            <v>0.28494392213533959</v>
          </cell>
        </row>
        <row r="18">
          <cell r="G18">
            <v>4.4473625620426889</v>
          </cell>
        </row>
        <row r="22">
          <cell r="G22">
            <v>4.7117093872033111</v>
          </cell>
        </row>
        <row r="27">
          <cell r="G27">
            <v>14.21456168168678</v>
          </cell>
        </row>
        <row r="33">
          <cell r="B33">
            <v>1.5513268049673099</v>
          </cell>
        </row>
        <row r="36">
          <cell r="G36">
            <v>1.0050043923118712</v>
          </cell>
        </row>
        <row r="37">
          <cell r="G37">
            <v>0.76509735505608079</v>
          </cell>
        </row>
        <row r="42">
          <cell r="G42">
            <v>5.3133724968123381</v>
          </cell>
        </row>
        <row r="59">
          <cell r="G59">
            <v>21.482450880291843</v>
          </cell>
        </row>
        <row r="62">
          <cell r="G62">
            <v>7.2378775283988324</v>
          </cell>
        </row>
        <row r="64">
          <cell r="G64">
            <v>8.0384786802150892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K79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8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1" ht="18.75" x14ac:dyDescent="0.3">
      <c r="A1" s="78" t="s">
        <v>49</v>
      </c>
      <c r="B1" s="78"/>
      <c r="C1" s="78"/>
      <c r="D1" s="78"/>
      <c r="E1" s="78"/>
      <c r="F1" s="78"/>
      <c r="G1" s="78"/>
      <c r="H1" s="78"/>
      <c r="I1" s="17"/>
    </row>
    <row r="2" spans="1:11" ht="18.75" x14ac:dyDescent="0.3">
      <c r="A2" s="79" t="s">
        <v>118</v>
      </c>
      <c r="B2" s="79"/>
      <c r="C2" s="79"/>
      <c r="D2" s="79"/>
      <c r="E2" s="79"/>
      <c r="F2" s="79"/>
      <c r="G2" s="79"/>
      <c r="H2" s="79"/>
      <c r="I2" s="17"/>
    </row>
    <row r="3" spans="1:11" ht="19.5" thickBot="1" x14ac:dyDescent="0.35">
      <c r="A3" s="80" t="s">
        <v>50</v>
      </c>
      <c r="B3" s="80"/>
      <c r="C3" s="80"/>
      <c r="D3" s="80"/>
      <c r="E3" s="80"/>
      <c r="F3" s="80"/>
      <c r="G3" s="80"/>
      <c r="H3" s="80"/>
      <c r="I3" s="17"/>
    </row>
    <row r="4" spans="1:11" ht="15.75" thickTop="1" x14ac:dyDescent="0.25">
      <c r="A4" s="1"/>
      <c r="B4" s="1"/>
      <c r="C4" s="2"/>
      <c r="D4" s="1"/>
      <c r="E4" s="2"/>
      <c r="F4" s="81" t="s">
        <v>0</v>
      </c>
      <c r="G4" s="81"/>
      <c r="H4" s="3" t="s">
        <v>1</v>
      </c>
      <c r="I4" s="3"/>
    </row>
    <row r="5" spans="1:11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  <c r="J5" s="73"/>
      <c r="K5" s="73"/>
    </row>
    <row r="6" spans="1:11" x14ac:dyDescent="0.25">
      <c r="A6" s="7" t="s">
        <v>9</v>
      </c>
      <c r="J6" s="73"/>
      <c r="K6" s="73"/>
    </row>
    <row r="7" spans="1:11" x14ac:dyDescent="0.25">
      <c r="A7" s="9" t="s">
        <v>10</v>
      </c>
      <c r="B7" s="9" t="s">
        <v>11</v>
      </c>
      <c r="C7" s="10">
        <v>6.75</v>
      </c>
      <c r="D7" s="9">
        <v>190</v>
      </c>
      <c r="E7" s="2">
        <f>ROUND(C7*D7,2)</f>
        <v>1282.5</v>
      </c>
      <c r="F7" s="11">
        <v>0</v>
      </c>
      <c r="G7" s="2">
        <f>ROUND(E7*F7,2)</f>
        <v>0</v>
      </c>
      <c r="H7" s="2">
        <f>ROUND(E7-G7,2)</f>
        <v>1282.5</v>
      </c>
      <c r="I7" s="18"/>
      <c r="J7" s="73"/>
      <c r="K7" s="73"/>
    </row>
    <row r="8" spans="1:11" x14ac:dyDescent="0.25">
      <c r="A8" s="7" t="s">
        <v>12</v>
      </c>
      <c r="E8" s="8">
        <f>SUM(E7:E7)</f>
        <v>1282.5</v>
      </c>
      <c r="G8" s="12">
        <f>SUM(G7:G7)</f>
        <v>0</v>
      </c>
      <c r="H8" s="12">
        <f>ROUND(E8-G8,2)</f>
        <v>1282.5</v>
      </c>
      <c r="I8" s="12"/>
      <c r="J8" s="73"/>
      <c r="K8" s="73"/>
    </row>
    <row r="9" spans="1:11" ht="7.5" customHeight="1" x14ac:dyDescent="0.25">
      <c r="A9" t="s">
        <v>13</v>
      </c>
      <c r="J9" s="73"/>
      <c r="K9" s="73"/>
    </row>
    <row r="10" spans="1:11" x14ac:dyDescent="0.25">
      <c r="A10" s="7" t="s">
        <v>14</v>
      </c>
      <c r="J10" s="73"/>
      <c r="K10" s="73"/>
    </row>
    <row r="11" spans="1:11" x14ac:dyDescent="0.25">
      <c r="A11" s="13" t="s">
        <v>107</v>
      </c>
      <c r="J11" s="73"/>
      <c r="K11" s="73"/>
    </row>
    <row r="12" spans="1:11" x14ac:dyDescent="0.25">
      <c r="A12" s="14" t="s">
        <v>108</v>
      </c>
      <c r="B12" s="14" t="s">
        <v>31</v>
      </c>
      <c r="C12" s="15"/>
      <c r="D12" s="14"/>
      <c r="E12" s="8">
        <f>G8</f>
        <v>0</v>
      </c>
      <c r="F12" s="16"/>
      <c r="G12" s="8"/>
      <c r="H12" s="8">
        <f>E12</f>
        <v>0</v>
      </c>
      <c r="J12" s="73"/>
      <c r="K12" s="73"/>
    </row>
    <row r="13" spans="1:11" x14ac:dyDescent="0.25">
      <c r="A13" s="13" t="s">
        <v>22</v>
      </c>
      <c r="J13" s="73"/>
      <c r="K13" s="73"/>
    </row>
    <row r="14" spans="1:11" x14ac:dyDescent="0.25">
      <c r="A14" s="14" t="s">
        <v>61</v>
      </c>
      <c r="B14" s="14" t="s">
        <v>23</v>
      </c>
      <c r="C14" s="15">
        <v>6.62</v>
      </c>
      <c r="D14" s="14">
        <v>23</v>
      </c>
      <c r="E14" s="8">
        <f>ROUND(C14*D14,2)</f>
        <v>152.26</v>
      </c>
      <c r="F14" s="16">
        <v>0</v>
      </c>
      <c r="G14" s="8">
        <f>ROUND(E14*F14,2)</f>
        <v>0</v>
      </c>
      <c r="H14" s="8">
        <f>ROUND(E14-G14,2)</f>
        <v>152.26</v>
      </c>
      <c r="I14" s="8"/>
      <c r="J14" s="73"/>
      <c r="K14" s="73"/>
    </row>
    <row r="15" spans="1:11" x14ac:dyDescent="0.25">
      <c r="A15" s="14" t="s">
        <v>111</v>
      </c>
      <c r="B15" s="14" t="s">
        <v>23</v>
      </c>
      <c r="C15" s="15">
        <v>2.6</v>
      </c>
      <c r="D15" s="14">
        <v>4.25</v>
      </c>
      <c r="E15" s="8">
        <f>ROUND(C15*D15,2)</f>
        <v>11.05</v>
      </c>
      <c r="F15" s="16">
        <v>0</v>
      </c>
      <c r="G15" s="8">
        <f>ROUND(E15*F15,2)</f>
        <v>0</v>
      </c>
      <c r="H15" s="8">
        <f>ROUND(E15-G15,2)</f>
        <v>11.05</v>
      </c>
      <c r="I15" s="8"/>
      <c r="J15" s="74">
        <f>SUM(H14:H15)</f>
        <v>163.31</v>
      </c>
      <c r="K15" s="73" t="s">
        <v>131</v>
      </c>
    </row>
    <row r="16" spans="1:11" x14ac:dyDescent="0.25">
      <c r="A16" s="13" t="s">
        <v>52</v>
      </c>
      <c r="J16" s="73"/>
      <c r="K16" s="73"/>
    </row>
    <row r="17" spans="1:11" ht="17.25" x14ac:dyDescent="0.25">
      <c r="A17" s="14" t="s">
        <v>62</v>
      </c>
      <c r="B17" s="14" t="s">
        <v>15</v>
      </c>
      <c r="C17" s="15">
        <v>8</v>
      </c>
      <c r="D17" s="14">
        <v>2</v>
      </c>
      <c r="E17" s="8">
        <f>ROUND(C17*D17,2)</f>
        <v>16</v>
      </c>
      <c r="F17" s="16">
        <v>0</v>
      </c>
      <c r="G17" s="8">
        <f>ROUND(E17*F17,2)</f>
        <v>0</v>
      </c>
      <c r="H17" s="8">
        <f>ROUND(E17-G17,2)</f>
        <v>16</v>
      </c>
      <c r="I17" s="8"/>
      <c r="J17" s="73"/>
      <c r="K17" s="73"/>
    </row>
    <row r="18" spans="1:11" ht="17.25" x14ac:dyDescent="0.25">
      <c r="A18" s="14" t="s">
        <v>109</v>
      </c>
      <c r="B18" s="14" t="s">
        <v>15</v>
      </c>
      <c r="C18" s="15">
        <v>8.5</v>
      </c>
      <c r="D18" s="14">
        <v>5</v>
      </c>
      <c r="E18" s="8">
        <f>ROUND(C18*D18,2)</f>
        <v>42.5</v>
      </c>
      <c r="F18" s="16">
        <v>0</v>
      </c>
      <c r="G18" s="8">
        <f>ROUND(E18*F18,2)</f>
        <v>0</v>
      </c>
      <c r="H18" s="8">
        <f>ROUND(E18-G18,2)</f>
        <v>42.5</v>
      </c>
      <c r="I18" s="8"/>
      <c r="J18" s="73"/>
      <c r="K18" s="73"/>
    </row>
    <row r="19" spans="1:11" ht="17.25" x14ac:dyDescent="0.25">
      <c r="A19" s="14" t="s">
        <v>110</v>
      </c>
      <c r="B19" s="14" t="s">
        <v>51</v>
      </c>
      <c r="C19" s="57">
        <v>8.5000000000000006E-2</v>
      </c>
      <c r="D19" s="14">
        <v>330</v>
      </c>
      <c r="E19" s="8">
        <f>ROUND(C19*D19,2)</f>
        <v>28.05</v>
      </c>
      <c r="F19" s="16">
        <v>0</v>
      </c>
      <c r="G19" s="8">
        <f>ROUND(E19*F19,2)</f>
        <v>0</v>
      </c>
      <c r="H19" s="8">
        <f>ROUND(E19-G19,2)</f>
        <v>28.05</v>
      </c>
      <c r="I19" s="8"/>
      <c r="J19" s="74">
        <f>SUM(H17:H19)</f>
        <v>86.55</v>
      </c>
      <c r="K19" s="73" t="s">
        <v>132</v>
      </c>
    </row>
    <row r="20" spans="1:11" x14ac:dyDescent="0.25">
      <c r="A20" s="13" t="s">
        <v>16</v>
      </c>
      <c r="J20" s="73"/>
      <c r="K20" s="73"/>
    </row>
    <row r="21" spans="1:11" ht="17.25" x14ac:dyDescent="0.25">
      <c r="A21" s="14" t="s">
        <v>117</v>
      </c>
      <c r="B21" s="14" t="s">
        <v>51</v>
      </c>
      <c r="C21" s="15">
        <f>700/2000</f>
        <v>0.35</v>
      </c>
      <c r="D21" s="14">
        <v>87</v>
      </c>
      <c r="E21" s="8">
        <f>ROUND(C21*D21,2)</f>
        <v>30.45</v>
      </c>
      <c r="F21" s="16">
        <v>0</v>
      </c>
      <c r="G21" s="8">
        <f>ROUND(E21*F21,2)</f>
        <v>0</v>
      </c>
      <c r="H21" s="8">
        <f>ROUND(E21-G21,2)</f>
        <v>30.45</v>
      </c>
      <c r="I21" s="8"/>
      <c r="J21" s="73"/>
      <c r="K21" s="73"/>
    </row>
    <row r="22" spans="1:11" ht="17.25" x14ac:dyDescent="0.25">
      <c r="A22" s="14" t="s">
        <v>54</v>
      </c>
      <c r="B22" s="14" t="s">
        <v>51</v>
      </c>
      <c r="C22" s="15">
        <f>500/2000</f>
        <v>0.25</v>
      </c>
      <c r="D22" s="14">
        <v>100</v>
      </c>
      <c r="E22" s="8">
        <f>ROUND(C22*D22,2)</f>
        <v>25</v>
      </c>
      <c r="F22" s="16">
        <v>0</v>
      </c>
      <c r="G22" s="8">
        <f>ROUND(E22*F22,2)</f>
        <v>0</v>
      </c>
      <c r="H22" s="8">
        <f>ROUND(E22-G22,2)</f>
        <v>25</v>
      </c>
      <c r="I22" s="8"/>
      <c r="J22" s="73"/>
      <c r="K22" s="73"/>
    </row>
    <row r="23" spans="1:11" ht="17.25" x14ac:dyDescent="0.25">
      <c r="A23" s="14" t="s">
        <v>59</v>
      </c>
      <c r="B23" s="14" t="s">
        <v>51</v>
      </c>
      <c r="C23" s="15">
        <f>500/2000</f>
        <v>0.25</v>
      </c>
      <c r="D23" s="14">
        <v>70</v>
      </c>
      <c r="E23" s="8">
        <f>ROUND(C23*D23,2)</f>
        <v>17.5</v>
      </c>
      <c r="F23" s="16">
        <v>0</v>
      </c>
      <c r="G23" s="8">
        <f>ROUND(E23*F23,2)</f>
        <v>0</v>
      </c>
      <c r="H23" s="8">
        <f>ROUND(E23-G23,2)</f>
        <v>17.5</v>
      </c>
      <c r="I23" s="8"/>
      <c r="J23" s="73"/>
      <c r="K23" s="73"/>
    </row>
    <row r="24" spans="1:11" ht="17.25" x14ac:dyDescent="0.25">
      <c r="A24" s="14" t="s">
        <v>58</v>
      </c>
      <c r="B24" s="14" t="s">
        <v>51</v>
      </c>
      <c r="C24" s="15">
        <f>(500/2000)+((0.52*41.98)/230)</f>
        <v>0.34491130434782608</v>
      </c>
      <c r="D24" s="14">
        <v>260</v>
      </c>
      <c r="E24" s="8">
        <f>ROUND(C24*D24,2)</f>
        <v>89.68</v>
      </c>
      <c r="F24" s="16">
        <v>0</v>
      </c>
      <c r="G24" s="8">
        <f>ROUND(E24*F24,2)</f>
        <v>0</v>
      </c>
      <c r="H24" s="8">
        <f>ROUND(E24-G24,2)</f>
        <v>89.68</v>
      </c>
      <c r="I24" s="8"/>
      <c r="J24" s="74">
        <f>SUM(H21:H24)</f>
        <v>162.63</v>
      </c>
      <c r="K24" s="73" t="s">
        <v>133</v>
      </c>
    </row>
    <row r="25" spans="1:11" x14ac:dyDescent="0.25">
      <c r="A25" s="13" t="s">
        <v>20</v>
      </c>
      <c r="J25" s="73"/>
      <c r="K25" s="73"/>
    </row>
    <row r="26" spans="1:11" ht="17.25" x14ac:dyDescent="0.25">
      <c r="A26" s="14" t="s">
        <v>53</v>
      </c>
      <c r="B26" s="14" t="s">
        <v>17</v>
      </c>
      <c r="C26" s="15">
        <f>5.38/2</f>
        <v>2.69</v>
      </c>
      <c r="D26" s="14">
        <v>2</v>
      </c>
      <c r="E26" s="8">
        <f t="shared" ref="E26:E33" si="0">ROUND(C26*D26,2)</f>
        <v>5.38</v>
      </c>
      <c r="F26" s="16">
        <v>0</v>
      </c>
      <c r="G26" s="8">
        <f t="shared" ref="G26:G32" si="1">ROUND(E26*F26,2)</f>
        <v>0</v>
      </c>
      <c r="H26" s="8">
        <f t="shared" ref="H26:H32" si="2">ROUND(E26-G26,2)</f>
        <v>5.38</v>
      </c>
      <c r="I26" s="8"/>
      <c r="J26" s="73"/>
      <c r="K26" s="73"/>
    </row>
    <row r="27" spans="1:11" ht="17.25" x14ac:dyDescent="0.25">
      <c r="A27" s="14" t="s">
        <v>55</v>
      </c>
      <c r="B27" s="14" t="s">
        <v>19</v>
      </c>
      <c r="C27" s="15">
        <f>91/128</f>
        <v>0.7109375</v>
      </c>
      <c r="D27" s="14">
        <v>12.8</v>
      </c>
      <c r="E27" s="8">
        <f t="shared" si="0"/>
        <v>9.1</v>
      </c>
      <c r="F27" s="16">
        <v>0</v>
      </c>
      <c r="G27" s="8">
        <f t="shared" si="1"/>
        <v>0</v>
      </c>
      <c r="H27" s="8">
        <f t="shared" si="2"/>
        <v>9.1</v>
      </c>
      <c r="I27" s="8"/>
      <c r="J27" s="73"/>
      <c r="K27" s="73"/>
    </row>
    <row r="28" spans="1:11" ht="17.25" x14ac:dyDescent="0.25">
      <c r="A28" s="14" t="s">
        <v>56</v>
      </c>
      <c r="B28" s="14" t="s">
        <v>17</v>
      </c>
      <c r="C28" s="15">
        <f>C26</f>
        <v>2.69</v>
      </c>
      <c r="D28" s="14">
        <v>2</v>
      </c>
      <c r="E28" s="8">
        <f t="shared" si="0"/>
        <v>5.38</v>
      </c>
      <c r="F28" s="16">
        <v>0</v>
      </c>
      <c r="G28" s="8">
        <f t="shared" si="1"/>
        <v>0</v>
      </c>
      <c r="H28" s="8">
        <f t="shared" si="2"/>
        <v>5.38</v>
      </c>
      <c r="I28" s="8"/>
      <c r="J28" s="73"/>
      <c r="K28" s="73"/>
    </row>
    <row r="29" spans="1:11" ht="17.25" x14ac:dyDescent="0.25">
      <c r="A29" s="14" t="s">
        <v>119</v>
      </c>
      <c r="B29" s="14" t="s">
        <v>19</v>
      </c>
      <c r="C29" s="15">
        <v>6.7</v>
      </c>
      <c r="D29" s="14">
        <v>3</v>
      </c>
      <c r="E29" s="8">
        <f t="shared" si="0"/>
        <v>20.100000000000001</v>
      </c>
      <c r="F29" s="16">
        <v>0</v>
      </c>
      <c r="G29" s="8">
        <f t="shared" si="1"/>
        <v>0</v>
      </c>
      <c r="H29" s="8">
        <f t="shared" si="2"/>
        <v>20.100000000000001</v>
      </c>
      <c r="I29" s="8"/>
      <c r="J29" s="73"/>
      <c r="K29" s="73"/>
    </row>
    <row r="30" spans="1:11" ht="17.25" x14ac:dyDescent="0.25">
      <c r="A30" s="14" t="s">
        <v>120</v>
      </c>
      <c r="B30" s="14" t="s">
        <v>19</v>
      </c>
      <c r="C30" s="15">
        <v>1.0900000000000001</v>
      </c>
      <c r="D30" s="14">
        <v>25</v>
      </c>
      <c r="E30" s="8">
        <f t="shared" si="0"/>
        <v>27.25</v>
      </c>
      <c r="F30" s="16">
        <v>0</v>
      </c>
      <c r="G30" s="8">
        <f t="shared" si="1"/>
        <v>0</v>
      </c>
      <c r="H30" s="8">
        <f t="shared" si="2"/>
        <v>27.25</v>
      </c>
      <c r="I30" s="8"/>
      <c r="J30" s="73"/>
      <c r="K30" s="73"/>
    </row>
    <row r="31" spans="1:11" ht="17.25" x14ac:dyDescent="0.25">
      <c r="A31" s="14" t="s">
        <v>121</v>
      </c>
      <c r="B31" s="14" t="s">
        <v>19</v>
      </c>
      <c r="C31" s="15">
        <v>1.6</v>
      </c>
      <c r="D31" s="14">
        <v>24</v>
      </c>
      <c r="E31" s="8">
        <f t="shared" si="0"/>
        <v>38.4</v>
      </c>
      <c r="F31" s="16">
        <v>0</v>
      </c>
      <c r="G31" s="8">
        <f t="shared" si="1"/>
        <v>0</v>
      </c>
      <c r="H31" s="8">
        <f t="shared" si="2"/>
        <v>38.4</v>
      </c>
      <c r="I31" s="8"/>
      <c r="J31" s="73"/>
      <c r="K31" s="73"/>
    </row>
    <row r="32" spans="1:11" ht="17.25" x14ac:dyDescent="0.25">
      <c r="A32" s="14" t="s">
        <v>138</v>
      </c>
      <c r="B32" s="14" t="s">
        <v>19</v>
      </c>
      <c r="C32" s="15">
        <v>16.5</v>
      </c>
      <c r="D32" s="14">
        <v>1.5</v>
      </c>
      <c r="E32" s="8">
        <f t="shared" si="0"/>
        <v>24.75</v>
      </c>
      <c r="F32" s="16">
        <v>0</v>
      </c>
      <c r="G32" s="8">
        <f t="shared" si="1"/>
        <v>0</v>
      </c>
      <c r="H32" s="8">
        <f t="shared" si="2"/>
        <v>24.75</v>
      </c>
      <c r="I32" s="8"/>
      <c r="J32" s="73"/>
      <c r="K32" s="73"/>
    </row>
    <row r="33" spans="1:11" ht="17.25" x14ac:dyDescent="0.25">
      <c r="A33" s="14" t="s">
        <v>57</v>
      </c>
      <c r="B33" s="14" t="s">
        <v>17</v>
      </c>
      <c r="C33" s="15">
        <f>81.7/8</f>
        <v>10.2125</v>
      </c>
      <c r="D33" s="14">
        <v>1.5</v>
      </c>
      <c r="E33" s="8">
        <f t="shared" si="0"/>
        <v>15.32</v>
      </c>
      <c r="F33" s="16">
        <v>0</v>
      </c>
      <c r="G33" s="8">
        <f t="shared" ref="G33" si="3">ROUND(E33*F33,2)</f>
        <v>0</v>
      </c>
      <c r="H33" s="8">
        <f t="shared" ref="H33" si="4">ROUND(E33-G33,2)</f>
        <v>15.32</v>
      </c>
      <c r="I33" s="8"/>
      <c r="J33" s="74">
        <f>SUM(H26:H33)</f>
        <v>145.68</v>
      </c>
      <c r="K33" s="73" t="s">
        <v>134</v>
      </c>
    </row>
    <row r="34" spans="1:11" x14ac:dyDescent="0.25">
      <c r="A34" s="13" t="s">
        <v>21</v>
      </c>
      <c r="J34" s="73"/>
      <c r="K34" s="73"/>
    </row>
    <row r="35" spans="1:11" ht="17.25" x14ac:dyDescent="0.25">
      <c r="A35" s="14" t="s">
        <v>113</v>
      </c>
      <c r="B35" s="14" t="s">
        <v>19</v>
      </c>
      <c r="C35" s="15">
        <v>1.1299999999999999</v>
      </c>
      <c r="D35" s="14">
        <v>8</v>
      </c>
      <c r="E35" s="8">
        <f>ROUND(C35*D35,2)</f>
        <v>9.0399999999999991</v>
      </c>
      <c r="F35" s="16">
        <v>0</v>
      </c>
      <c r="G35" s="8">
        <f>ROUND(E35*F35,2)</f>
        <v>0</v>
      </c>
      <c r="H35" s="8">
        <f>ROUND(E35-G35,2)</f>
        <v>9.0399999999999991</v>
      </c>
      <c r="I35" s="8"/>
      <c r="J35" s="74">
        <f>J33+H35</f>
        <v>154.72</v>
      </c>
      <c r="K35" s="73" t="s">
        <v>136</v>
      </c>
    </row>
    <row r="36" spans="1:11" x14ac:dyDescent="0.25">
      <c r="A36" s="13" t="s">
        <v>18</v>
      </c>
      <c r="J36" s="73"/>
      <c r="K36" s="73"/>
    </row>
    <row r="37" spans="1:11" ht="17.25" x14ac:dyDescent="0.25">
      <c r="A37" s="14" t="s">
        <v>142</v>
      </c>
      <c r="B37" s="14" t="s">
        <v>19</v>
      </c>
      <c r="C37" s="15">
        <v>1</v>
      </c>
      <c r="D37" s="14">
        <v>8</v>
      </c>
      <c r="E37" s="8">
        <f>ROUND(C37*D37,2)</f>
        <v>8</v>
      </c>
      <c r="F37" s="16">
        <v>0</v>
      </c>
      <c r="G37" s="8">
        <f>ROUND(E37*F37,2)</f>
        <v>0</v>
      </c>
      <c r="H37" s="8">
        <f>ROUND(E37-G37,2)</f>
        <v>8</v>
      </c>
      <c r="I37" s="8"/>
      <c r="J37" s="74">
        <f>J35+H37</f>
        <v>162.72</v>
      </c>
      <c r="K37" s="73" t="s">
        <v>135</v>
      </c>
    </row>
    <row r="38" spans="1:11" x14ac:dyDescent="0.25">
      <c r="A38" s="13" t="s">
        <v>24</v>
      </c>
      <c r="J38" s="73"/>
      <c r="K38" s="73"/>
    </row>
    <row r="39" spans="1:11" x14ac:dyDescent="0.25">
      <c r="A39" s="13" t="s">
        <v>25</v>
      </c>
      <c r="J39" s="73"/>
      <c r="K39" s="73"/>
    </row>
    <row r="40" spans="1:11" x14ac:dyDescent="0.25">
      <c r="A40" s="14" t="s">
        <v>26</v>
      </c>
      <c r="B40" s="14" t="s">
        <v>11</v>
      </c>
      <c r="C40" s="15">
        <v>0.27</v>
      </c>
      <c r="D40" s="14">
        <v>190</v>
      </c>
      <c r="E40" s="8">
        <f>ROUND(C40*D40,2)</f>
        <v>51.3</v>
      </c>
      <c r="F40" s="16">
        <v>0</v>
      </c>
      <c r="G40" s="8">
        <f>ROUND(E40*F40,2)</f>
        <v>0</v>
      </c>
      <c r="H40" s="8">
        <f>ROUND(E40-G40,2)</f>
        <v>51.3</v>
      </c>
      <c r="I40" s="8"/>
      <c r="J40" s="73"/>
      <c r="K40" s="73"/>
    </row>
    <row r="41" spans="1:11" x14ac:dyDescent="0.25">
      <c r="A41" s="13" t="s">
        <v>27</v>
      </c>
      <c r="J41" s="73"/>
      <c r="K41" s="73"/>
    </row>
    <row r="42" spans="1:11" x14ac:dyDescent="0.25">
      <c r="A42" s="14" t="s">
        <v>28</v>
      </c>
      <c r="B42" s="14" t="s">
        <v>11</v>
      </c>
      <c r="C42" s="15">
        <v>0.4</v>
      </c>
      <c r="D42" s="14">
        <v>190</v>
      </c>
      <c r="E42" s="8">
        <f>ROUND(C42*D42,2)</f>
        <v>76</v>
      </c>
      <c r="F42" s="16">
        <v>0</v>
      </c>
      <c r="G42" s="8">
        <f>ROUND(E42*F42,2)</f>
        <v>0</v>
      </c>
      <c r="H42" s="8">
        <f>ROUND(E42-G42,2)</f>
        <v>76</v>
      </c>
      <c r="I42" s="8"/>
      <c r="J42" s="73"/>
      <c r="K42" s="73"/>
    </row>
    <row r="43" spans="1:11" x14ac:dyDescent="0.25">
      <c r="A43" s="13" t="s">
        <v>29</v>
      </c>
      <c r="J43" s="73"/>
      <c r="K43" s="73"/>
    </row>
    <row r="44" spans="1:11" x14ac:dyDescent="0.25">
      <c r="A44" s="14" t="s">
        <v>30</v>
      </c>
      <c r="B44" s="14" t="s">
        <v>31</v>
      </c>
      <c r="C44" s="15">
        <v>4.5</v>
      </c>
      <c r="D44" s="14">
        <v>1</v>
      </c>
      <c r="E44" s="8">
        <f>ROUND(C44*D44,2)</f>
        <v>4.5</v>
      </c>
      <c r="F44" s="16">
        <v>0</v>
      </c>
      <c r="G44" s="8">
        <f>ROUND(E44*F44,2)</f>
        <v>0</v>
      </c>
      <c r="H44" s="8">
        <f>ROUND(E44-G44,2)</f>
        <v>4.5</v>
      </c>
      <c r="I44" s="8"/>
      <c r="J44" s="73"/>
      <c r="K44" s="73"/>
    </row>
    <row r="45" spans="1:11" x14ac:dyDescent="0.25">
      <c r="A45" s="13" t="s">
        <v>60</v>
      </c>
      <c r="J45" s="73"/>
      <c r="K45" s="73"/>
    </row>
    <row r="46" spans="1:11" x14ac:dyDescent="0.25">
      <c r="A46" s="14" t="s">
        <v>32</v>
      </c>
      <c r="B46" s="14" t="s">
        <v>31</v>
      </c>
      <c r="C46" s="15">
        <v>8</v>
      </c>
      <c r="D46" s="14">
        <v>1</v>
      </c>
      <c r="E46" s="8">
        <f>ROUND(C46*D46,2)</f>
        <v>8</v>
      </c>
      <c r="F46" s="16">
        <v>0</v>
      </c>
      <c r="G46" s="8">
        <f>ROUND(E46*F46,2)</f>
        <v>0</v>
      </c>
      <c r="H46" s="8">
        <f>ROUND(E46-G46,2)</f>
        <v>8</v>
      </c>
      <c r="I46" s="8"/>
      <c r="J46" s="73"/>
      <c r="K46" s="73"/>
    </row>
    <row r="47" spans="1:11" x14ac:dyDescent="0.25">
      <c r="A47" s="13" t="s">
        <v>105</v>
      </c>
      <c r="I47" s="8"/>
      <c r="J47" s="73"/>
      <c r="K47" s="73"/>
    </row>
    <row r="48" spans="1:11" x14ac:dyDescent="0.25">
      <c r="A48" s="14" t="s">
        <v>106</v>
      </c>
      <c r="B48" s="14" t="s">
        <v>31</v>
      </c>
      <c r="C48" s="15">
        <v>10.29</v>
      </c>
      <c r="D48" s="14">
        <v>1</v>
      </c>
      <c r="E48" s="8">
        <f>ROUND(C48*D48,2)</f>
        <v>10.29</v>
      </c>
      <c r="F48" s="16">
        <v>0</v>
      </c>
      <c r="G48" s="8">
        <f>ROUND(E48*F48,2)</f>
        <v>0</v>
      </c>
      <c r="H48" s="8">
        <f>ROUND(E48-G48,2)</f>
        <v>10.29</v>
      </c>
      <c r="I48" s="8"/>
      <c r="J48" s="73"/>
      <c r="K48" s="73"/>
    </row>
    <row r="49" spans="1:11" x14ac:dyDescent="0.25">
      <c r="A49" s="13" t="s">
        <v>33</v>
      </c>
      <c r="J49" s="73"/>
      <c r="K49" s="73"/>
    </row>
    <row r="50" spans="1:11" x14ac:dyDescent="0.25">
      <c r="A50" s="14" t="s">
        <v>34</v>
      </c>
      <c r="B50" s="14" t="s">
        <v>35</v>
      </c>
      <c r="C50" s="15">
        <v>16.54</v>
      </c>
      <c r="D50" s="58">
        <f>5.44/16.54</f>
        <v>0.32889963724304722</v>
      </c>
      <c r="E50" s="8">
        <f>ROUND(C50*D50,2)</f>
        <v>5.44</v>
      </c>
      <c r="F50" s="16">
        <v>0</v>
      </c>
      <c r="G50" s="8">
        <f>ROUND(E50*F50,2)</f>
        <v>0</v>
      </c>
      <c r="H50" s="8">
        <f>ROUND(E50-G50,2)</f>
        <v>5.44</v>
      </c>
      <c r="I50" s="8"/>
      <c r="J50" s="73"/>
      <c r="K50" s="73"/>
    </row>
    <row r="51" spans="1:11" x14ac:dyDescent="0.25">
      <c r="A51" s="14" t="s">
        <v>36</v>
      </c>
      <c r="B51" s="14" t="s">
        <v>35</v>
      </c>
      <c r="C51" s="15">
        <v>16.54</v>
      </c>
      <c r="D51" s="58">
        <f>2.45/16.54</f>
        <v>0.14812575574365178</v>
      </c>
      <c r="E51" s="8">
        <f>ROUND(C51*D51,2)</f>
        <v>2.4500000000000002</v>
      </c>
      <c r="F51" s="16">
        <v>0</v>
      </c>
      <c r="G51" s="8">
        <f>ROUND(E51*F51,2)</f>
        <v>0</v>
      </c>
      <c r="H51" s="8">
        <f>ROUND(E51-G51,2)</f>
        <v>2.4500000000000002</v>
      </c>
      <c r="I51" s="8"/>
      <c r="J51" s="73"/>
      <c r="K51" s="73"/>
    </row>
    <row r="52" spans="1:11" x14ac:dyDescent="0.25">
      <c r="A52" s="13" t="s">
        <v>112</v>
      </c>
      <c r="B52" s="14"/>
      <c r="C52" s="15"/>
      <c r="D52" s="14"/>
      <c r="F52" s="16"/>
      <c r="G52" s="8"/>
      <c r="H52" s="8"/>
      <c r="I52" s="8"/>
      <c r="J52" s="73"/>
      <c r="K52" s="73"/>
    </row>
    <row r="53" spans="1:11" x14ac:dyDescent="0.25">
      <c r="A53" s="14" t="s">
        <v>37</v>
      </c>
      <c r="B53" s="14" t="s">
        <v>35</v>
      </c>
      <c r="C53" s="15">
        <v>13.5</v>
      </c>
      <c r="D53" s="14">
        <v>3.5249999999999999</v>
      </c>
      <c r="E53" s="8">
        <f>ROUND(C53*D53,2)</f>
        <v>47.59</v>
      </c>
      <c r="F53" s="16">
        <v>0</v>
      </c>
      <c r="G53" s="8">
        <f>ROUND(E53*F53,2)</f>
        <v>0</v>
      </c>
      <c r="H53" s="8">
        <f>ROUND(E53-G53,2)</f>
        <v>47.59</v>
      </c>
      <c r="I53" s="8"/>
      <c r="J53" s="73"/>
      <c r="K53" s="73"/>
    </row>
    <row r="54" spans="1:11" x14ac:dyDescent="0.25">
      <c r="A54" s="13" t="s">
        <v>38</v>
      </c>
      <c r="I54" s="8"/>
      <c r="J54" s="73"/>
      <c r="K54" s="73"/>
    </row>
    <row r="55" spans="1:11" x14ac:dyDescent="0.25">
      <c r="A55" s="14" t="s">
        <v>34</v>
      </c>
      <c r="B55" s="14" t="s">
        <v>39</v>
      </c>
      <c r="C55" s="15">
        <v>3.65</v>
      </c>
      <c r="D55" s="59">
        <f>12.68/3.65</f>
        <v>3.473972602739726</v>
      </c>
      <c r="E55" s="8">
        <f>ROUND(C55*D55,2)</f>
        <v>12.68</v>
      </c>
      <c r="F55" s="16">
        <v>0</v>
      </c>
      <c r="G55" s="8">
        <f>ROUND(E55*F55,2)</f>
        <v>0</v>
      </c>
      <c r="H55" s="8">
        <f>ROUND(E55-G55,2)</f>
        <v>12.68</v>
      </c>
      <c r="I55" s="8"/>
      <c r="J55" s="73"/>
      <c r="K55" s="73"/>
    </row>
    <row r="56" spans="1:11" x14ac:dyDescent="0.25">
      <c r="A56" s="14" t="s">
        <v>36</v>
      </c>
      <c r="B56" s="14" t="s">
        <v>39</v>
      </c>
      <c r="C56" s="15">
        <v>3.65</v>
      </c>
      <c r="D56" s="59">
        <f>7.4/3.65</f>
        <v>2.0273972602739727</v>
      </c>
      <c r="E56" s="8">
        <f>ROUND(C56*D56,2)</f>
        <v>7.4</v>
      </c>
      <c r="F56" s="16">
        <v>0</v>
      </c>
      <c r="G56" s="8">
        <f>ROUND(E56*F56,2)</f>
        <v>0</v>
      </c>
      <c r="H56" s="8">
        <f>ROUND(E56-G56,2)</f>
        <v>7.4</v>
      </c>
      <c r="J56" s="76">
        <f>SUM(D55:D57)</f>
        <v>40.93424657534247</v>
      </c>
      <c r="K56" s="73" t="s">
        <v>141</v>
      </c>
    </row>
    <row r="57" spans="1:11" x14ac:dyDescent="0.25">
      <c r="A57" s="14" t="s">
        <v>40</v>
      </c>
      <c r="B57" s="14" t="s">
        <v>39</v>
      </c>
      <c r="C57" s="15">
        <v>3.65</v>
      </c>
      <c r="D57" s="58">
        <f>129.33/3.65</f>
        <v>35.43287671232877</v>
      </c>
      <c r="E57" s="8">
        <f>ROUND(C57*D57,2)</f>
        <v>129.33000000000001</v>
      </c>
      <c r="F57" s="16">
        <v>0</v>
      </c>
      <c r="G57" s="8">
        <f>ROUND(E57*F57,2)</f>
        <v>0</v>
      </c>
      <c r="H57" s="8">
        <f>ROUND(E57-G57,2)</f>
        <v>129.33000000000001</v>
      </c>
      <c r="I57" s="8"/>
      <c r="J57" s="74">
        <f>SUM(H55:H57)</f>
        <v>149.41000000000003</v>
      </c>
      <c r="K57" s="73" t="s">
        <v>137</v>
      </c>
    </row>
    <row r="58" spans="1:11" x14ac:dyDescent="0.25">
      <c r="A58" s="13" t="s">
        <v>41</v>
      </c>
      <c r="I58" s="8"/>
      <c r="J58" s="73"/>
      <c r="K58" s="73"/>
    </row>
    <row r="59" spans="1:11" x14ac:dyDescent="0.25">
      <c r="A59" s="14" t="s">
        <v>115</v>
      </c>
      <c r="B59" s="14" t="s">
        <v>31</v>
      </c>
      <c r="C59" s="15">
        <v>7.65</v>
      </c>
      <c r="D59" s="14">
        <v>1</v>
      </c>
      <c r="E59" s="8">
        <f>ROUND(C59*D59,2)</f>
        <v>7.65</v>
      </c>
      <c r="F59" s="16">
        <v>0</v>
      </c>
      <c r="G59" s="8">
        <f>ROUND(E59*F59,2)</f>
        <v>0</v>
      </c>
      <c r="H59" s="8">
        <f t="shared" ref="H59:H64" si="5">ROUND(E59-G59,2)</f>
        <v>7.65</v>
      </c>
      <c r="I59" s="8"/>
      <c r="J59" s="73"/>
      <c r="K59" s="73"/>
    </row>
    <row r="60" spans="1:11" x14ac:dyDescent="0.25">
      <c r="A60" s="14" t="s">
        <v>36</v>
      </c>
      <c r="B60" s="14" t="s">
        <v>31</v>
      </c>
      <c r="C60" s="15">
        <v>10.75</v>
      </c>
      <c r="D60" s="14">
        <v>1</v>
      </c>
      <c r="E60" s="8">
        <f>ROUND(C60*D60,2)</f>
        <v>10.75</v>
      </c>
      <c r="F60" s="16">
        <v>0</v>
      </c>
      <c r="G60" s="8">
        <f>ROUND(E60*F60,2)</f>
        <v>0</v>
      </c>
      <c r="H60" s="8">
        <f t="shared" si="5"/>
        <v>10.75</v>
      </c>
      <c r="I60" s="18"/>
      <c r="J60" s="73"/>
      <c r="K60" s="73"/>
    </row>
    <row r="61" spans="1:11" x14ac:dyDescent="0.25">
      <c r="A61" s="14" t="s">
        <v>40</v>
      </c>
      <c r="B61" s="14" t="s">
        <v>31</v>
      </c>
      <c r="C61" s="15">
        <v>7.92</v>
      </c>
      <c r="D61" s="14">
        <v>1</v>
      </c>
      <c r="E61" s="8">
        <f>ROUND(C61*D61,2)</f>
        <v>7.92</v>
      </c>
      <c r="F61" s="16">
        <v>0</v>
      </c>
      <c r="G61" s="8">
        <f>ROUND(E61*F61,2)</f>
        <v>0</v>
      </c>
      <c r="H61" s="8">
        <f t="shared" si="5"/>
        <v>7.92</v>
      </c>
      <c r="I61" s="12"/>
      <c r="J61" s="73"/>
      <c r="K61" s="73"/>
    </row>
    <row r="62" spans="1:11" ht="15" customHeight="1" x14ac:dyDescent="0.25">
      <c r="A62" s="9" t="s">
        <v>42</v>
      </c>
      <c r="B62" s="9" t="s">
        <v>31</v>
      </c>
      <c r="C62" s="10">
        <v>37.1</v>
      </c>
      <c r="D62" s="9">
        <v>1</v>
      </c>
      <c r="E62" s="2">
        <f>ROUND(C62*D62,2)</f>
        <v>37.1</v>
      </c>
      <c r="F62" s="11">
        <v>0</v>
      </c>
      <c r="G62" s="2">
        <f>ROUND(E62*F62,2)</f>
        <v>0</v>
      </c>
      <c r="H62" s="2">
        <f t="shared" si="5"/>
        <v>37.1</v>
      </c>
      <c r="I62" s="12"/>
      <c r="J62" s="73"/>
      <c r="K62" s="73"/>
    </row>
    <row r="63" spans="1:11" x14ac:dyDescent="0.25">
      <c r="A63" s="7" t="s">
        <v>43</v>
      </c>
      <c r="E63" s="8">
        <f>SUM(E14:E62)</f>
        <v>993.61</v>
      </c>
      <c r="G63" s="12">
        <f>SUM(G17:G62)</f>
        <v>0</v>
      </c>
      <c r="H63" s="12">
        <f t="shared" si="5"/>
        <v>993.61</v>
      </c>
      <c r="J63" s="73"/>
      <c r="K63" s="73"/>
    </row>
    <row r="64" spans="1:11" x14ac:dyDescent="0.25">
      <c r="A64" s="7" t="s">
        <v>44</v>
      </c>
      <c r="E64" s="8">
        <f>+E8-E63</f>
        <v>288.89</v>
      </c>
      <c r="G64" s="12">
        <f>+G8-G63</f>
        <v>0</v>
      </c>
      <c r="H64" s="12">
        <f t="shared" si="5"/>
        <v>288.89</v>
      </c>
      <c r="J64" s="73"/>
      <c r="K64" s="73"/>
    </row>
    <row r="65" spans="1:11" ht="6.75" customHeight="1" x14ac:dyDescent="0.25">
      <c r="A65" t="s">
        <v>13</v>
      </c>
      <c r="I65" s="8"/>
      <c r="J65" s="73"/>
      <c r="K65" s="73"/>
    </row>
    <row r="66" spans="1:11" x14ac:dyDescent="0.25">
      <c r="A66" s="7" t="s">
        <v>45</v>
      </c>
      <c r="I66" s="8"/>
      <c r="J66" s="73"/>
      <c r="K66" s="73"/>
    </row>
    <row r="67" spans="1:11" x14ac:dyDescent="0.25">
      <c r="A67" s="14" t="s">
        <v>63</v>
      </c>
      <c r="B67" s="14" t="s">
        <v>31</v>
      </c>
      <c r="C67" s="15">
        <v>42.65</v>
      </c>
      <c r="D67" s="14">
        <v>1</v>
      </c>
      <c r="E67" s="8">
        <f>ROUND(C67*D67,2)</f>
        <v>42.65</v>
      </c>
      <c r="F67" s="16">
        <v>0</v>
      </c>
      <c r="G67" s="8">
        <f>ROUND(E67*F67,2)</f>
        <v>0</v>
      </c>
      <c r="H67" s="8">
        <f t="shared" ref="H67:H72" si="6">ROUND(E67-G67,2)</f>
        <v>42.65</v>
      </c>
      <c r="I67" s="18"/>
      <c r="J67" s="75"/>
      <c r="K67" s="75"/>
    </row>
    <row r="68" spans="1:11" x14ac:dyDescent="0.25">
      <c r="A68" s="14" t="s">
        <v>36</v>
      </c>
      <c r="B68" s="14" t="s">
        <v>31</v>
      </c>
      <c r="C68" s="15">
        <v>36.76</v>
      </c>
      <c r="D68" s="14">
        <v>1</v>
      </c>
      <c r="E68" s="8">
        <f>ROUND(C68*D68,2)</f>
        <v>36.76</v>
      </c>
      <c r="F68" s="16">
        <v>0</v>
      </c>
      <c r="G68" s="8">
        <f>ROUND(E68*F68,2)</f>
        <v>0</v>
      </c>
      <c r="H68" s="8">
        <f t="shared" si="6"/>
        <v>36.76</v>
      </c>
      <c r="I68" s="12"/>
      <c r="J68" s="75"/>
      <c r="K68" s="75"/>
    </row>
    <row r="69" spans="1:11" x14ac:dyDescent="0.25">
      <c r="A69" s="9" t="s">
        <v>40</v>
      </c>
      <c r="B69" s="9" t="s">
        <v>31</v>
      </c>
      <c r="C69" s="10">
        <v>55.82</v>
      </c>
      <c r="D69" s="9">
        <v>1</v>
      </c>
      <c r="E69" s="2">
        <f>ROUND(C69*D69,2)</f>
        <v>55.82</v>
      </c>
      <c r="F69" s="11">
        <v>0</v>
      </c>
      <c r="G69" s="2">
        <f>ROUND(E69*F69,2)</f>
        <v>0</v>
      </c>
      <c r="H69" s="2">
        <f t="shared" si="6"/>
        <v>55.82</v>
      </c>
      <c r="I69" s="12"/>
      <c r="J69" s="75"/>
      <c r="K69" s="75"/>
    </row>
    <row r="70" spans="1:11" x14ac:dyDescent="0.25">
      <c r="A70" s="7" t="s">
        <v>46</v>
      </c>
      <c r="E70" s="8">
        <f>SUM(E67:E69)</f>
        <v>135.22999999999999</v>
      </c>
      <c r="G70" s="12">
        <f>SUM(G67:G69)</f>
        <v>0</v>
      </c>
      <c r="H70" s="12">
        <f t="shared" si="6"/>
        <v>135.22999999999999</v>
      </c>
      <c r="I70" s="12"/>
      <c r="J70" s="75"/>
      <c r="K70" s="75"/>
    </row>
    <row r="71" spans="1:11" x14ac:dyDescent="0.25">
      <c r="A71" s="7" t="s">
        <v>47</v>
      </c>
      <c r="E71" s="8">
        <f>+E63+E70</f>
        <v>1128.8399999999999</v>
      </c>
      <c r="G71" s="12">
        <f>+G63+G70</f>
        <v>0</v>
      </c>
      <c r="H71" s="12">
        <f t="shared" si="6"/>
        <v>1128.8399999999999</v>
      </c>
      <c r="J71" s="75"/>
      <c r="K71" s="75"/>
    </row>
    <row r="72" spans="1:11" x14ac:dyDescent="0.25">
      <c r="A72" s="7" t="s">
        <v>48</v>
      </c>
      <c r="E72" s="60">
        <f>+E8-E71</f>
        <v>153.66000000000008</v>
      </c>
      <c r="G72" s="12">
        <f>+G8-G71</f>
        <v>0</v>
      </c>
      <c r="H72" s="61">
        <f t="shared" si="6"/>
        <v>153.66</v>
      </c>
      <c r="J72" s="75"/>
      <c r="K72" s="75"/>
    </row>
    <row r="73" spans="1:11" ht="8.25" customHeight="1" x14ac:dyDescent="0.25">
      <c r="A73" t="s">
        <v>116</v>
      </c>
      <c r="J73" s="75"/>
      <c r="K73" s="75"/>
    </row>
    <row r="74" spans="1:11" ht="15" customHeight="1" x14ac:dyDescent="0.25">
      <c r="A74" s="82" t="s">
        <v>140</v>
      </c>
      <c r="B74" s="82"/>
      <c r="C74" s="82"/>
      <c r="D74" s="82"/>
      <c r="E74" s="82"/>
      <c r="F74" s="82"/>
      <c r="G74" s="82"/>
      <c r="H74" s="82"/>
      <c r="J74" s="75"/>
      <c r="K74" s="75"/>
    </row>
    <row r="75" spans="1:11" x14ac:dyDescent="0.25">
      <c r="A75" s="82"/>
      <c r="B75" s="82"/>
      <c r="C75" s="82"/>
      <c r="D75" s="82"/>
      <c r="E75" s="82"/>
      <c r="F75" s="82"/>
      <c r="G75" s="82"/>
      <c r="H75" s="82"/>
      <c r="J75" s="75"/>
      <c r="K75" s="75"/>
    </row>
    <row r="76" spans="1:11" x14ac:dyDescent="0.25">
      <c r="A76" s="77" t="s">
        <v>114</v>
      </c>
      <c r="B76" s="77"/>
      <c r="C76" s="77"/>
      <c r="D76" s="77"/>
      <c r="E76" s="77"/>
      <c r="F76" s="77"/>
      <c r="G76" s="77"/>
      <c r="H76" s="77"/>
      <c r="J76" s="73"/>
      <c r="K76" s="73"/>
    </row>
    <row r="77" spans="1:11" x14ac:dyDescent="0.25">
      <c r="A77" s="77"/>
      <c r="B77" s="77"/>
      <c r="C77" s="77"/>
      <c r="D77" s="77"/>
      <c r="E77" s="77"/>
      <c r="F77" s="77"/>
      <c r="G77" s="77"/>
      <c r="H77" s="77"/>
    </row>
    <row r="78" spans="1:11" x14ac:dyDescent="0.25">
      <c r="A78" s="77"/>
      <c r="B78" s="77"/>
      <c r="C78" s="77"/>
      <c r="D78" s="77"/>
      <c r="E78" s="77"/>
      <c r="F78" s="77"/>
      <c r="G78" s="77"/>
      <c r="H78" s="77"/>
    </row>
    <row r="79" spans="1:11" x14ac:dyDescent="0.25">
      <c r="A79" s="7"/>
    </row>
  </sheetData>
  <mergeCells count="6">
    <mergeCell ref="A76:H78"/>
    <mergeCell ref="A1:H1"/>
    <mergeCell ref="A2:H2"/>
    <mergeCell ref="A3:H3"/>
    <mergeCell ref="F4:G4"/>
    <mergeCell ref="A74:H75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6DAE-4799-4B5E-B6C1-FF10CA1F6FBD}">
  <sheetPr codeName="Sheet15"/>
  <dimension ref="A1:Z47"/>
  <sheetViews>
    <sheetView workbookViewId="0">
      <selection activeCell="D18" sqref="D18"/>
    </sheetView>
  </sheetViews>
  <sheetFormatPr defaultColWidth="8.7109375" defaultRowHeight="12.75" x14ac:dyDescent="0.2"/>
  <cols>
    <col min="1" max="1" width="23.7109375" style="21" customWidth="1"/>
    <col min="2" max="2" width="8.7109375" style="21" bestFit="1" customWidth="1"/>
    <col min="3" max="3" width="26.42578125" style="21" customWidth="1"/>
    <col min="4" max="4" width="29.28515625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83"/>
      <c r="B1" s="83"/>
      <c r="C1" s="62"/>
      <c r="D1" s="6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 thickBot="1" x14ac:dyDescent="0.3">
      <c r="A2" s="84" t="s">
        <v>128</v>
      </c>
      <c r="B2" s="85"/>
      <c r="C2" s="85"/>
      <c r="D2" s="85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22" t="s">
        <v>64</v>
      </c>
      <c r="B3" s="23" t="s">
        <v>65</v>
      </c>
      <c r="C3" s="24" t="s">
        <v>66</v>
      </c>
      <c r="D3" s="63"/>
      <c r="E3" s="24" t="s">
        <v>67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26" t="s">
        <v>68</v>
      </c>
      <c r="B4" s="27" t="s">
        <v>69</v>
      </c>
      <c r="C4" s="28" t="s">
        <v>70</v>
      </c>
      <c r="D4" s="64"/>
      <c r="E4" s="29">
        <f>[1]Trips!G9</f>
        <v>7.9050478776762532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">
      <c r="A5" s="30" t="s">
        <v>71</v>
      </c>
      <c r="B5" s="27" t="s">
        <v>72</v>
      </c>
      <c r="C5" s="31" t="s">
        <v>73</v>
      </c>
      <c r="D5" s="36"/>
      <c r="E5" s="32">
        <f>[1]Trips!G18</f>
        <v>4.4473625620426889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 x14ac:dyDescent="0.2">
      <c r="A6" s="30" t="s">
        <v>74</v>
      </c>
      <c r="B6" s="27" t="s">
        <v>75</v>
      </c>
      <c r="C6" s="28" t="s">
        <v>70</v>
      </c>
      <c r="D6" s="65"/>
      <c r="E6" s="29">
        <f>[1]Trips!G22</f>
        <v>4.7117093872033111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33" t="s">
        <v>76</v>
      </c>
      <c r="B7" s="27"/>
      <c r="C7" s="28" t="s">
        <v>77</v>
      </c>
      <c r="D7" s="36"/>
      <c r="E7" s="32">
        <f>[1]Trips!G15</f>
        <v>0.28494392213533959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33" t="s">
        <v>78</v>
      </c>
      <c r="B8" s="27"/>
      <c r="C8" s="28" t="s">
        <v>79</v>
      </c>
      <c r="D8" s="36" t="s">
        <v>80</v>
      </c>
      <c r="E8" s="32">
        <f>[1]Budget!E19+[1]Seed_Chemical!F12</f>
        <v>13.379999999999999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30" t="s">
        <v>78</v>
      </c>
      <c r="B9" s="27"/>
      <c r="C9" s="36" t="s">
        <v>81</v>
      </c>
      <c r="D9" s="66" t="s">
        <v>122</v>
      </c>
      <c r="E9" s="32">
        <f>[1]Budget!E19+([1]Fertilizer!D4*[1]Fertilizer!E4)+([1]Fertilizer!D5*[1]Fertilizer!E5)</f>
        <v>63.45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30" t="s">
        <v>82</v>
      </c>
      <c r="B10" s="27" t="s">
        <v>83</v>
      </c>
      <c r="C10" s="36" t="s">
        <v>84</v>
      </c>
      <c r="D10" s="36" t="s">
        <v>123</v>
      </c>
      <c r="E10" s="32">
        <f>[1]Trips!G27+[1]Seed_Chemical!F8</f>
        <v>177.52456168168678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30" t="s">
        <v>85</v>
      </c>
      <c r="B11" s="27"/>
      <c r="C11" s="36" t="s">
        <v>86</v>
      </c>
      <c r="D11" s="36"/>
      <c r="E11" s="32">
        <f>[1]Trips!B33</f>
        <v>1.5513268049673099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30" t="s">
        <v>87</v>
      </c>
      <c r="B12" s="27"/>
      <c r="C12" s="36" t="s">
        <v>88</v>
      </c>
      <c r="D12" s="36"/>
      <c r="E12" s="32">
        <f>[1]Trips!G36</f>
        <v>1.0050043923118712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 x14ac:dyDescent="0.2">
      <c r="A13" s="30" t="s">
        <v>89</v>
      </c>
      <c r="B13" s="39"/>
      <c r="C13" s="36" t="s">
        <v>90</v>
      </c>
      <c r="D13" s="66" t="s">
        <v>124</v>
      </c>
      <c r="E13" s="32">
        <f>([1]Budget!F20/[1]Budget!D20)+[1]Seed_Chemical!F13+[1]Seed_Chemical!F14+[1]Seed_Chemical!F15</f>
        <v>43.355000000000004</v>
      </c>
      <c r="F13" s="19"/>
      <c r="G13" s="19"/>
      <c r="H13" s="19"/>
      <c r="I13" s="3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38" t="s">
        <v>89</v>
      </c>
      <c r="B14" s="67"/>
      <c r="C14" s="36" t="s">
        <v>90</v>
      </c>
      <c r="D14" s="66" t="s">
        <v>125</v>
      </c>
      <c r="E14" s="32">
        <f>([1]Budget!F20/[1]Budget!D20)+[1]Seed_Chemical!F16+[1]Seed_Chemical!F17</f>
        <v>74.243750000000006</v>
      </c>
      <c r="F14" s="19"/>
      <c r="G14" s="19"/>
      <c r="H14" s="19"/>
      <c r="I14" s="3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38" t="s">
        <v>89</v>
      </c>
      <c r="B15" s="67"/>
      <c r="C15" s="36" t="s">
        <v>90</v>
      </c>
      <c r="D15" s="66" t="s">
        <v>126</v>
      </c>
      <c r="E15" s="32">
        <f>([1]Budget!F20/[1]Budget!D20)+[1]Seed_Chemical!F18+[1]Seed_Chemical!F19</f>
        <v>48.568750000000001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38" t="s">
        <v>91</v>
      </c>
      <c r="B16" s="40"/>
      <c r="C16" s="36"/>
      <c r="D16" s="36"/>
      <c r="E16" s="32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5.5" x14ac:dyDescent="0.2">
      <c r="A17" s="38" t="s">
        <v>89</v>
      </c>
      <c r="B17" s="40"/>
      <c r="C17" s="36" t="s">
        <v>81</v>
      </c>
      <c r="D17" s="66" t="s">
        <v>130</v>
      </c>
      <c r="E17" s="32">
        <f>([1]Budget!F21/[1]Budget!D21*230)+([1]Fertilizer!I4*230+[1]Fertilizer!E8)</f>
        <v>119.02999999999999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38" t="s">
        <v>89</v>
      </c>
      <c r="B18" s="40"/>
      <c r="C18" s="36" t="s">
        <v>81</v>
      </c>
      <c r="D18" s="66" t="s">
        <v>139</v>
      </c>
      <c r="E18" s="32">
        <f>[1]Budget!E21*65+([1]Fertilizer!I4*65)</f>
        <v>21.774999999999999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30" t="s">
        <v>89</v>
      </c>
      <c r="B19" s="27"/>
      <c r="C19" s="36" t="s">
        <v>92</v>
      </c>
      <c r="D19" s="72" t="s">
        <v>129</v>
      </c>
      <c r="E19" s="32">
        <f>[1]Budget!$E$20+[1]Seed_Chemical!F30</f>
        <v>17.54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">
      <c r="A20" s="38" t="s">
        <v>89</v>
      </c>
      <c r="B20" s="40"/>
      <c r="C20" s="36" t="s">
        <v>93</v>
      </c>
      <c r="D20" s="36" t="s">
        <v>127</v>
      </c>
      <c r="E20" s="32">
        <f>[1]Budget!$E$20+[1]Seed_Chemical!F44</f>
        <v>16.5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thickBot="1" x14ac:dyDescent="0.25">
      <c r="A21" s="41" t="s">
        <v>94</v>
      </c>
      <c r="B21" s="42"/>
      <c r="C21" s="43"/>
      <c r="D21" s="36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34" t="s">
        <v>95</v>
      </c>
      <c r="B22" s="35" t="s">
        <v>96</v>
      </c>
      <c r="C22" s="45" t="s">
        <v>97</v>
      </c>
      <c r="D22" s="25"/>
      <c r="E22" s="46">
        <f>[1]Trips!G59</f>
        <v>21.482450880291843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34" t="s">
        <v>98</v>
      </c>
      <c r="B23" s="35" t="s">
        <v>99</v>
      </c>
      <c r="C23" s="45" t="s">
        <v>97</v>
      </c>
      <c r="D23" s="47"/>
      <c r="E23" s="48">
        <f>[1]Trips!G62</f>
        <v>7.2378775283988324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thickBot="1" x14ac:dyDescent="0.25">
      <c r="A24" s="49" t="s">
        <v>100</v>
      </c>
      <c r="B24" s="50"/>
      <c r="C24" s="51" t="s">
        <v>97</v>
      </c>
      <c r="D24" s="52"/>
      <c r="E24" s="53">
        <f>[1]Trips!G64</f>
        <v>8.0384786802150892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">
      <c r="A25" s="26" t="s">
        <v>101</v>
      </c>
      <c r="B25" s="54"/>
      <c r="C25" s="55"/>
      <c r="D25" s="68"/>
      <c r="E25" s="69">
        <f>[1]Trips!G37</f>
        <v>0.76509735505608079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thickBot="1" x14ac:dyDescent="0.25">
      <c r="A26" s="49" t="s">
        <v>102</v>
      </c>
      <c r="B26" s="50" t="s">
        <v>69</v>
      </c>
      <c r="C26" s="51" t="s">
        <v>103</v>
      </c>
      <c r="D26" s="70"/>
      <c r="E26" s="53">
        <f>[1]Trips!G42</f>
        <v>5.3133724968123381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56" t="s">
        <v>104</v>
      </c>
      <c r="B27" s="19"/>
      <c r="C27" s="19"/>
      <c r="D27" s="19"/>
      <c r="E27" s="7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2023-12-18T19:26:11Z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