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45FE5DEF-8ED7-49D1-B899-5433A1FC8AF4}" xr6:coauthVersionLast="47" xr6:coauthVersionMax="47" xr10:uidLastSave="{C04C15B0-ABAE-48F9-BDAB-730F8EFA0D9C}"/>
  <bookViews>
    <workbookView xWindow="44670" yWindow="1470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<sst xmlns="http://schemas.openxmlformats.org/spreadsheetml/2006/main" count="8711" uniqueCount="1245">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</sst>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190</v>
      </c>
      <c r="Q2" s="1177">
        <f>P2</f>
        <v>190</v>
      </c>
      <c r="R2" s="650">
        <v>220</v>
      </c>
      <c r="S2" s="1177">
        <f>IF(Irrigation!$B$2&lt;3,(Q2*$Q$36)+(R2*$R$36),A1_Link!Q2)</f>
        <v>204.01610981679312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190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190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81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190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190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81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1102</v>
      </c>
      <c r="L6" s="182"/>
      <c r="M6" s="1190"/>
      <c r="N6" s="3"/>
      <c r="O6" s="648" t="s">
        <v>481</v>
      </c>
      <c r="P6" s="1181">
        <f>Budget!F6</f>
        <v>162</v>
      </c>
      <c r="Q6" s="1177">
        <f t="shared" ref="Q6:Q26" si="0">P6</f>
        <v>162</v>
      </c>
      <c r="R6" s="650">
        <v>125.73</v>
      </c>
      <c r="S6" s="1177">
        <f>IF(Irrigation!$B$2&lt;3,(Q6*$Q$36)+(R6*$R$36),A1_Link!Q6)</f>
        <v>145.05452323149711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736.41878648424995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162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160.57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660.13858631660923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12.296861774604995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10.66</v>
      </c>
      <c r="AI9" s="3"/>
    </row>
    <row r="10" spans="2:35" ht="13.9" x14ac:dyDescent="0.4">
      <c r="B10" s="1185" t="s">
        <v>494</v>
      </c>
      <c r="C10" s="1186">
        <f>SUM(Budget!F14:F18)</f>
        <v>123.82481249999999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10.66</v>
      </c>
      <c r="Q10" s="1177">
        <f t="shared" si="0"/>
        <v>10.66</v>
      </c>
      <c r="R10" s="650">
        <v>22.159999999999997</v>
      </c>
      <c r="S10" s="1177">
        <f>IF(Irrigation!$B$2&lt;3,(Q10*$Q$36)+(R10*$R$36),A1_Link!Q10)</f>
        <v>16.03284209643736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190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109.0248125</v>
      </c>
      <c r="AI10" s="3"/>
    </row>
    <row r="11" spans="2:35" ht="13.9" x14ac:dyDescent="0.4">
      <c r="B11" s="1185" t="s">
        <v>225</v>
      </c>
      <c r="C11" s="1186">
        <f>SUM(Budget!F20:F23)</f>
        <v>109</v>
      </c>
      <c r="D11" s="3"/>
      <c r="E11" s="1190"/>
      <c r="F11" s="1185" t="s">
        <v>223</v>
      </c>
      <c r="G11" s="1186">
        <f>C8</f>
        <v>162</v>
      </c>
      <c r="H11" s="3"/>
      <c r="I11" s="1190"/>
      <c r="J11" s="648" t="s">
        <v>789</v>
      </c>
      <c r="K11" s="665">
        <f>K30+SUM(K32:K35)</f>
        <v>97.421816227959937</v>
      </c>
      <c r="L11" s="182">
        <v>58.670258247720405</v>
      </c>
      <c r="M11" s="1190"/>
      <c r="N11" s="3"/>
      <c r="O11" s="648" t="s">
        <v>183</v>
      </c>
      <c r="P11" s="1181">
        <f>Budget!F14</f>
        <v>109.0248125</v>
      </c>
      <c r="Q11" s="1177">
        <f t="shared" si="0"/>
        <v>109.0248125</v>
      </c>
      <c r="R11" s="650">
        <v>23.8</v>
      </c>
      <c r="S11" s="1177">
        <f>IF(Irrigation!$B$2&lt;3,(Q11*$Q$36)+(R11*$R$36),A1_Link!Q11)</f>
        <v>69.207468129479906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190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160.57</v>
      </c>
      <c r="H12" s="3"/>
      <c r="I12" s="1190"/>
      <c r="J12" s="648" t="s">
        <v>790</v>
      </c>
      <c r="K12" s="664">
        <f>SUM(K36:K37)</f>
        <v>126.065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190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5.76</v>
      </c>
      <c r="AI12" s="3"/>
    </row>
    <row r="13" spans="2:35" ht="13.9" x14ac:dyDescent="0.4">
      <c r="B13" s="1185" t="s">
        <v>779</v>
      </c>
      <c r="C13" s="1186">
        <f>Budget!F25+Budget!F27</f>
        <v>16.926300282774665</v>
      </c>
      <c r="D13" s="3"/>
      <c r="E13" s="1190"/>
      <c r="F13" s="1185" t="s">
        <v>494</v>
      </c>
      <c r="G13" s="1186">
        <f t="shared" si="2"/>
        <v>123.82481249999999</v>
      </c>
      <c r="H13" s="3"/>
      <c r="I13" s="1190"/>
      <c r="J13" s="652" t="s">
        <v>168</v>
      </c>
      <c r="K13" s="173">
        <f>SUM(K9:K12)-K7</f>
        <v>915.62540254456917</v>
      </c>
      <c r="L13" s="182"/>
      <c r="M13" s="1190"/>
      <c r="N13" s="3"/>
      <c r="O13" s="648" t="s">
        <v>91</v>
      </c>
      <c r="P13" s="1181">
        <f>SUM(Budget!F16:F18)</f>
        <v>5.76</v>
      </c>
      <c r="Q13" s="1177">
        <f t="shared" si="0"/>
        <v>5.76</v>
      </c>
      <c r="R13" s="650">
        <v>0</v>
      </c>
      <c r="S13" s="1177">
        <f>IF(Irrigation!$B$2&lt;3,(Q13*$Q$36)+(R13*$R$36),A1_Link!Q13)</f>
        <v>3.0689069151757211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126.065</v>
      </c>
      <c r="Z13" s="650">
        <f>SUM(Y7:Y13)-Y5</f>
        <v>915.62540254456917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109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109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109</v>
      </c>
      <c r="Q14" s="1177">
        <f t="shared" si="0"/>
        <v>109</v>
      </c>
      <c r="R14" s="650">
        <v>7.0000000000000009</v>
      </c>
      <c r="S14" s="1177">
        <f>IF(Irrigation!$B$2&lt;3,(Q14*$Q$36)+(R14*$R$36),A1_Link!Q14)</f>
        <v>61.345226622903397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8.0815459970603811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186.37459745543083</v>
      </c>
      <c r="L15" s="182"/>
      <c r="M15" s="1190"/>
      <c r="N15" s="3"/>
      <c r="O15" s="648" t="s">
        <v>424</v>
      </c>
      <c r="P15" s="1181">
        <f>Budget!F25</f>
        <v>8.0815459970603811</v>
      </c>
      <c r="Q15" s="1177">
        <f t="shared" si="0"/>
        <v>8.0815459970603811</v>
      </c>
      <c r="R15" s="650">
        <v>10.547472063880164</v>
      </c>
      <c r="S15" s="1177">
        <f>IF(Irrigation!$B$2&lt;3,(Q15*$Q$36)+(R15*$R$36),A1_Link!Q15)</f>
        <v>9.233635682148341</v>
      </c>
      <c r="T15" s="650"/>
      <c r="U15" s="1190"/>
      <c r="V15" s="3"/>
      <c r="W15" s="3"/>
      <c r="X15" s="648" t="s">
        <v>584</v>
      </c>
      <c r="Y15" s="650">
        <f>Budget!F48</f>
        <v>135.43362590513254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7.4694245408143791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16.926300282774665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7.4694245408143791</v>
      </c>
      <c r="Q16" s="1177">
        <f t="shared" si="0"/>
        <v>7.4694245408143791</v>
      </c>
      <c r="R16" s="650">
        <v>9.3388892486480266</v>
      </c>
      <c r="S16" s="1177">
        <f>IF(Irrigation!$B$2&lt;3,(Q16*$Q$36)+(R16*$R$36),A1_Link!Q16)</f>
        <v>8.3428452956015615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39.274902791925427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222.41143724853291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6.7716812952566272</v>
      </c>
      <c r="Z17" s="650">
        <f>SUM(Y15:Y17)</f>
        <v>222.41143724853291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12.296861774604995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1138.036839793102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33.350051661429518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39.274902791925427</v>
      </c>
      <c r="H20" s="3"/>
      <c r="I20" s="1190"/>
      <c r="J20" s="308" t="s">
        <v>761</v>
      </c>
      <c r="K20" s="173">
        <f>(K3*K4*K5)-K14-K18</f>
        <v>-36.03683979310199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123.5</v>
      </c>
      <c r="D21" s="3"/>
      <c r="E21" s="1190"/>
      <c r="F21" s="1185" t="s">
        <v>214</v>
      </c>
      <c r="G21" s="1186">
        <f t="shared" si="2"/>
        <v>12.296861774604995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2.5649999999999999</v>
      </c>
      <c r="D22" s="3"/>
      <c r="E22" s="1190"/>
      <c r="F22" s="1185" t="s">
        <v>784</v>
      </c>
      <c r="G22" s="1186">
        <f>SUM(G11:G21)*(0.0475/2)</f>
        <v>17.959995833474569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162</v>
      </c>
      <c r="L23" s="1251">
        <v>1</v>
      </c>
      <c r="M23" s="1190"/>
      <c r="N23" s="3"/>
      <c r="O23" s="648" t="s">
        <v>214</v>
      </c>
      <c r="P23" s="1181">
        <f>Budget!F33</f>
        <v>64.572611774604994</v>
      </c>
      <c r="Q23" s="1177">
        <f t="shared" si="0"/>
        <v>64.572611774604994</v>
      </c>
      <c r="R23" s="650">
        <v>11.817977438585899</v>
      </c>
      <c r="S23" s="1177">
        <f>IF(Irrigation!$B$2&lt;3,(Q23*$Q$36)+(R23*$R$36),A1_Link!Q23)</f>
        <v>39.925453501324711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64.572611774604994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126.065</v>
      </c>
      <c r="H24" s="3"/>
      <c r="I24" s="1190"/>
      <c r="J24" s="1185" t="s">
        <v>224</v>
      </c>
      <c r="K24" s="1249">
        <f t="shared" ref="K24:K38" si="3">C9*L24</f>
        <v>160.57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135.43362590513254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123.82481249999999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109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33.350051661429518</v>
      </c>
      <c r="AI26" s="650">
        <f>SUM(AH3:AH26)</f>
        <v>809.83615254456936</v>
      </c>
    </row>
    <row r="27" spans="2:35" ht="13.9" x14ac:dyDescent="0.4">
      <c r="B27" s="648" t="s">
        <v>585</v>
      </c>
      <c r="C27" s="664">
        <f>Budget!F50</f>
        <v>6.7716812952566272</v>
      </c>
      <c r="D27" s="3"/>
      <c r="E27" s="1190"/>
      <c r="F27" s="648" t="s">
        <v>997</v>
      </c>
      <c r="G27" s="1186">
        <f>C25+C26</f>
        <v>215.63975595327628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33.350051661429518</v>
      </c>
      <c r="Q27" s="1177">
        <f>P27</f>
        <v>33.350051661429518</v>
      </c>
      <c r="R27" s="650">
        <v>10.240138351206717</v>
      </c>
      <c r="S27" s="1177">
        <f>IF(Irrigation!$B$2&lt;3,(Q27*$Q$36)+(R27*$R$36),A1_Link!Q27)</f>
        <v>22.553015567674461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76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6.7716812952566272</v>
      </c>
      <c r="H28" s="3"/>
      <c r="I28" s="1190"/>
      <c r="J28" s="1185" t="s">
        <v>779</v>
      </c>
      <c r="K28" s="1249">
        <f t="shared" si="3"/>
        <v>16.926300282774665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76</v>
      </c>
      <c r="Q28" s="1177">
        <f>P28</f>
        <v>76</v>
      </c>
      <c r="R28" s="650">
        <v>41.8</v>
      </c>
      <c r="S28" s="1177">
        <f>IF(Irrigation!$B$2&lt;3,(Q28*$Q$36)+(R28*$R$36),A1_Link!Q28)</f>
        <v>60.021634808855843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47.5</v>
      </c>
      <c r="AI28" s="3"/>
    </row>
    <row r="29" spans="2:35" ht="13.9" x14ac:dyDescent="0.4">
      <c r="B29" s="652" t="s">
        <v>777</v>
      </c>
      <c r="C29" s="173">
        <f>SUM(C8:C14)</f>
        <v>660.13858631660923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47.5</v>
      </c>
      <c r="Q29" s="1177">
        <f>P29</f>
        <v>47.5</v>
      </c>
      <c r="R29" s="650">
        <v>55</v>
      </c>
      <c r="S29" s="1177">
        <f>IF(Irrigation!$B$2&lt;3,(Q29*$Q$36)+(R29*$R$36),A1_Link!Q29)</f>
        <v>51.00402745419828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2.5649999999999999</v>
      </c>
      <c r="AI29" s="3"/>
    </row>
    <row r="30" spans="2:35" ht="13.9" x14ac:dyDescent="0.4">
      <c r="B30" s="652" t="s">
        <v>640</v>
      </c>
      <c r="C30" s="173">
        <f>SUM(C8:C18)</f>
        <v>756.21035088313965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2.5649999999999999</v>
      </c>
      <c r="Q30" s="1177">
        <f>P30</f>
        <v>2.5649999999999999</v>
      </c>
      <c r="R30" s="650">
        <v>2.2000000000000002</v>
      </c>
      <c r="S30" s="1177">
        <f>IF(Irrigation!$B$2&lt;3,(Q30*$Q$36)+(R30*$R$36),A1_Link!Q30)</f>
        <v>2.3944706638956834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915.62540254456917</v>
      </c>
      <c r="D31" s="3"/>
      <c r="E31" s="1190"/>
      <c r="F31" s="1308">
        <f>SUM(C8:C22)</f>
        <v>915.62540254456917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967.90115254456941</v>
      </c>
      <c r="P31" s="1178">
        <f>SUM(P6:P30)-IF(A2_Budget_Look_Up!B7&gt;0,P4,0)</f>
        <v>967.90115254456941</v>
      </c>
      <c r="Q31" s="1178">
        <f>SUM(Q6:Q30)-IF(A2_Budget_Look_Up!B7&gt;0,Q4,0)</f>
        <v>967.90115254456941</v>
      </c>
      <c r="R31" s="1178">
        <f>SUM(R6:R30)-IF(A2_Budget_Look_Up!B7&gt;0,R4,0)</f>
        <v>540.40385840201589</v>
      </c>
      <c r="S31" s="1179">
        <f>SUM(S6:S30)-IF(A2_Budget_Look_Up!B7&gt;0,S4,0)</f>
        <v>768.17285184177126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135.43362590513254</v>
      </c>
      <c r="AI31" s="3"/>
    </row>
    <row r="32" spans="2:35" ht="13.9" x14ac:dyDescent="0.4">
      <c r="B32" s="173" t="s">
        <v>249</v>
      </c>
      <c r="C32" s="173">
        <f>SUM(C25:C27)</f>
        <v>222.41143724853291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39.274902791925427</v>
      </c>
      <c r="L32" s="1251">
        <v>1</v>
      </c>
      <c r="M32" s="1190"/>
      <c r="N32" s="183"/>
      <c r="O32" s="648" t="s">
        <v>123</v>
      </c>
      <c r="P32" s="1181">
        <f>Budget!F48</f>
        <v>135.43362590513254</v>
      </c>
      <c r="Q32" s="1177">
        <f>P32</f>
        <v>135.43362590513254</v>
      </c>
      <c r="R32" s="650">
        <v>62.654368717931924</v>
      </c>
      <c r="S32" s="1177">
        <f>IF(Irrigation!$B$2&lt;3,(Q32*$Q$36)+(R32*$R$36),A1_Link!Q32)</f>
        <v>101.43089053445142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1138.036839793102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12.296861774604995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6.7716812952566272</v>
      </c>
      <c r="AI33" s="3"/>
    </row>
    <row r="34" spans="2:35" ht="13.9" x14ac:dyDescent="0.4">
      <c r="B34" s="308" t="s">
        <v>761</v>
      </c>
      <c r="C34" s="173">
        <f>(C3*C4*C5)-C23-C33</f>
        <v>-36.03683979310199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33.350051661429518</v>
      </c>
      <c r="L34" s="1251">
        <v>1</v>
      </c>
      <c r="M34" s="1190"/>
      <c r="N34" s="182"/>
      <c r="O34" s="648" t="s">
        <v>491</v>
      </c>
      <c r="P34" s="1181">
        <f>Budget!F50</f>
        <v>6.7716812952566272</v>
      </c>
      <c r="Q34" s="1177">
        <f>P34</f>
        <v>6.7716812952566272</v>
      </c>
      <c r="R34" s="650">
        <v>7.4094979429835393</v>
      </c>
      <c r="S34" s="1177">
        <f>IF(Irrigation!$B$2&lt;3,(Q34*$Q$36)+(R34*$R$36),A1_Link!Q34)</f>
        <v>7.0696715678406026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222.41143724853291</v>
      </c>
      <c r="Q35" s="1178">
        <f>SUM(Q32:Q34)</f>
        <v>222.41143724853291</v>
      </c>
      <c r="R35" s="1178">
        <f>SUM(R32:R34)</f>
        <v>81.504477372818926</v>
      </c>
      <c r="S35" s="1179">
        <f>SUM(S32:S34)</f>
        <v>156.57918979625063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123.5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-56.312589793102319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2.5649999999999999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135.43362590513254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6.7716812952566272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13. Machinery Capital Recovery and Operating Costs, Rice, FullPage Hybrid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13. Machinery Capital Recovery and Operating Costs, Rice, FullPage Hybrid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15.982553990968116</v>
      </c>
      <c r="U56" s="17"/>
      <c r="V56" s="257">
        <f>SUM(V14:V54)</f>
        <v>22.340649562404117</v>
      </c>
      <c r="W56" s="1147"/>
      <c r="X56" s="1147">
        <f>Z56-(T56+V56)</f>
        <v>5.7000216505885888</v>
      </c>
      <c r="Y56" s="1148">
        <f>(Z56-(T56+V56))/(T56+V56)</f>
        <v>0.14873552109625288</v>
      </c>
      <c r="Z56" s="257">
        <f>SUM(Z14:Z54)</f>
        <v>44.02322520396082</v>
      </c>
      <c r="AA56" s="17"/>
      <c r="AB56" s="17"/>
      <c r="AC56" s="257">
        <f>SUM(AC14:AC54)</f>
        <v>5.3573374709382326</v>
      </c>
      <c r="AD56" s="258"/>
      <c r="AE56" s="17"/>
      <c r="AF56" s="257">
        <f>SUM(AF14:AF54)</f>
        <v>2.1120870698761465</v>
      </c>
      <c r="AG56" s="17"/>
      <c r="AH56" s="257">
        <f>SUM(AH14:AH54)</f>
        <v>8.0815459970603811</v>
      </c>
      <c r="AI56" s="257">
        <f>SUM(AI14:AI54)</f>
        <v>0.80815459970603831</v>
      </c>
      <c r="AJ56" s="257"/>
      <c r="AK56" s="17"/>
      <c r="AL56" s="259">
        <f>SUM(AL14:AL54)</f>
        <v>0.41733110897057096</v>
      </c>
      <c r="AM56" s="260">
        <f>SUM(AM14:AM54)</f>
        <v>6.1890203460335655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190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967.90115254456919</v>
      </c>
      <c r="C4" s="121">
        <f>SummaryReport_Verification!B32</f>
        <v>5.0942165923398379</v>
      </c>
      <c r="D4" s="121">
        <f>SummaryReport_Verification!B28</f>
        <v>134.09884745543081</v>
      </c>
      <c r="E4" s="121">
        <f>SummaryReport_Verification!B29</f>
        <v>222.41143724853291</v>
      </c>
      <c r="F4" s="121">
        <f>SummaryReport_Verification!B30</f>
        <v>1190.312589793102</v>
      </c>
      <c r="G4" s="121">
        <f>SummaryReport_Verification!B31</f>
        <v>-88.312589793102006</v>
      </c>
      <c r="H4" s="121">
        <f>SummaryReport_Verification!B33</f>
        <v>6.2648031041742209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967.90115254456919</v>
      </c>
      <c r="C9" s="122">
        <f t="shared" si="0"/>
        <v>5.0942165923398379</v>
      </c>
      <c r="D9" s="122">
        <f t="shared" si="0"/>
        <v>134.09884745543081</v>
      </c>
      <c r="E9" s="122">
        <f t="shared" si="0"/>
        <v>222.41143724853291</v>
      </c>
      <c r="F9" s="122">
        <f t="shared" si="0"/>
        <v>1190.312589793102</v>
      </c>
      <c r="G9" s="122">
        <f t="shared" si="0"/>
        <v>-88.312589793102006</v>
      </c>
      <c r="H9" s="122">
        <f t="shared" si="0"/>
        <v>6.2648031041742209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190</v>
      </c>
      <c r="C4" s="113"/>
      <c r="D4" s="113"/>
      <c r="E4" s="113"/>
      <c r="F4" s="113"/>
      <c r="G4" s="163">
        <f>AVERAGE(B4:F4)</f>
        <v>190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1102</v>
      </c>
      <c r="C6" s="114"/>
      <c r="D6" s="114"/>
      <c r="E6" s="114"/>
      <c r="F6" s="114"/>
      <c r="G6" s="114">
        <f>AVERAGE(B6:F6)</f>
        <v>1102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162</v>
      </c>
      <c r="C9" s="96"/>
      <c r="D9" s="96"/>
      <c r="E9" s="96"/>
      <c r="F9" s="96"/>
      <c r="G9" s="96">
        <f t="shared" ref="G9:G28" si="0">AVERAGE(B9:F9)</f>
        <v>162</v>
      </c>
      <c r="H9" s="1898">
        <f>G9/G$23</f>
        <v>0.20037450219990341</v>
      </c>
    </row>
    <row r="10" spans="1:8" ht="13.9" x14ac:dyDescent="0.4">
      <c r="A10" s="91" t="s">
        <v>224</v>
      </c>
      <c r="B10" s="96">
        <f>SUM(Budget!F7:F13)</f>
        <v>160.57</v>
      </c>
      <c r="C10" s="96"/>
      <c r="D10" s="96"/>
      <c r="E10" s="96"/>
      <c r="F10" s="96"/>
      <c r="G10" s="96">
        <f t="shared" si="0"/>
        <v>160.57</v>
      </c>
      <c r="H10" s="1898">
        <f>G10/G$23</f>
        <v>0.19860576431011412</v>
      </c>
    </row>
    <row r="11" spans="1:8" ht="13.9" x14ac:dyDescent="0.4">
      <c r="A11" s="91" t="str">
        <f>Budget!A14</f>
        <v>Herbicide</v>
      </c>
      <c r="B11" s="96">
        <f>Budget!F14</f>
        <v>109.0248125</v>
      </c>
      <c r="C11" s="96"/>
      <c r="D11" s="96"/>
      <c r="E11" s="96"/>
      <c r="F11" s="96"/>
      <c r="G11" s="96">
        <f t="shared" si="0"/>
        <v>109.0248125</v>
      </c>
      <c r="H11" s="1898">
        <f>SUM(G11:G14)/$G$23</f>
        <v>0.15315638990545602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5.76</v>
      </c>
      <c r="C13" s="96"/>
      <c r="D13" s="96"/>
      <c r="E13" s="96"/>
      <c r="F13" s="96"/>
      <c r="G13" s="96">
        <f t="shared" si="0"/>
        <v>5.76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109</v>
      </c>
      <c r="C15" s="96"/>
      <c r="D15" s="96"/>
      <c r="E15" s="96"/>
      <c r="F15" s="96"/>
      <c r="G15" s="96">
        <f t="shared" si="0"/>
        <v>109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16.926300282774665</v>
      </c>
      <c r="C17" s="96"/>
      <c r="D17" s="96"/>
      <c r="E17" s="96"/>
      <c r="F17" s="96"/>
      <c r="G17" s="96">
        <f t="shared" si="0"/>
        <v>16.926300282774665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660.13858631660935</v>
      </c>
      <c r="C19" s="108"/>
      <c r="D19" s="108"/>
      <c r="E19" s="108"/>
      <c r="F19" s="108"/>
      <c r="G19" s="108">
        <f>AVERAGE(B19:F19)</f>
        <v>660.13858631660935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39.274902791925427</v>
      </c>
      <c r="C21" s="96"/>
      <c r="D21" s="96"/>
      <c r="E21" s="96"/>
      <c r="F21" s="96"/>
      <c r="G21" s="96">
        <f t="shared" si="0"/>
        <v>39.274902791925427</v>
      </c>
    </row>
    <row r="22" spans="1:7" ht="13.9" x14ac:dyDescent="0.4">
      <c r="A22" s="91" t="s">
        <v>214</v>
      </c>
      <c r="B22" s="96">
        <f>Budget!F33</f>
        <v>64.572611774604994</v>
      </c>
      <c r="C22" s="96"/>
      <c r="D22" s="96"/>
      <c r="E22" s="96"/>
      <c r="F22" s="96"/>
      <c r="G22" s="96">
        <f t="shared" si="0"/>
        <v>64.572611774604994</v>
      </c>
    </row>
    <row r="23" spans="1:7" ht="13.9" x14ac:dyDescent="0.4">
      <c r="A23" s="107" t="s">
        <v>640</v>
      </c>
      <c r="B23" s="108">
        <f>SUM(Budget!F6:F18)+SUM(Budget!F20:F23)+SUM(Budget!F25:F36)</f>
        <v>808.48610088313967</v>
      </c>
      <c r="C23" s="96"/>
      <c r="D23" s="96"/>
      <c r="E23" s="96"/>
      <c r="F23" s="96"/>
      <c r="G23" s="108">
        <f t="shared" si="0"/>
        <v>808.48610088313967</v>
      </c>
    </row>
    <row r="24" spans="1:7" ht="13.9" x14ac:dyDescent="0.4">
      <c r="A24" s="91" t="s">
        <v>28</v>
      </c>
      <c r="B24" s="96">
        <f>Budget!F37</f>
        <v>33.350051661429518</v>
      </c>
      <c r="C24" s="96"/>
      <c r="D24" s="96"/>
      <c r="E24" s="96"/>
      <c r="F24" s="96"/>
      <c r="G24" s="96">
        <f t="shared" si="0"/>
        <v>33.350051661429518</v>
      </c>
    </row>
    <row r="25" spans="1:7" ht="15" customHeight="1" x14ac:dyDescent="0.4">
      <c r="A25" s="91" t="s">
        <v>228</v>
      </c>
      <c r="B25" s="96">
        <f>SUM(Budget!F39:F43)</f>
        <v>126.065</v>
      </c>
      <c r="C25" s="96"/>
      <c r="D25" s="96"/>
      <c r="E25" s="96"/>
      <c r="F25" s="96"/>
      <c r="G25" s="96">
        <f t="shared" si="0"/>
        <v>126.065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967.90115254456919</v>
      </c>
      <c r="C27" s="108"/>
      <c r="D27" s="108"/>
      <c r="E27" s="108"/>
      <c r="F27" s="108"/>
      <c r="G27" s="108">
        <f t="shared" si="0"/>
        <v>967.90115254456919</v>
      </c>
    </row>
    <row r="28" spans="1:7" ht="13.5" x14ac:dyDescent="0.35">
      <c r="A28" s="107" t="s">
        <v>233</v>
      </c>
      <c r="B28" s="114">
        <f>B6-B27</f>
        <v>134.09884745543081</v>
      </c>
      <c r="C28" s="114"/>
      <c r="D28" s="114"/>
      <c r="E28" s="114"/>
      <c r="F28" s="114"/>
      <c r="G28" s="114">
        <f t="shared" si="0"/>
        <v>134.09884745543081</v>
      </c>
    </row>
    <row r="29" spans="1:7" ht="13.9" x14ac:dyDescent="0.4">
      <c r="A29" s="91" t="s">
        <v>230</v>
      </c>
      <c r="B29" s="96">
        <f>Budget!F51</f>
        <v>222.41143724853291</v>
      </c>
      <c r="C29" s="96"/>
      <c r="D29" s="96"/>
      <c r="E29" s="96"/>
      <c r="F29" s="96"/>
      <c r="G29" s="96">
        <f>AVERAGE(B29:F29)</f>
        <v>222.41143724853291</v>
      </c>
    </row>
    <row r="30" spans="1:7" ht="15.4" x14ac:dyDescent="0.35">
      <c r="A30" s="107" t="s">
        <v>753</v>
      </c>
      <c r="B30" s="108">
        <f>B27+B29</f>
        <v>1190.312589793102</v>
      </c>
      <c r="C30" s="108"/>
      <c r="D30" s="108"/>
      <c r="E30" s="108"/>
      <c r="F30" s="108"/>
      <c r="G30" s="108">
        <f>AVERAGE(B30:F30)</f>
        <v>1190.312589793102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-88.312589793102006</v>
      </c>
      <c r="C31" s="114"/>
      <c r="D31" s="114"/>
      <c r="E31" s="114"/>
      <c r="F31" s="114"/>
      <c r="G31" s="114">
        <f>AVERAGE(B31:F31)</f>
        <v>-88.312589793102006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5.0942165923398379</v>
      </c>
      <c r="C32" s="96"/>
      <c r="D32" s="96"/>
      <c r="E32" s="96"/>
      <c r="F32" s="96"/>
      <c r="G32" s="96">
        <f>AVERAGE(B32:F32)</f>
        <v>5.0942165923398379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6.2648031041742209</v>
      </c>
      <c r="C33" s="98"/>
      <c r="D33" s="98"/>
      <c r="E33" s="98"/>
      <c r="F33" s="98"/>
      <c r="G33" s="98">
        <f>AVERAGE(B33:F33)</f>
        <v>6.2648031041742209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13. 2026 Rice Enterprise Budget, FullPage Hybrid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190</v>
      </c>
      <c r="E3" s="307">
        <f>Budget!E3</f>
        <v>5.8</v>
      </c>
      <c r="F3" s="307">
        <f>Budget!F3</f>
        <v>1102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Thous</v>
      </c>
      <c r="D6" s="406">
        <f>Budget!D6</f>
        <v>450</v>
      </c>
      <c r="E6" s="307">
        <f>Budget!E6</f>
        <v>0.36</v>
      </c>
      <c r="F6" s="307">
        <f>Budget!F6</f>
        <v>162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109.0248125</v>
      </c>
      <c r="F13" s="307">
        <f>Budget!F14</f>
        <v>109.0248125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5.76</v>
      </c>
      <c r="F15" s="307">
        <f>Budget!F16</f>
        <v>5.76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6</v>
      </c>
      <c r="E20" s="307">
        <f>Budget!E21</f>
        <v>10</v>
      </c>
      <c r="F20" s="307">
        <f>Budget!F21</f>
        <v>60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3.2851812996180412</v>
      </c>
      <c r="E24" s="307">
        <f>Budget!E25</f>
        <v>2.46</v>
      </c>
      <c r="F24" s="307">
        <f>Budget!F25</f>
        <v>8.0815459970603811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7.4694245408143791</v>
      </c>
      <c r="F25" s="307">
        <f>Budget!F26</f>
        <v>7.4694245408143791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4.354188251827714</v>
      </c>
      <c r="E32" s="307">
        <f>Budget!E33</f>
        <v>14.83</v>
      </c>
      <c r="F32" s="307">
        <f>Budget!F33</f>
        <v>64.572611774604994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808.48610088313978</v>
      </c>
      <c r="F36" s="307">
        <f>Budget!F37</f>
        <v>33.350051661429518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190</v>
      </c>
      <c r="E39" s="307">
        <f>Budget!E40</f>
        <v>0.4</v>
      </c>
      <c r="F39" s="307">
        <f>Budget!F40</f>
        <v>76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190</v>
      </c>
      <c r="E40" s="307">
        <f>Budget!E41</f>
        <v>0.25</v>
      </c>
      <c r="F40" s="307">
        <f>Budget!F41</f>
        <v>47.5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190</v>
      </c>
      <c r="E41" s="307">
        <f>Budget!E42</f>
        <v>1.35E-2</v>
      </c>
      <c r="F41" s="307">
        <f>Budget!F42</f>
        <v>2.5649999999999999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957.24115254456933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144.75884745543067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135.43362590513254</v>
      </c>
      <c r="F47" s="311">
        <f>Budget!F48</f>
        <v>135.43362590513254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6.7716812952566272</v>
      </c>
      <c r="F49" s="311">
        <f>Budget!F50</f>
        <v>6.7716812952566272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222.41143724853291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1179.6525897931022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-77.652589793102152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FullPage Hybrid Seed</v>
      </c>
      <c r="H1" s="1246"/>
      <c r="I1" s="1442"/>
    </row>
    <row r="2" spans="1:9" ht="15" customHeight="1" x14ac:dyDescent="0.4">
      <c r="A2" s="1806" t="str">
        <f>Print_Summary!G1</f>
        <v>Rice, FullPage Hybrid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808486.10088313965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190</v>
      </c>
      <c r="C6" s="1820"/>
      <c r="D6" s="1821">
        <f>B6*Print_Summary!$I$2</f>
        <v>190000</v>
      </c>
      <c r="E6" s="1097" t="s">
        <v>797</v>
      </c>
      <c r="F6" s="1541">
        <f>B6*0.9</f>
        <v>171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1102</v>
      </c>
      <c r="C9" s="1826"/>
      <c r="D9" s="1827">
        <f>B9*Print_Summary!$I$2</f>
        <v>1102000</v>
      </c>
      <c r="E9" s="667" t="s">
        <v>13</v>
      </c>
      <c r="F9" s="1828">
        <f>F6*F7</f>
        <v>991.8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162</v>
      </c>
      <c r="C13" s="1835">
        <f>B13/$B$6</f>
        <v>0.85263157894736841</v>
      </c>
      <c r="D13" s="1821">
        <f>B13*Print_Summary!$I$2</f>
        <v>162000</v>
      </c>
      <c r="E13" s="4"/>
      <c r="F13" s="1824">
        <f>B13/$F$9</f>
        <v>0.16333938294010891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160.57</v>
      </c>
      <c r="C14" s="1835">
        <f t="shared" ref="C14:C34" si="0">B14/$B$6</f>
        <v>0.84510526315789469</v>
      </c>
      <c r="D14" s="1821">
        <f>B14*Print_Summary!$I$2</f>
        <v>160570</v>
      </c>
      <c r="E14" s="4"/>
      <c r="F14" s="1824">
        <f t="shared" ref="F14:F19" si="1">B14/$F$9</f>
        <v>0.16189755999193386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123.82481249999999</v>
      </c>
      <c r="C15" s="1835">
        <f t="shared" si="0"/>
        <v>0.65170953947368415</v>
      </c>
      <c r="D15" s="1821">
        <f>B15*Print_Summary!$I$2</f>
        <v>123824.8125</v>
      </c>
      <c r="E15" s="4"/>
      <c r="F15" s="1824">
        <f t="shared" si="1"/>
        <v>0.12484857078039928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109</v>
      </c>
      <c r="C16" s="1835">
        <f t="shared" si="0"/>
        <v>0.5736842105263158</v>
      </c>
      <c r="D16" s="1821">
        <f>B16*Print_Summary!$I$2</f>
        <v>109000</v>
      </c>
      <c r="E16" s="4"/>
      <c r="F16" s="1824">
        <f t="shared" si="1"/>
        <v>0.1099011897559992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16.926300282774665</v>
      </c>
      <c r="C17" s="1835">
        <f t="shared" si="0"/>
        <v>8.9085790961971917E-2</v>
      </c>
      <c r="D17" s="1821">
        <f>B17*Print_Summary!$I$2</f>
        <v>16926.300282774664</v>
      </c>
      <c r="E17" s="4"/>
      <c r="F17" s="1824">
        <f t="shared" si="1"/>
        <v>1.7066243479304966E-2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0.45877617649386621</v>
      </c>
      <c r="D18" s="1821">
        <f>B18*Print_Summary!$I$2</f>
        <v>87167.473533834578</v>
      </c>
      <c r="E18" s="4"/>
      <c r="F18" s="1824">
        <f t="shared" si="1"/>
        <v>8.7888156416449467E-2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3.4210526315789475E-3</v>
      </c>
      <c r="D19" s="1821">
        <f>B19*Print_Summary!$I$2</f>
        <v>650</v>
      </c>
      <c r="E19" s="4"/>
      <c r="F19" s="1824">
        <f t="shared" si="1"/>
        <v>6.553740673522888E-4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660.13858631660935</v>
      </c>
      <c r="C20" s="1836">
        <f t="shared" si="0"/>
        <v>3.4744136121926807</v>
      </c>
      <c r="D20" s="1827">
        <f>B20*Print_Summary!$I$2</f>
        <v>660138.58631660941</v>
      </c>
      <c r="E20" s="308"/>
      <c r="F20" s="1837">
        <f t="shared" ref="F20:F28" si="2">B20/$F$9</f>
        <v>0.66559647743154804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6.5789473684210523E-2</v>
      </c>
      <c r="D21" s="1821">
        <f>B21*Print_Summary!$I$2</f>
        <v>12500</v>
      </c>
      <c r="E21" s="4"/>
      <c r="F21" s="1824">
        <f t="shared" si="2"/>
        <v>1.2603347449082477E-2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0.16842105263157894</v>
      </c>
      <c r="D22" s="1821">
        <f>B22*Print_Summary!$I$2</f>
        <v>32000</v>
      </c>
      <c r="E22" s="4"/>
      <c r="F22" s="1824">
        <f t="shared" si="2"/>
        <v>3.2264569469651144E-2</v>
      </c>
    </row>
    <row r="23" spans="1:6" ht="13.9" x14ac:dyDescent="0.4">
      <c r="A23" s="1834" t="s">
        <v>749</v>
      </c>
      <c r="B23" s="1835">
        <f>Budget!F26+Budget!F28+Budget!F30</f>
        <v>39.274902791925427</v>
      </c>
      <c r="C23" s="1835">
        <f t="shared" si="0"/>
        <v>0.20671001469434436</v>
      </c>
      <c r="D23" s="1821">
        <f>B23*Print_Summary!$I$2</f>
        <v>39274.902791925429</v>
      </c>
      <c r="E23" s="4"/>
      <c r="F23" s="1824">
        <f t="shared" si="2"/>
        <v>3.9599619673246045E-2</v>
      </c>
    </row>
    <row r="24" spans="1:6" ht="13.9" x14ac:dyDescent="0.4">
      <c r="A24" s="1834" t="s">
        <v>214</v>
      </c>
      <c r="B24" s="1835">
        <f>Budget!F33</f>
        <v>64.572611774604994</v>
      </c>
      <c r="C24" s="1835">
        <f t="shared" si="0"/>
        <v>0.33985585144528946</v>
      </c>
      <c r="D24" s="1821">
        <f>B24*Print_Summary!$I$2</f>
        <v>64572.611774604993</v>
      </c>
      <c r="E24" s="4"/>
      <c r="F24" s="1824">
        <f t="shared" si="2"/>
        <v>6.5106484951204871E-2</v>
      </c>
    </row>
    <row r="25" spans="1:6" ht="13.5" x14ac:dyDescent="0.35">
      <c r="A25" s="1825" t="s">
        <v>640</v>
      </c>
      <c r="B25" s="1836">
        <f>SUM(Budget!F6:F18)+SUM(Budget!F20:F23)+SUM(Budget!F25:F36)</f>
        <v>808.48610088313967</v>
      </c>
      <c r="C25" s="1836">
        <f t="shared" si="0"/>
        <v>4.2551900046481039</v>
      </c>
      <c r="D25" s="1827">
        <f>B25*Print_Summary!$I$2</f>
        <v>808486.10088313965</v>
      </c>
      <c r="E25" s="308"/>
      <c r="F25" s="1837">
        <f t="shared" si="2"/>
        <v>0.81517049897473248</v>
      </c>
    </row>
    <row r="26" spans="1:6" ht="13.9" x14ac:dyDescent="0.4">
      <c r="A26" s="1834" t="s">
        <v>28</v>
      </c>
      <c r="B26" s="1835">
        <f>Budget!F37</f>
        <v>33.350051661429518</v>
      </c>
      <c r="C26" s="1835">
        <f t="shared" si="0"/>
        <v>0.17552658769173429</v>
      </c>
      <c r="D26" s="1821">
        <f>B26*Print_Summary!$I$2</f>
        <v>33350.051661429519</v>
      </c>
      <c r="E26" s="4"/>
      <c r="F26" s="1824">
        <f t="shared" si="2"/>
        <v>3.3625783082707722E-2</v>
      </c>
    </row>
    <row r="27" spans="1:6" ht="13.9" x14ac:dyDescent="0.4">
      <c r="A27" s="1834" t="s">
        <v>228</v>
      </c>
      <c r="B27" s="1835">
        <f>SUM(Budget!F39:F43)</f>
        <v>126.065</v>
      </c>
      <c r="C27" s="1835">
        <f t="shared" si="0"/>
        <v>0.66349999999999998</v>
      </c>
      <c r="D27" s="1821">
        <f>B27*Print_Summary!$I$2</f>
        <v>126065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967.90115254456919</v>
      </c>
      <c r="C29" s="1836">
        <f t="shared" si="0"/>
        <v>5.0942165923398379</v>
      </c>
      <c r="D29" s="1827">
        <f>B29*Print_Summary!$I$2</f>
        <v>967901.15254456922</v>
      </c>
      <c r="E29" s="308"/>
      <c r="F29" s="1824"/>
    </row>
    <row r="30" spans="1:6" ht="13.5" x14ac:dyDescent="0.35">
      <c r="A30" s="1825" t="s">
        <v>233</v>
      </c>
      <c r="B30" s="1826">
        <f>B9-B29-B31</f>
        <v>134.09884745543081</v>
      </c>
      <c r="C30" s="1826">
        <f t="shared" si="0"/>
        <v>0.70578340766016223</v>
      </c>
      <c r="D30" s="1827">
        <f>B30*Print_Summary!$I$2</f>
        <v>134098.8474554308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222.41143724853291</v>
      </c>
      <c r="C32" s="1835">
        <f t="shared" si="0"/>
        <v>1.1705865118343837</v>
      </c>
      <c r="D32" s="1821">
        <f>B32*Print_Summary!$I$2</f>
        <v>222411.43724853289</v>
      </c>
      <c r="E32" s="4"/>
      <c r="F32" s="1824">
        <f>B32/$F$9</f>
        <v>0.22425028962344518</v>
      </c>
    </row>
    <row r="33" spans="1:6" ht="13.5" x14ac:dyDescent="0.35">
      <c r="A33" s="1825" t="s">
        <v>650</v>
      </c>
      <c r="B33" s="1836">
        <f>B29+B32</f>
        <v>1190.312589793102</v>
      </c>
      <c r="C33" s="1836">
        <f t="shared" si="0"/>
        <v>6.2648031041742209</v>
      </c>
      <c r="D33" s="1827">
        <f>B33*Print_Summary!$I$2</f>
        <v>1190312.5897931021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-88.312589793102006</v>
      </c>
      <c r="C34" s="1826">
        <f t="shared" si="0"/>
        <v>-0.4648031041742211</v>
      </c>
      <c r="D34" s="1827">
        <f>B34*Print_Summary!$I$2</f>
        <v>-88312.589793102001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5.0942165923398379</v>
      </c>
      <c r="C36" s="1097"/>
      <c r="D36" s="1823">
        <f>D29/D6</f>
        <v>5.0942165923398379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6.2648031041742209</v>
      </c>
      <c r="C37" s="1097"/>
      <c r="D37" s="1823">
        <f>D33/D6</f>
        <v>6.2648031041742218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13. 2026 Rice Enterprise Budget, FullPage Hybrid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17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FullPage Hybrid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13. Details of Chemicals Applied, Rice, FullPage Hybrid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13. Machinery Capital Recovery and Operating Costs, Rice, FullPage Hybrid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13. 2026 Rice Enterprise Budget, FullPage Hybrid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967.90115254456941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135.43362590513254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222.41143724853291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-88.312589793102234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0.14249999999999999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190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190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190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190</v>
      </c>
      <c r="J30" s="900"/>
    </row>
    <row r="31" spans="2:10" ht="12.75" customHeight="1" x14ac:dyDescent="0.4">
      <c r="B31" s="901">
        <f>IF(A2_Budget_Look_Up!B13&gt;0,Budget!D3*Budget!B41,I31)</f>
        <v>190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190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FullPage Hybrid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190</v>
      </c>
      <c r="C6" s="1822">
        <f>B6*Print_Summary!$I$2</f>
        <v>190000</v>
      </c>
      <c r="D6" s="1845"/>
      <c r="E6" s="1096">
        <f t="shared" si="0"/>
        <v>190</v>
      </c>
      <c r="F6" s="1821">
        <f t="shared" si="0"/>
        <v>190000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1102</v>
      </c>
      <c r="C9" s="1829">
        <f>B9*Print_Summary!$I$2</f>
        <v>1102000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162</v>
      </c>
      <c r="C13" s="1822">
        <f>B13*Print_Summary!$I$2</f>
        <v>162000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41.824999999999989</v>
      </c>
    </row>
    <row r="14" spans="1:9" ht="13.9" x14ac:dyDescent="0.4">
      <c r="A14" s="1834" t="s">
        <v>224</v>
      </c>
      <c r="B14" s="1835">
        <f>SUM(Budget!F7:F13)</f>
        <v>160.57</v>
      </c>
      <c r="C14" s="1822">
        <f>B14*Print_Summary!$I$2</f>
        <v>160570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69.781199999999998</v>
      </c>
    </row>
    <row r="15" spans="1:9" ht="13.9" x14ac:dyDescent="0.4">
      <c r="A15" s="1834" t="s">
        <v>494</v>
      </c>
      <c r="B15" s="1835">
        <f>SUM(Budget!F14:F18)</f>
        <v>123.82481249999999</v>
      </c>
      <c r="C15" s="1822">
        <f>B15*Print_Summary!$I$2</f>
        <v>123824.8125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-85.227687499999988</v>
      </c>
    </row>
    <row r="16" spans="1:9" ht="13.9" x14ac:dyDescent="0.4">
      <c r="A16" s="1834" t="s">
        <v>225</v>
      </c>
      <c r="B16" s="1835">
        <f>SUM(Budget!F20:F23)</f>
        <v>109</v>
      </c>
      <c r="C16" s="1822">
        <f>B16*Print_Summary!$I$2</f>
        <v>109000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98</v>
      </c>
    </row>
    <row r="17" spans="1:9" ht="13.9" x14ac:dyDescent="0.4">
      <c r="A17" s="1834" t="s">
        <v>462</v>
      </c>
      <c r="B17" s="1835">
        <f>Budget!F25+Budget!F27</f>
        <v>16.926300282774665</v>
      </c>
      <c r="C17" s="1822">
        <f>B17*Print_Summary!$I$2</f>
        <v>16926.300282774664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-11.140563466122355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660.13858631660935</v>
      </c>
      <c r="C20" s="1827">
        <f>B20*Print_Summary!$I$2</f>
        <v>660138.58631660941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162.45496169553189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39.274902791925427</v>
      </c>
      <c r="C23" s="1822">
        <f>B23*Print_Summary!$I$2</f>
        <v>39274.902791925429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6.250658987871951</v>
      </c>
    </row>
    <row r="24" spans="1:9" ht="15" customHeight="1" x14ac:dyDescent="0.4">
      <c r="A24" s="1834" t="s">
        <v>214</v>
      </c>
      <c r="B24" s="1835">
        <f>Budget!F33</f>
        <v>64.572611774604994</v>
      </c>
      <c r="C24" s="1822">
        <f>B24*Print_Summary!$I$2</f>
        <v>64572.611774604993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41.244765950126009</v>
      </c>
    </row>
    <row r="25" spans="1:9" ht="15" customHeight="1" x14ac:dyDescent="0.4">
      <c r="A25" s="1825" t="s">
        <v>640</v>
      </c>
      <c r="B25" s="1836">
        <f>SUM(Budget!F6:F18)+SUM(Budget!F20:F23)+SUM(Budget!F25:F36)</f>
        <v>808.48610088313967</v>
      </c>
      <c r="C25" s="1829">
        <f>B25*Print_Summary!$I$2</f>
        <v>808486.10088313965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230.45038663352977</v>
      </c>
    </row>
    <row r="26" spans="1:9" ht="13.9" x14ac:dyDescent="0.4">
      <c r="A26" s="1834" t="s">
        <v>28</v>
      </c>
      <c r="B26" s="1835">
        <f>Budget!F37</f>
        <v>33.350051661429518</v>
      </c>
      <c r="C26" s="1822">
        <f>B26*Print_Summary!$I$2</f>
        <v>33350.051661429519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19.79795344800128</v>
      </c>
    </row>
    <row r="27" spans="1:9" ht="13.9" x14ac:dyDescent="0.4">
      <c r="A27" s="1834" t="s">
        <v>228</v>
      </c>
      <c r="B27" s="1835">
        <f>SUM(Budget!F39:F43)</f>
        <v>126.065</v>
      </c>
      <c r="C27" s="1822">
        <f>B27*Print_Summary!$I$2</f>
        <v>126065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-18.715000000000003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967.90115254456919</v>
      </c>
      <c r="C29" s="1829">
        <f>B29*Print_Summary!$I$2</f>
        <v>967901.15254456922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376.3133400815309</v>
      </c>
    </row>
    <row r="30" spans="1:9" ht="13.9" x14ac:dyDescent="0.4">
      <c r="A30" s="1825" t="s">
        <v>233</v>
      </c>
      <c r="B30" s="1826">
        <f>B9-B29-B31</f>
        <v>134.09884745543081</v>
      </c>
      <c r="C30" s="1829">
        <f>B30*Print_Summary!$I$2</f>
        <v>134098.8474554308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-54.313340081530953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222.41143724853291</v>
      </c>
      <c r="C32" s="1822">
        <f>B32*Print_Summary!$I$2</f>
        <v>222411.43724853289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43.816447310408876</v>
      </c>
    </row>
    <row r="33" spans="1:9" ht="13.9" x14ac:dyDescent="0.4">
      <c r="A33" s="1825" t="s">
        <v>650</v>
      </c>
      <c r="B33" s="1836">
        <f>B29+B32</f>
        <v>1190.312589793102</v>
      </c>
      <c r="C33" s="1829">
        <f>B33*Print_Summary!$I$2</f>
        <v>1190312.5897931021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420.12978739193966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-88.312589793102006</v>
      </c>
      <c r="C34" s="1829">
        <f>B34*Print_Summary!$I$2</f>
        <v>-88312.589793102001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-98.129787391939715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5.0942165923398379</v>
      </c>
      <c r="C36" s="1097">
        <f>C29/C6</f>
        <v>5.0942165923398379</v>
      </c>
      <c r="D36" s="1846"/>
      <c r="E36" s="1097">
        <f>MAX(E29,0)/E6</f>
        <v>1.7092105263157895E-2</v>
      </c>
      <c r="F36" s="1823">
        <f>MAX(F29,0)/F6</f>
        <v>1.7092105263157895E-2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6.2648031041742209</v>
      </c>
      <c r="C37" s="1839">
        <f>C33/C6</f>
        <v>6.2648031041742218</v>
      </c>
      <c r="D37" s="1846"/>
      <c r="E37" s="1839">
        <f>MAX(E33,0)/E6</f>
        <v>1.7092105263157895E-2</v>
      </c>
      <c r="F37" s="1840">
        <f>MAX(F33,0)/F6</f>
        <v>1.7092105263157895E-2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-1.9625019954022667E-2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13. 2026 Rice Enterprise Budget, FullPage Hybrid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190</v>
      </c>
      <c r="E3" s="1258">
        <f>A3_Production_Look_Up!B5</f>
        <v>5.8</v>
      </c>
      <c r="F3" s="9">
        <f>IF('C1_Messages_Indicators'!B3=1,(D3*E3*B3),"Error")</f>
        <v>1102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Thous</v>
      </c>
      <c r="D6" s="552">
        <f>Seed_Chemical!E4</f>
        <v>450</v>
      </c>
      <c r="E6" s="10">
        <f>Seed_Chemical!D4</f>
        <v>0.36</v>
      </c>
      <c r="F6" s="9">
        <f t="shared" ref="F6:F11" si="0">D6*E6*B6</f>
        <v>162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</v>
      </c>
      <c r="E12" s="10">
        <f>Fertilizer!E8</f>
        <v>82</v>
      </c>
      <c r="F12" s="9">
        <f>D12*E12*B12</f>
        <v>10.66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109.0248125</v>
      </c>
      <c r="F14" s="9">
        <f t="shared" si="1"/>
        <v>109.0248125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5.76</v>
      </c>
      <c r="F16" s="9">
        <f t="shared" si="1"/>
        <v>5.76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6</v>
      </c>
      <c r="E21" s="2">
        <v>10</v>
      </c>
      <c r="F21" s="9">
        <f>D21*E21*B21</f>
        <v>60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3.2851812996180412</v>
      </c>
      <c r="E25" s="18">
        <f>Irrigation!B14</f>
        <v>2.46</v>
      </c>
      <c r="F25" s="9">
        <f t="shared" ref="F25:F36" si="2">D25*E25*B25</f>
        <v>8.0815459970603811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7.4694245408143791</v>
      </c>
      <c r="F26" s="9">
        <f t="shared" si="2"/>
        <v>7.4694245408143791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4.354188251827714</v>
      </c>
      <c r="E33" s="316">
        <v>14.83</v>
      </c>
      <c r="F33" s="9">
        <f t="shared" si="2"/>
        <v>64.572611774604994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808.48610088313978</v>
      </c>
      <c r="F37" s="9">
        <f>((D37/100)*Program_Variables!D34)*SUM(F6:F36)*B37</f>
        <v>33.350051661429518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190</v>
      </c>
      <c r="E40" s="2">
        <f>A3_Production_Look_Up!B37</f>
        <v>0.4</v>
      </c>
      <c r="F40" s="9">
        <f>D40*E40*B40</f>
        <v>76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190</v>
      </c>
      <c r="E41" s="2">
        <f>A3_Production_Look_Up!B38</f>
        <v>0.25</v>
      </c>
      <c r="F41" s="9">
        <f>D41*E41*B41</f>
        <v>47.5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190</v>
      </c>
      <c r="E42" s="1963">
        <f>A3_Production_Look_Up!B39</f>
        <v>1.35E-2</v>
      </c>
      <c r="F42" s="9">
        <f>D42*E42*B42</f>
        <v>2.5649999999999999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967.90115254456941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134.09884745543059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135.43362590513254</v>
      </c>
      <c r="F48" s="9">
        <f>D48*E48</f>
        <v>135.43362590513254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6.7716812952566272</v>
      </c>
      <c r="F50" s="9">
        <f>D50*E50</f>
        <v>6.7716812952566272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222.41143724853291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1190.3125897931022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-88.312589793102234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0.36</v>
      </c>
      <c r="E4" s="1586">
        <f>A3_Production_Look_Up!B45</f>
        <v>450</v>
      </c>
      <c r="F4" s="1587">
        <f>D4*E4</f>
        <v>162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162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Preface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3.3203125</v>
      </c>
      <c r="E14" s="1586">
        <f>IF(A5_Chem_Look_Up!$F8&gt;0,A5_Chem_Look_Up!E8,0)</f>
        <v>5</v>
      </c>
      <c r="F14" s="1587">
        <f t="shared" si="0"/>
        <v>16.6015625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Preface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3.3203125</v>
      </c>
      <c r="E16" s="1586">
        <f>IF(A5_Chem_Look_Up!$F10&gt;0,A5_Chem_Look_Up!E10,0)</f>
        <v>5</v>
      </c>
      <c r="F16" s="1587">
        <f t="shared" si="0"/>
        <v>16.6015625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Prowl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0.3633984375</v>
      </c>
      <c r="E17" s="1586">
        <f>IF(A5_Chem_Look_Up!$F11&gt;0,A5_Chem_Look_Up!E11,0)</f>
        <v>33.6</v>
      </c>
      <c r="F17" s="1587">
        <f t="shared" si="0"/>
        <v>12.2101875</v>
      </c>
      <c r="G17" s="20"/>
    </row>
    <row r="18" spans="1:10" ht="12.95" customHeight="1" x14ac:dyDescent="0.35">
      <c r="A18" s="1601" t="str">
        <f>IF(A5_Chem_Look_Up!$F12&gt;0,A5_Chem_Look_Up!A12," ")</f>
        <v>Permit Plus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17.254999999999999</v>
      </c>
      <c r="E18" s="1586">
        <f>IF(A5_Chem_Look_Up!$F12&gt;0,A5_Chem_Look_Up!E12,0)</f>
        <v>0.75</v>
      </c>
      <c r="F18" s="1587">
        <f t="shared" si="0"/>
        <v>12.94125</v>
      </c>
      <c r="G18" s="20"/>
      <c r="H18" s="989"/>
    </row>
    <row r="19" spans="1:10" ht="12.95" customHeight="1" x14ac:dyDescent="0.35">
      <c r="A19" s="1601" t="str">
        <f>IF(A5_Chem_Look_Up!$F13&gt;0,A5_Chem_Look_Up!A13," ")</f>
        <v>Postscript</v>
      </c>
      <c r="B19" s="1602" t="str">
        <f>IF(A5_Chem_Look_Up!$F13&gt;0,A5_Chem_Look_Up!B13," ")</f>
        <v/>
      </c>
      <c r="C19" s="1603" t="str">
        <f>IF(A5_Chem_Look_Up!$F13&gt;0,A5_Chem_Look_Up!C13," ")</f>
        <v>oz</v>
      </c>
      <c r="D19" s="1601">
        <f>IF(A5_Chem_Look_Up!$F13&gt;0,A5_Chem_Look_Up!D13,0)</f>
        <v>3.39</v>
      </c>
      <c r="E19" s="1586">
        <f>IF(A5_Chem_Look_Up!$F13&gt;0,A5_Chem_Look_Up!E13,0)</f>
        <v>5</v>
      </c>
      <c r="F19" s="1587">
        <f t="shared" si="0"/>
        <v>16.95</v>
      </c>
      <c r="G19" s="20"/>
      <c r="H19" s="989"/>
    </row>
    <row r="20" spans="1:10" ht="12.95" customHeight="1" x14ac:dyDescent="0.35">
      <c r="A20" s="1601" t="str">
        <f>IF(A5_Chem_Look_Up!$F14&gt;0,A5_Chem_Look_Up!A14," ")</f>
        <v>Basagran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0.67046874999999995</v>
      </c>
      <c r="E20" s="1586">
        <f>IF(A5_Chem_Look_Up!$F14&gt;0,A5_Chem_Look_Up!E14,0)</f>
        <v>24</v>
      </c>
      <c r="F20" s="1587">
        <f t="shared" si="0"/>
        <v>16.091249999999999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109.0248125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Tilt 3.6 EC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0.72</v>
      </c>
      <c r="E44" s="1586">
        <f>IF(A5_Chem_Look_Up!$F38&gt;0,A5_Chem_Look_Up!E38,0)</f>
        <v>8</v>
      </c>
      <c r="F44" s="1587">
        <f>D44*E44</f>
        <v>5.76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5.76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44.02322520396082</v>
      </c>
      <c r="C45" s="77">
        <f>SUM(C4:C44)</f>
        <v>7.46942454081438</v>
      </c>
      <c r="D45" s="77">
        <f>SUM(D4:D44)</f>
        <v>8.0815459970603811</v>
      </c>
      <c r="E45" s="77">
        <f>SUM(E4:E44)</f>
        <v>6.1890203460335655</v>
      </c>
      <c r="F45" s="77">
        <f>SUM(F4:F44)</f>
        <v>65.763216087869139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135.43362590513254</v>
      </c>
      <c r="C74" s="77">
        <f>C45+C51+C72</f>
        <v>27.976465291925432</v>
      </c>
      <c r="D74" s="77">
        <f>D45+D51+D72</f>
        <v>16.926300282774665</v>
      </c>
      <c r="E74" s="77">
        <f>E45+E51+E72</f>
        <v>11.362571774604994</v>
      </c>
      <c r="F74" s="77">
        <f>F45+F51+F72</f>
        <v>191.69896325443764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1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>
        <f>IF(T2&gt;0,A2_Budget_Look_Up!$C$4," ")</f>
        <v>17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190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190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5.8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330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87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100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0.13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3.5249999999999999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2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6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6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330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30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0.65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8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4.5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32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0.4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0.25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1.35E-2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0.36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0.36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450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1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1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1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1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1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1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1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3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1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1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1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1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190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190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1102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162</v>
      </c>
      <c r="D9" s="3"/>
      <c r="E9" s="1190"/>
      <c r="F9" s="3"/>
      <c r="G9" s="1185" t="s">
        <v>223</v>
      </c>
      <c r="H9" s="1800">
        <f>C9</f>
        <v>162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660.13858631660935</v>
      </c>
    </row>
    <row r="11" spans="2:14" ht="13.9" x14ac:dyDescent="0.4">
      <c r="B11" s="1185" t="s">
        <v>494</v>
      </c>
      <c r="C11" s="1794">
        <f>SUM(Print_Budget!F13:F17)</f>
        <v>123.82481249999999</v>
      </c>
      <c r="D11" s="3"/>
      <c r="E11" s="1190"/>
      <c r="F11" s="3"/>
      <c r="G11" s="1185" t="s">
        <v>494</v>
      </c>
      <c r="H11" s="1794">
        <f t="shared" si="0"/>
        <v>123.82481249999999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181.69756622795995</v>
      </c>
    </row>
    <row r="12" spans="2:14" ht="13.9" x14ac:dyDescent="0.4">
      <c r="B12" s="1185" t="s">
        <v>225</v>
      </c>
      <c r="C12" s="1794">
        <f>SUM(Print_Budget!F19:F22)</f>
        <v>109</v>
      </c>
      <c r="D12" s="3"/>
      <c r="E12" s="1190"/>
      <c r="F12" s="3"/>
      <c r="G12" s="1185" t="s">
        <v>225</v>
      </c>
      <c r="H12" s="1794">
        <f t="shared" si="0"/>
        <v>109</v>
      </c>
      <c r="I12" s="3"/>
      <c r="J12" s="3"/>
      <c r="K12" s="1190"/>
      <c r="L12" s="3"/>
      <c r="M12" s="648" t="s">
        <v>168</v>
      </c>
      <c r="N12" s="182">
        <f>SUM(N10:N11)</f>
        <v>841.83615254456936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126.065</v>
      </c>
    </row>
    <row r="14" spans="2:14" ht="13.9" x14ac:dyDescent="0.4">
      <c r="B14" s="1185" t="s">
        <v>779</v>
      </c>
      <c r="C14" s="1794">
        <f>Print_Budget!F24+Print_Budget!F26</f>
        <v>16.926300282774665</v>
      </c>
      <c r="D14" s="3"/>
      <c r="E14" s="1190"/>
      <c r="F14" s="3"/>
      <c r="G14" s="1185" t="s">
        <v>779</v>
      </c>
      <c r="H14" s="1794">
        <f t="shared" si="0"/>
        <v>16.926300282774665</v>
      </c>
      <c r="I14" s="3"/>
      <c r="J14" s="3"/>
      <c r="K14" s="1190"/>
      <c r="L14" s="3"/>
      <c r="M14" s="652" t="s">
        <v>1007</v>
      </c>
      <c r="N14" s="173">
        <f>SUM(N12:N13)-N8</f>
        <v>967.90115254456941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134.09884745543059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39.274902791925427</v>
      </c>
      <c r="D18" s="3"/>
      <c r="E18" s="1190"/>
      <c r="F18" s="3"/>
      <c r="G18" s="1185" t="s">
        <v>205</v>
      </c>
      <c r="H18" s="1794">
        <f t="shared" si="0"/>
        <v>39.274902791925427</v>
      </c>
      <c r="I18" s="3"/>
      <c r="J18" s="3"/>
      <c r="K18" s="1190"/>
      <c r="L18" s="3"/>
      <c r="M18" s="648" t="s">
        <v>249</v>
      </c>
      <c r="N18" s="1803">
        <f>Print_Summary!B32</f>
        <v>222.41143724853291</v>
      </c>
    </row>
    <row r="19" spans="2:14" ht="13.9" x14ac:dyDescent="0.4">
      <c r="B19" s="1185" t="s">
        <v>214</v>
      </c>
      <c r="C19" s="1794">
        <f>Trips!E45+Trips!E51+Trips!E72+Trips!E76</f>
        <v>12.296861774604995</v>
      </c>
      <c r="D19" s="3"/>
      <c r="E19" s="1190"/>
      <c r="F19" s="3"/>
      <c r="G19" s="1185" t="s">
        <v>214</v>
      </c>
      <c r="H19" s="1794">
        <f t="shared" si="0"/>
        <v>12.296861774604995</v>
      </c>
      <c r="I19" s="3"/>
      <c r="J19" s="3"/>
      <c r="K19" s="1190"/>
      <c r="L19" s="3"/>
      <c r="M19" s="308" t="s">
        <v>650</v>
      </c>
      <c r="N19" s="173">
        <f>N14+N18</f>
        <v>1190.3125897931022</v>
      </c>
    </row>
    <row r="20" spans="2:14" ht="13.9" x14ac:dyDescent="0.4">
      <c r="B20" s="1185" t="s">
        <v>28</v>
      </c>
      <c r="C20" s="1794">
        <f>Print_Budget!F36</f>
        <v>33.350051661429518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-88.312589793102234</v>
      </c>
    </row>
    <row r="22" spans="2:14" ht="13.9" x14ac:dyDescent="0.4">
      <c r="B22" s="1185" t="s">
        <v>790</v>
      </c>
      <c r="C22" s="1794">
        <f>Print_Budget!F39+Print_Budget!F40</f>
        <v>123.5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2.5649999999999999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215.63975595327628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135.43362590513254</v>
      </c>
      <c r="D26" s="3"/>
      <c r="E26" s="1190"/>
      <c r="F26" s="3"/>
      <c r="G26" s="648" t="s">
        <v>647</v>
      </c>
      <c r="H26" s="1801">
        <f>C28</f>
        <v>6.7716812952566272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6.7716812952566272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649.47858631660927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745.55035088313969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904.96540254456932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222.41143724853291</v>
      </c>
    </row>
    <row r="34" spans="2:3" ht="13.5" x14ac:dyDescent="0.35">
      <c r="B34" s="308" t="s">
        <v>650</v>
      </c>
      <c r="C34" s="173">
        <f>C32+C33</f>
        <v>1127.3768397931021</v>
      </c>
    </row>
    <row r="35" spans="2:3" ht="13.5" x14ac:dyDescent="0.35">
      <c r="B35" s="308" t="s">
        <v>761</v>
      </c>
      <c r="C35" s="173">
        <f>(C4*C5*C6)-C24-C34</f>
        <v>-25.376839793102135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86.8</v>
      </c>
      <c r="C4" s="182">
        <f>SUM(A5_Chem_Look_Up!G24:G33)+SUM(A5_Chem_Look_Up!G38:G39)</f>
        <v>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86.8</v>
      </c>
      <c r="C6" s="182">
        <f>C4+C5</f>
        <v>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2.5669840894304135</v>
      </c>
      <c r="C7" s="1456">
        <f>C6/$E$6</f>
        <v>0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16.531377535931863</v>
      </c>
      <c r="C9" s="1459">
        <f>C7*C8</f>
        <v>0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6.8806098710466124</v>
      </c>
      <c r="D28" s="1456">
        <f>C28/$B$25</f>
        <v>26.046144039999287</v>
      </c>
      <c r="E28" s="1456">
        <v>0.84</v>
      </c>
      <c r="F28" s="1456">
        <f>D28*E28</f>
        <v>21.8787609935994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134.55053734176437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4336.6483577194495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10716.291756760531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10246.5347640747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17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17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12.8</v>
      </c>
      <c r="H7" s="1073">
        <f>VLOOKUP(2,$I$6:$Q$3099,9,FALSE)</f>
        <v>17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Preface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3.3203125</v>
      </c>
      <c r="E8" s="1165">
        <f>VLOOKUP(3,$I$6:$P$3099,6,FALSE)</f>
        <v>5</v>
      </c>
      <c r="F8" s="82">
        <f t="shared" ref="F8:F19" si="2">D8*E8</f>
        <v>16.6015625</v>
      </c>
      <c r="G8" s="1166">
        <f>VLOOKUP(3,$I$6:$P$3099,8,FALSE)</f>
        <v>5</v>
      </c>
      <c r="H8" s="1073">
        <f>VLOOKUP(3,$I$6:$Q$3099,9,FALSE)</f>
        <v>17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17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Preface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3.3203125</v>
      </c>
      <c r="E10" s="1165">
        <f>VLOOKUP(5,$I$6:$P$3099,6,FALSE)</f>
        <v>5</v>
      </c>
      <c r="F10" s="82">
        <f t="shared" si="2"/>
        <v>16.6015625</v>
      </c>
      <c r="G10" s="1166">
        <f>VLOOKUP(5,$I$6:$P$3099,8,FALSE)</f>
        <v>5</v>
      </c>
      <c r="H10" s="1073">
        <f>VLOOKUP(5,$I$6:$Q$3099,9,FALSE)</f>
        <v>17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Prowl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0.3633984375</v>
      </c>
      <c r="E11" s="1165">
        <f>VLOOKUP(6,$I$6:$P$3099,6,FALSE)</f>
        <v>33.6</v>
      </c>
      <c r="F11" s="82">
        <f t="shared" si="2"/>
        <v>12.2101875</v>
      </c>
      <c r="G11" s="1166">
        <f>VLOOKUP(6,$I$6:$P$3099,8,FALSE)</f>
        <v>0</v>
      </c>
      <c r="H11" s="1073">
        <f>VLOOKUP(6,$I$6:$Q$3099,9,FALSE)</f>
        <v>17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Permit Plus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17.254999999999999</v>
      </c>
      <c r="E12" s="1165">
        <f>VLOOKUP(7,$I$6:$P$3099,6,FALSE)</f>
        <v>0.75</v>
      </c>
      <c r="F12" s="82">
        <f t="shared" si="2"/>
        <v>12.94125</v>
      </c>
      <c r="G12" s="1166">
        <f>VLOOKUP(7,$I$6:$P$3099,8,FALSE)</f>
        <v>0</v>
      </c>
      <c r="H12" s="1073">
        <f>VLOOKUP(7,$I$6:$Q$3099,9,FALSE)</f>
        <v>17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Postscript</v>
      </c>
      <c r="B13" s="1166" t="str">
        <f>VLOOKUP(8,$I$6:$P$3099,3,FALSE)</f>
        <v/>
      </c>
      <c r="C13" s="1166" t="str">
        <f>VLOOKUP(8,$I$6:$P$3099,4,FALSE)</f>
        <v>oz</v>
      </c>
      <c r="D13" s="1165">
        <f>VLOOKUP(8,$I$6:$P$3099,5,FALSE)</f>
        <v>3.39</v>
      </c>
      <c r="E13" s="1165">
        <f>VLOOKUP(8,$I$6:$P$3099,6,FALSE)</f>
        <v>5</v>
      </c>
      <c r="F13" s="82">
        <f t="shared" si="2"/>
        <v>16.95</v>
      </c>
      <c r="G13" s="1166">
        <f>VLOOKUP(8,$I$6:$P$3099,8,FALSE)</f>
        <v>0</v>
      </c>
      <c r="H13" s="1073">
        <f>VLOOKUP(8,$I$6:$Q$3099,9,FALSE)</f>
        <v>17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Basagran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0.67046874999999995</v>
      </c>
      <c r="E14" s="1165">
        <f>VLOOKUP(9,$I$6:$P$3099,6,FALSE)</f>
        <v>24</v>
      </c>
      <c r="F14" s="82">
        <f t="shared" si="2"/>
        <v>16.091249999999999</v>
      </c>
      <c r="G14" s="1166">
        <f>VLOOKUP(9,$I$6:$P$3099,8,FALSE)</f>
        <v>0</v>
      </c>
      <c r="H14" s="1073">
        <f>VLOOKUP(9,$I$6:$Q$3099,9,FALSE)</f>
        <v>17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17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17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17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17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17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109.0248125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 t="str">
        <f>VLOOKUP(15,$I$6:$P$3099,8,FALSE)</f>
        <v>Custom Aerial Application</v>
      </c>
      <c r="H24" s="1073">
        <f>VLOOKUP(15,$I$6:$Q$3099,9,FALSE)</f>
        <v>17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17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17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17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17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17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17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17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17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17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Tilt 3.6 EC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0.72</v>
      </c>
      <c r="E38" s="1165">
        <f>VLOOKUP(25,$I$6:$P$3099,6,FALSE)</f>
        <v>8</v>
      </c>
      <c r="F38" s="82">
        <f>D38*E38</f>
        <v>5.76</v>
      </c>
      <c r="G38" s="1166">
        <f>VLOOKUP(25,$I$6:$P$3099,8,FALSE)</f>
        <v>0</v>
      </c>
      <c r="H38" s="1073">
        <f>VLOOKUP(25,$I$6:$Q$3099,9,FALSE)</f>
        <v>17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17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5.76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17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17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17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17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17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17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17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17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17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17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17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17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17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17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1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17</v>
      </c>
    </row>
    <row r="999" spans="9:17" ht="13.9" x14ac:dyDescent="0.4">
      <c r="I999" s="1073">
        <f t="shared" ref="I999:I1011" si="204">IF($A$1=17,I998+1,0)</f>
        <v>2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17</v>
      </c>
    </row>
    <row r="1000" spans="9:17" ht="13.9" x14ac:dyDescent="0.4">
      <c r="I1000" s="1073">
        <f t="shared" si="204"/>
        <v>3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17</v>
      </c>
    </row>
    <row r="1001" spans="9:17" ht="13.9" x14ac:dyDescent="0.4">
      <c r="I1001" s="1073">
        <f t="shared" si="204"/>
        <v>4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17</v>
      </c>
    </row>
    <row r="1002" spans="9:17" ht="13.9" x14ac:dyDescent="0.4">
      <c r="I1002" s="1073">
        <f t="shared" si="204"/>
        <v>5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17</v>
      </c>
    </row>
    <row r="1003" spans="9:17" ht="13.9" x14ac:dyDescent="0.4">
      <c r="I1003" s="1073">
        <f t="shared" si="204"/>
        <v>6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17</v>
      </c>
    </row>
    <row r="1004" spans="9:17" ht="13.9" x14ac:dyDescent="0.4">
      <c r="I1004" s="1073">
        <f t="shared" si="204"/>
        <v>7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17</v>
      </c>
    </row>
    <row r="1005" spans="9:17" ht="13.9" x14ac:dyDescent="0.4">
      <c r="I1005" s="1073">
        <f t="shared" si="204"/>
        <v>8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17</v>
      </c>
    </row>
    <row r="1006" spans="9:17" ht="13.9" x14ac:dyDescent="0.4">
      <c r="I1006" s="1073">
        <f t="shared" si="204"/>
        <v>9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17</v>
      </c>
    </row>
    <row r="1007" spans="9:17" ht="13.9" x14ac:dyDescent="0.4">
      <c r="I1007" s="1073">
        <f t="shared" si="204"/>
        <v>10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17</v>
      </c>
    </row>
    <row r="1008" spans="9:17" ht="13.9" x14ac:dyDescent="0.4">
      <c r="I1008" s="1073">
        <f t="shared" si="204"/>
        <v>11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17</v>
      </c>
    </row>
    <row r="1009" spans="9:17" ht="13.9" x14ac:dyDescent="0.4">
      <c r="I1009" s="1073">
        <f t="shared" si="204"/>
        <v>12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17</v>
      </c>
    </row>
    <row r="1010" spans="9:17" ht="13.9" x14ac:dyDescent="0.4">
      <c r="I1010" s="1073">
        <f t="shared" si="204"/>
        <v>13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17</v>
      </c>
    </row>
    <row r="1011" spans="9:17" ht="13.9" x14ac:dyDescent="0.4">
      <c r="I1011" s="1073">
        <f t="shared" si="204"/>
        <v>14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17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15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17</v>
      </c>
    </row>
    <row r="1017" spans="9:17" ht="13.9" x14ac:dyDescent="0.4">
      <c r="I1017" s="1073">
        <f t="shared" ref="I1017:I1025" si="207">IF($A$1=17,I1016+1,0)</f>
        <v>16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17</v>
      </c>
    </row>
    <row r="1018" spans="9:17" ht="13.9" x14ac:dyDescent="0.4">
      <c r="I1018" s="1073">
        <f t="shared" si="207"/>
        <v>17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17</v>
      </c>
    </row>
    <row r="1019" spans="9:17" ht="13.9" x14ac:dyDescent="0.4">
      <c r="I1019" s="1073">
        <f t="shared" si="207"/>
        <v>18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17</v>
      </c>
    </row>
    <row r="1020" spans="9:17" ht="13.9" x14ac:dyDescent="0.4">
      <c r="I1020" s="1073">
        <f t="shared" si="207"/>
        <v>19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17</v>
      </c>
    </row>
    <row r="1021" spans="9:17" ht="13.9" x14ac:dyDescent="0.4">
      <c r="I1021" s="1073">
        <f t="shared" si="207"/>
        <v>20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17</v>
      </c>
    </row>
    <row r="1022" spans="9:17" ht="13.9" x14ac:dyDescent="0.4">
      <c r="I1022" s="1073">
        <f t="shared" si="207"/>
        <v>21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17</v>
      </c>
    </row>
    <row r="1023" spans="9:17" ht="13.9" x14ac:dyDescent="0.4">
      <c r="I1023" s="1073">
        <f t="shared" si="207"/>
        <v>22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17</v>
      </c>
    </row>
    <row r="1024" spans="9:17" ht="13.9" x14ac:dyDescent="0.4">
      <c r="I1024" s="1073">
        <f t="shared" si="207"/>
        <v>23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17</v>
      </c>
    </row>
    <row r="1025" spans="9:17" ht="13.9" x14ac:dyDescent="0.4">
      <c r="I1025" s="1073">
        <f t="shared" si="207"/>
        <v>24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17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25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17</v>
      </c>
    </row>
    <row r="1031" spans="9:17" ht="13.9" x14ac:dyDescent="0.4">
      <c r="I1031" s="1073">
        <f>IF($A$1=17,I1030+1,0)</f>
        <v>26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17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27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17</v>
      </c>
    </row>
    <row r="1037" spans="9:17" ht="13.9" x14ac:dyDescent="0.4">
      <c r="I1037" s="1073">
        <f t="shared" ref="I1037:I1042" si="210">IF($A$1=17,I1036+1,0)</f>
        <v>28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17</v>
      </c>
    </row>
    <row r="1038" spans="9:17" ht="13.9" x14ac:dyDescent="0.4">
      <c r="I1038" s="1073">
        <f t="shared" si="210"/>
        <v>29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17</v>
      </c>
    </row>
    <row r="1039" spans="9:17" ht="13.9" x14ac:dyDescent="0.4">
      <c r="I1039" s="1073">
        <f t="shared" si="210"/>
        <v>30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17</v>
      </c>
    </row>
    <row r="1040" spans="9:17" ht="13.9" x14ac:dyDescent="0.4">
      <c r="I1040" s="1073">
        <f t="shared" si="210"/>
        <v>31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17</v>
      </c>
    </row>
    <row r="1041" spans="9:17" ht="13.9" x14ac:dyDescent="0.4">
      <c r="I1041" s="1073">
        <f t="shared" si="210"/>
        <v>32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17</v>
      </c>
    </row>
    <row r="1042" spans="9:17" ht="13.9" x14ac:dyDescent="0.4">
      <c r="I1042" s="1073">
        <f t="shared" si="210"/>
        <v>33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17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34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17</v>
      </c>
    </row>
    <row r="1048" spans="9:17" ht="13.9" x14ac:dyDescent="0.4">
      <c r="I1048" s="1073">
        <f t="shared" ref="I1048:I1053" si="213">IF($A$1=17,I1047+1,0)</f>
        <v>35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17</v>
      </c>
    </row>
    <row r="1049" spans="9:17" ht="13.9" x14ac:dyDescent="0.4">
      <c r="I1049" s="1073">
        <f t="shared" si="213"/>
        <v>36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17</v>
      </c>
    </row>
    <row r="1050" spans="9:17" ht="13.9" x14ac:dyDescent="0.4">
      <c r="I1050" s="1073">
        <f t="shared" si="213"/>
        <v>37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17</v>
      </c>
    </row>
    <row r="1051" spans="9:17" ht="13.9" x14ac:dyDescent="0.4">
      <c r="I1051" s="1073">
        <f t="shared" si="213"/>
        <v>38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17</v>
      </c>
    </row>
    <row r="1052" spans="9:17" ht="13.9" x14ac:dyDescent="0.4">
      <c r="I1052" s="1073">
        <f t="shared" si="213"/>
        <v>39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17</v>
      </c>
    </row>
    <row r="1053" spans="9:17" ht="13.9" x14ac:dyDescent="0.4">
      <c r="I1053" s="1073">
        <f t="shared" si="213"/>
        <v>40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17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13. Details of Chemicals Applied, Rice, FullPage Hybrid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Preface</v>
      </c>
      <c r="B6" s="104" t="e">
        <f>Seed_Chemical!#REF!</f>
        <v>#REF!</v>
      </c>
      <c r="C6" s="104" t="str">
        <f>Seed_Chemical!C14</f>
        <v>oz</v>
      </c>
      <c r="D6" s="96">
        <f>Seed_Chemical!D14</f>
        <v>3.3203125</v>
      </c>
      <c r="E6" s="96">
        <f>Seed_Chemical!E14</f>
        <v>5</v>
      </c>
      <c r="F6" s="96">
        <f>Seed_Chemical!F14</f>
        <v>16.6015625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Preface</v>
      </c>
      <c r="B8" s="104" t="e">
        <f>Seed_Chemical!#REF!</f>
        <v>#REF!</v>
      </c>
      <c r="C8" s="104" t="str">
        <f>Seed_Chemical!C16</f>
        <v>oz</v>
      </c>
      <c r="D8" s="96">
        <f>Seed_Chemical!D16</f>
        <v>3.3203125</v>
      </c>
      <c r="E8" s="96">
        <f>Seed_Chemical!E16</f>
        <v>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Prowl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0.3633984375</v>
      </c>
      <c r="E9" s="96">
        <f>Seed_Chemical!E17</f>
        <v>33.6</v>
      </c>
      <c r="F9" s="96">
        <f>Seed_Chemical!F17</f>
        <v>12.2101875</v>
      </c>
      <c r="G9" s="106" t="e">
        <f>Seed_Chemical!#REF!</f>
        <v>#REF!</v>
      </c>
    </row>
    <row r="10" spans="1:7" ht="13.9" x14ac:dyDescent="0.4">
      <c r="A10" s="96" t="str">
        <f>Seed_Chemical!A18</f>
        <v>Permit Plus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17.254999999999999</v>
      </c>
      <c r="E10" s="96">
        <f>Seed_Chemical!E18</f>
        <v>0.75</v>
      </c>
      <c r="F10" s="96">
        <f>Seed_Chemical!F18</f>
        <v>12.94125</v>
      </c>
      <c r="G10" s="106" t="e">
        <f>Seed_Chemical!#REF!</f>
        <v>#REF!</v>
      </c>
    </row>
    <row r="11" spans="1:7" ht="13.9" x14ac:dyDescent="0.4">
      <c r="A11" s="96" t="str">
        <f>Seed_Chemical!A19</f>
        <v>Postscript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3.39</v>
      </c>
      <c r="E11" s="96">
        <f>Seed_Chemical!E19</f>
        <v>5</v>
      </c>
      <c r="F11" s="96">
        <f>Seed_Chemical!F19</f>
        <v>16.95</v>
      </c>
      <c r="G11" s="106" t="e">
        <f>Seed_Chemical!#REF!</f>
        <v>#REF!</v>
      </c>
    </row>
    <row r="12" spans="1:7" ht="13.9" x14ac:dyDescent="0.4">
      <c r="A12" s="96" t="str">
        <f>Seed_Chemical!A20</f>
        <v>Basagran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0.67046874999999995</v>
      </c>
      <c r="E12" s="96">
        <f>Seed_Chemical!E20</f>
        <v>24</v>
      </c>
      <c r="F12" s="96">
        <f>Seed_Chemical!F20</f>
        <v>16.091249999999999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109.0248125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Tilt 3.6 EC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0.72</v>
      </c>
      <c r="E36" s="96">
        <f>Seed_Chemical!E44</f>
        <v>8</v>
      </c>
      <c r="F36" s="96">
        <f>Seed_Chemical!F44</f>
        <v>5.76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5.76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13. Details of Chemicals Applied, Rice, FullPage Hybrid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Preface</v>
      </c>
      <c r="B6" s="104" t="e">
        <f>Seed_Chemical!#REF!</f>
        <v>#REF!</v>
      </c>
      <c r="C6" s="104" t="str">
        <f>Seed_Chemical!C14</f>
        <v>oz</v>
      </c>
      <c r="D6" s="96">
        <f>Seed_Chemical!D14</f>
        <v>3.3203125</v>
      </c>
      <c r="E6" s="96">
        <f>Seed_Chemical!E14</f>
        <v>5</v>
      </c>
      <c r="F6" s="96">
        <f>Seed_Chemical!F14</f>
        <v>16.6015625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Preface</v>
      </c>
      <c r="B8" s="104" t="e">
        <f>Seed_Chemical!#REF!</f>
        <v>#REF!</v>
      </c>
      <c r="C8" s="104" t="str">
        <f>Seed_Chemical!C16</f>
        <v>oz</v>
      </c>
      <c r="D8" s="96">
        <f>Seed_Chemical!D16</f>
        <v>3.3203125</v>
      </c>
      <c r="E8" s="96">
        <f>Seed_Chemical!E16</f>
        <v>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Prowl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0.3633984375</v>
      </c>
      <c r="E9" s="96">
        <f>Seed_Chemical!E17</f>
        <v>33.6</v>
      </c>
      <c r="F9" s="96">
        <f>Seed_Chemical!F17</f>
        <v>12.2101875</v>
      </c>
      <c r="G9" s="106" t="e">
        <f>Seed_Chemical!#REF!</f>
        <v>#REF!</v>
      </c>
    </row>
    <row r="10" spans="1:7" ht="13.9" x14ac:dyDescent="0.4">
      <c r="A10" s="96" t="str">
        <f>Seed_Chemical!A18</f>
        <v>Permit Plus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17.254999999999999</v>
      </c>
      <c r="E10" s="96">
        <f>Seed_Chemical!E18</f>
        <v>0.75</v>
      </c>
      <c r="F10" s="96">
        <f>Seed_Chemical!F18</f>
        <v>12.94125</v>
      </c>
      <c r="G10" s="106" t="e">
        <f>Seed_Chemical!#REF!</f>
        <v>#REF!</v>
      </c>
    </row>
    <row r="11" spans="1:7" ht="13.9" x14ac:dyDescent="0.4">
      <c r="A11" s="96" t="str">
        <f>Seed_Chemical!A19</f>
        <v>Postscript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3.39</v>
      </c>
      <c r="E11" s="96">
        <f>Seed_Chemical!E19</f>
        <v>5</v>
      </c>
      <c r="F11" s="96">
        <f>Seed_Chemical!F19</f>
        <v>16.95</v>
      </c>
      <c r="G11" s="106" t="e">
        <f>Seed_Chemical!#REF!</f>
        <v>#REF!</v>
      </c>
    </row>
    <row r="12" spans="1:7" ht="13.9" x14ac:dyDescent="0.4">
      <c r="A12" s="96" t="str">
        <f>Seed_Chemical!A20</f>
        <v>Basagran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0.67046874999999995</v>
      </c>
      <c r="E12" s="96">
        <f>Seed_Chemical!E20</f>
        <v>24</v>
      </c>
      <c r="F12" s="96">
        <f>Seed_Chemical!F20</f>
        <v>16.091249999999999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109.0248125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5.76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