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3" documentId="8_{5D713435-ADEE-409C-A8FA-FA293CBF082C}" xr6:coauthVersionLast="47" xr6:coauthVersionMax="47" xr10:uidLastSave="{1FBCCDE1-102C-417F-920D-98010AB8AB70}"/>
  <bookViews>
    <workbookView xWindow="44670" yWindow="1470" windowWidth="17505" windowHeight="12525" firstSheet="22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<sst xmlns="http://schemas.openxmlformats.org/spreadsheetml/2006/main" count="8711" uniqueCount="1245">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</sst>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170</v>
      </c>
      <c r="Q2" s="1177">
        <f>P2</f>
        <v>170</v>
      </c>
      <c r="R2" s="650">
        <v>220</v>
      </c>
      <c r="S2" s="1177">
        <f>IF(Irrigation!$B$2&lt;3,(Q2*$Q$36)+(R2*$R$36),A1_Link!Q2)</f>
        <v>193.36018302798851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170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170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87.5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170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170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87.5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986</v>
      </c>
      <c r="L6" s="182"/>
      <c r="M6" s="1190"/>
      <c r="N6" s="3"/>
      <c r="O6" s="648" t="s">
        <v>481</v>
      </c>
      <c r="P6" s="1181">
        <f>Budget!F6</f>
        <v>175</v>
      </c>
      <c r="Q6" s="1177">
        <f t="shared" ref="Q6:Q26" si="0">P6</f>
        <v>175</v>
      </c>
      <c r="R6" s="650">
        <v>125.73</v>
      </c>
      <c r="S6" s="1177">
        <f>IF(Irrigation!$B$2&lt;3,(Q6*$Q$36)+(R6*$R$36),A1_Link!Q6)</f>
        <v>151.98087564422011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743.14902509678723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175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159.34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666.00313778719749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13.076527215781466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9.43</v>
      </c>
      <c r="AI9" s="3"/>
    </row>
    <row r="10" spans="2:35" ht="13.9" x14ac:dyDescent="0.4">
      <c r="B10" s="1185" t="s">
        <v>494</v>
      </c>
      <c r="C10" s="1186">
        <f>SUM(Budget!F14:F18)</f>
        <v>126.660875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9.43</v>
      </c>
      <c r="Q10" s="1177">
        <f t="shared" si="0"/>
        <v>9.43</v>
      </c>
      <c r="R10" s="650">
        <v>22.159999999999997</v>
      </c>
      <c r="S10" s="1177">
        <f>IF(Irrigation!$B$2&lt;3,(Q10*$Q$36)+(R10*$R$36),A1_Link!Q10)</f>
        <v>15.377502598925878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170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106.3005625</v>
      </c>
      <c r="AI10" s="3"/>
    </row>
    <row r="11" spans="2:35" ht="13.9" x14ac:dyDescent="0.4">
      <c r="B11" s="1185" t="s">
        <v>225</v>
      </c>
      <c r="C11" s="1186">
        <f>SUM(Budget!F20:F23)</f>
        <v>99</v>
      </c>
      <c r="D11" s="3"/>
      <c r="E11" s="1190"/>
      <c r="F11" s="1185" t="s">
        <v>223</v>
      </c>
      <c r="G11" s="1186">
        <f>C8</f>
        <v>175</v>
      </c>
      <c r="H11" s="3"/>
      <c r="I11" s="1190"/>
      <c r="J11" s="648" t="s">
        <v>789</v>
      </c>
      <c r="K11" s="665">
        <f>K30+SUM(K32:K35)</f>
        <v>99.067168811085509</v>
      </c>
      <c r="L11" s="182">
        <v>58.670258247720405</v>
      </c>
      <c r="M11" s="1190"/>
      <c r="N11" s="3"/>
      <c r="O11" s="648" t="s">
        <v>183</v>
      </c>
      <c r="P11" s="1181">
        <f>Budget!F14</f>
        <v>106.3005625</v>
      </c>
      <c r="Q11" s="1177">
        <f t="shared" si="0"/>
        <v>106.3005625</v>
      </c>
      <c r="R11" s="650">
        <v>23.8</v>
      </c>
      <c r="S11" s="1177">
        <f>IF(Irrigation!$B$2&lt;3,(Q11*$Q$36)+(R11*$R$36),A1_Link!Q11)</f>
        <v>67.755997701759867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170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159.34</v>
      </c>
      <c r="H12" s="3"/>
      <c r="I12" s="1190"/>
      <c r="J12" s="648" t="s">
        <v>790</v>
      </c>
      <c r="K12" s="664">
        <f>SUM(K36:K37)</f>
        <v>112.795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170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11.3203125</v>
      </c>
      <c r="AI12" s="3"/>
    </row>
    <row r="13" spans="2:35" ht="13.9" x14ac:dyDescent="0.4">
      <c r="B13" s="1185" t="s">
        <v>779</v>
      </c>
      <c r="C13" s="1186">
        <f>Budget!F25+Budget!F27</f>
        <v>18.184789253362901</v>
      </c>
      <c r="D13" s="3"/>
      <c r="E13" s="1190"/>
      <c r="F13" s="1185" t="s">
        <v>494</v>
      </c>
      <c r="G13" s="1186">
        <f t="shared" si="2"/>
        <v>126.660875</v>
      </c>
      <c r="H13" s="3"/>
      <c r="I13" s="1190"/>
      <c r="J13" s="652" t="s">
        <v>168</v>
      </c>
      <c r="K13" s="173">
        <f>SUM(K9:K12)-K7</f>
        <v>909.86530659828293</v>
      </c>
      <c r="L13" s="182"/>
      <c r="M13" s="1190"/>
      <c r="N13" s="3"/>
      <c r="O13" s="648" t="s">
        <v>91</v>
      </c>
      <c r="P13" s="1181">
        <f>SUM(Budget!F16:F18)</f>
        <v>11.3203125</v>
      </c>
      <c r="Q13" s="1177">
        <f t="shared" si="0"/>
        <v>11.3203125</v>
      </c>
      <c r="R13" s="650">
        <v>0</v>
      </c>
      <c r="S13" s="1177">
        <f>IF(Irrigation!$B$2&lt;3,(Q13*$Q$36)+(R13*$R$36),A1_Link!Q13)</f>
        <v>6.0314210613194721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112.795</v>
      </c>
      <c r="Z13" s="650">
        <f>SUM(Y7:Y13)-Y5</f>
        <v>909.86530659828293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99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99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99</v>
      </c>
      <c r="Q14" s="1177">
        <f t="shared" si="0"/>
        <v>99</v>
      </c>
      <c r="R14" s="650">
        <v>7.0000000000000009</v>
      </c>
      <c r="S14" s="1177">
        <f>IF(Irrigation!$B$2&lt;3,(Q14*$Q$36)+(R14*$R$36),A1_Link!Q14)</f>
        <v>56.017263228501108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9.3400349676486165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76.134693401717072</v>
      </c>
      <c r="L15" s="182"/>
      <c r="M15" s="1190"/>
      <c r="N15" s="3"/>
      <c r="O15" s="648" t="s">
        <v>424</v>
      </c>
      <c r="P15" s="1181">
        <f>Budget!F25</f>
        <v>9.3400349676486165</v>
      </c>
      <c r="Q15" s="1177">
        <f t="shared" si="0"/>
        <v>9.3400349676486165</v>
      </c>
      <c r="R15" s="650">
        <v>10.547472063880164</v>
      </c>
      <c r="S15" s="1177">
        <f>IF(Irrigation!$B$2&lt;3,(Q15*$Q$36)+(R15*$R$36),A1_Link!Q15)</f>
        <v>9.9041539989036558</v>
      </c>
      <c r="T15" s="650"/>
      <c r="U15" s="1190"/>
      <c r="V15" s="3"/>
      <c r="W15" s="3"/>
      <c r="X15" s="648" t="s">
        <v>584</v>
      </c>
      <c r="Y15" s="650">
        <f>Budget!F48</f>
        <v>141.806897045955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8.0376004777544043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18.184789253362901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8.0376004777544043</v>
      </c>
      <c r="Q16" s="1177">
        <f t="shared" si="0"/>
        <v>8.0376004777544043</v>
      </c>
      <c r="R16" s="650">
        <v>9.3388892486480266</v>
      </c>
      <c r="S16" s="1177">
        <f>IF(Irrigation!$B$2&lt;3,(Q16*$Q$36)+(R16*$R$36),A1_Link!Q16)</f>
        <v>8.64556735496123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39.843078728865457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229.10337194639649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7.0903448522977506</v>
      </c>
      <c r="Z17" s="650">
        <f>SUM(Y15:Y17)</f>
        <v>229.10337194639649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13.076527215781466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1138.9686785446795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33.647562866438584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39.843078728865457</v>
      </c>
      <c r="H20" s="3"/>
      <c r="I20" s="1190"/>
      <c r="J20" s="308" t="s">
        <v>761</v>
      </c>
      <c r="K20" s="173">
        <f>(K3*K4*K5)-K14-K18</f>
        <v>-152.96867854467951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110.5</v>
      </c>
      <c r="D21" s="3"/>
      <c r="E21" s="1190"/>
      <c r="F21" s="1185" t="s">
        <v>214</v>
      </c>
      <c r="G21" s="1186">
        <f t="shared" si="2"/>
        <v>13.076527215781466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2.2949999999999999</v>
      </c>
      <c r="D22" s="3"/>
      <c r="E22" s="1190"/>
      <c r="F22" s="1185" t="s">
        <v>784</v>
      </c>
      <c r="G22" s="1186">
        <f>SUM(G11:G21)*(0.0475/2)</f>
        <v>18.131290163631302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175</v>
      </c>
      <c r="L23" s="1251">
        <v>1</v>
      </c>
      <c r="M23" s="1190"/>
      <c r="N23" s="3"/>
      <c r="O23" s="648" t="s">
        <v>214</v>
      </c>
      <c r="P23" s="1181">
        <f>Budget!F33</f>
        <v>65.352277215781456</v>
      </c>
      <c r="Q23" s="1177">
        <f t="shared" si="0"/>
        <v>65.352277215781456</v>
      </c>
      <c r="R23" s="650">
        <v>11.817977438585899</v>
      </c>
      <c r="S23" s="1177">
        <f>IF(Irrigation!$B$2&lt;3,(Q23*$Q$36)+(R23*$R$36),A1_Link!Q23)</f>
        <v>40.340856394371585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65.352277215781456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112.795</v>
      </c>
      <c r="H24" s="3"/>
      <c r="I24" s="1190"/>
      <c r="J24" s="1185" t="s">
        <v>224</v>
      </c>
      <c r="K24" s="1249">
        <f t="shared" ref="K24:K38" si="3">C9*L24</f>
        <v>159.34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141.806897045955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126.660875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99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33.647562866438584</v>
      </c>
      <c r="AI26" s="650">
        <f>SUM(AH3:AH26)</f>
        <v>817.34605659828298</v>
      </c>
    </row>
    <row r="27" spans="2:35" ht="13.9" x14ac:dyDescent="0.4">
      <c r="B27" s="648" t="s">
        <v>585</v>
      </c>
      <c r="C27" s="664">
        <f>Budget!F50</f>
        <v>7.0903448522977506</v>
      </c>
      <c r="D27" s="3"/>
      <c r="E27" s="1190"/>
      <c r="F27" s="648" t="s">
        <v>997</v>
      </c>
      <c r="G27" s="1186">
        <f>C25+C26</f>
        <v>222.01302709409873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33.647562866438584</v>
      </c>
      <c r="Q27" s="1177">
        <f>P27</f>
        <v>33.647562866438584</v>
      </c>
      <c r="R27" s="650">
        <v>10.240138351206717</v>
      </c>
      <c r="S27" s="1177">
        <f>IF(Irrigation!$B$2&lt;3,(Q27*$Q$36)+(R27*$R$36),A1_Link!Q27)</f>
        <v>22.71152844864574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68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7.0903448522977506</v>
      </c>
      <c r="H28" s="3"/>
      <c r="I28" s="1190"/>
      <c r="J28" s="1185" t="s">
        <v>779</v>
      </c>
      <c r="K28" s="1249">
        <f t="shared" si="3"/>
        <v>18.184789253362901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68</v>
      </c>
      <c r="Q28" s="1177">
        <f>P28</f>
        <v>68</v>
      </c>
      <c r="R28" s="650">
        <v>41.8</v>
      </c>
      <c r="S28" s="1177">
        <f>IF(Irrigation!$B$2&lt;3,(Q28*$Q$36)+(R28*$R$36),A1_Link!Q28)</f>
        <v>55.759264093334011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42.5</v>
      </c>
      <c r="AI28" s="3"/>
    </row>
    <row r="29" spans="2:35" ht="13.9" x14ac:dyDescent="0.4">
      <c r="B29" s="652" t="s">
        <v>777</v>
      </c>
      <c r="C29" s="173">
        <f>SUM(C8:C14)</f>
        <v>666.00313778719749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42.5</v>
      </c>
      <c r="Q29" s="1177">
        <f>P29</f>
        <v>42.5</v>
      </c>
      <c r="R29" s="650">
        <v>55</v>
      </c>
      <c r="S29" s="1177">
        <f>IF(Irrigation!$B$2&lt;3,(Q29*$Q$36)+(R29*$R$36),A1_Link!Q29)</f>
        <v>48.340045756997128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2.2949999999999999</v>
      </c>
      <c r="AI29" s="3"/>
    </row>
    <row r="30" spans="2:35" ht="13.9" x14ac:dyDescent="0.4">
      <c r="B30" s="652" t="s">
        <v>640</v>
      </c>
      <c r="C30" s="173">
        <f>SUM(C8:C18)</f>
        <v>763.42274373184432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2.2949999999999999</v>
      </c>
      <c r="Q30" s="1177">
        <f>P30</f>
        <v>2.2949999999999999</v>
      </c>
      <c r="R30" s="650">
        <v>2.2000000000000002</v>
      </c>
      <c r="S30" s="1177">
        <f>IF(Irrigation!$B$2&lt;3,(Q30*$Q$36)+(R30*$R$36),A1_Link!Q30)</f>
        <v>2.2506156522468217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909.86530659828281</v>
      </c>
      <c r="D31" s="3"/>
      <c r="E31" s="1190"/>
      <c r="F31" s="1308">
        <f>SUM(C8:C22)</f>
        <v>909.86530659828281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962.14105659828294</v>
      </c>
      <c r="P31" s="1178">
        <f>SUM(P6:P30)-IF(A2_Budget_Look_Up!B7&gt;0,P4,0)</f>
        <v>962.14105659828294</v>
      </c>
      <c r="Q31" s="1178">
        <f>SUM(Q6:Q30)-IF(A2_Budget_Look_Up!B7&gt;0,Q4,0)</f>
        <v>962.14105659828294</v>
      </c>
      <c r="R31" s="1178">
        <f>SUM(R6:R30)-IF(A2_Budget_Look_Up!B7&gt;0,R4,0)</f>
        <v>540.40385840201589</v>
      </c>
      <c r="S31" s="1179">
        <f>SUM(S6:S30)-IF(A2_Budget_Look_Up!B7&gt;0,S4,0)</f>
        <v>765.10389380676543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141.806897045955</v>
      </c>
      <c r="AI31" s="3"/>
    </row>
    <row r="32" spans="2:35" ht="13.9" x14ac:dyDescent="0.4">
      <c r="B32" s="173" t="s">
        <v>249</v>
      </c>
      <c r="C32" s="173">
        <f>SUM(C25:C27)</f>
        <v>229.10337194639649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39.843078728865457</v>
      </c>
      <c r="L32" s="1251">
        <v>1</v>
      </c>
      <c r="M32" s="1190"/>
      <c r="N32" s="183"/>
      <c r="O32" s="648" t="s">
        <v>123</v>
      </c>
      <c r="P32" s="1181">
        <f>Budget!F48</f>
        <v>141.806897045955</v>
      </c>
      <c r="Q32" s="1177">
        <f>P32</f>
        <v>141.806897045955</v>
      </c>
      <c r="R32" s="650">
        <v>62.654368717931924</v>
      </c>
      <c r="S32" s="1177">
        <f>IF(Irrigation!$B$2&lt;3,(Q32*$Q$36)+(R32*$R$36),A1_Link!Q32)</f>
        <v>104.82654606854167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1138.9686785446793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13.076527215781466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7.0903448522977506</v>
      </c>
      <c r="AI33" s="3"/>
    </row>
    <row r="34" spans="2:35" ht="13.9" x14ac:dyDescent="0.4">
      <c r="B34" s="308" t="s">
        <v>761</v>
      </c>
      <c r="C34" s="173">
        <f>(C3*C4*C5)-C23-C33</f>
        <v>-152.96867854467928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33.647562866438584</v>
      </c>
      <c r="L34" s="1251">
        <v>1</v>
      </c>
      <c r="M34" s="1190"/>
      <c r="N34" s="182"/>
      <c r="O34" s="648" t="s">
        <v>491</v>
      </c>
      <c r="P34" s="1181">
        <f>Budget!F50</f>
        <v>7.0903448522977506</v>
      </c>
      <c r="Q34" s="1177">
        <f>P34</f>
        <v>7.0903448522977506</v>
      </c>
      <c r="R34" s="650">
        <v>7.4094979429835393</v>
      </c>
      <c r="S34" s="1177">
        <f>IF(Irrigation!$B$2&lt;3,(Q34*$Q$36)+(R34*$R$36),A1_Link!Q34)</f>
        <v>7.2394543445451154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229.10337194639649</v>
      </c>
      <c r="Q35" s="1178">
        <f>SUM(Q32:Q34)</f>
        <v>229.10337194639649</v>
      </c>
      <c r="R35" s="1178">
        <f>SUM(R32:R34)</f>
        <v>81.504477372818926</v>
      </c>
      <c r="S35" s="1179">
        <f>SUM(S32:S34)</f>
        <v>160.14462810704541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110.5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-173.24442854467944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2.2949999999999999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141.806897045955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7.0903448522977506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41. Machine Capital Recovery and Operating Costs, Rice, MaxAce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>
        <f>IF(Trips!G42&gt;0,Trips!G42," ")</f>
        <v>6.3732711408224594</v>
      </c>
      <c r="C43" s="96">
        <f>IF(Trips!H42&gt;0,Trips!H42," ")</f>
        <v>0.56817593694002566</v>
      </c>
      <c r="D43" s="96">
        <f>IF(Trips!I42&gt;0,Trips!I42," ")</f>
        <v>1.2584889705882354</v>
      </c>
      <c r="E43" s="96">
        <f>IF(Trips!J42&gt;0,Trips!J42," ")</f>
        <v>0.77966544117647063</v>
      </c>
      <c r="F43" s="96">
        <f>IF(Trips!K42&gt;0,Trips!K42," ")</f>
        <v>8.9796014895271909</v>
      </c>
      <c r="G43" s="528">
        <f>IF(Machine!B52&gt;0,Machine!B52," ")</f>
        <v>1</v>
      </c>
      <c r="H43" s="97">
        <f>IF(Machine!B52&gt;0,Machine!D52," ")</f>
        <v>32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41. Machine Capital Recovery and Operating Costs, Rice, MaxAce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1</v>
      </c>
      <c r="T52" s="89">
        <f>J52*O52*S52</f>
        <v>1.7232873904195809</v>
      </c>
      <c r="U52" s="89">
        <f>(((P52-(AQ52*P52))*AS52)+(AR52*(AQ52*P52)))/AO52</f>
        <v>75.989555598878766</v>
      </c>
      <c r="V52" s="89">
        <f>U52*O52*S52</f>
        <v>3.8413837848697905</v>
      </c>
      <c r="W52" s="1144">
        <f t="shared" si="7"/>
        <v>0.27691779641544118</v>
      </c>
      <c r="X52" s="1144">
        <f t="shared" si="7"/>
        <v>0.27691779641544118</v>
      </c>
      <c r="Y52" s="1144">
        <f t="shared" si="7"/>
        <v>0.25476437270220587</v>
      </c>
      <c r="Z52" s="1136">
        <f t="shared" si="8"/>
        <v>6.3732711408224594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0.21812115752826097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0.35005477941176472</v>
      </c>
      <c r="AG52" s="229">
        <f>0.044*R52</f>
        <v>10.119999999999999</v>
      </c>
      <c r="AH52" s="89">
        <f>AG52*O52*$AI$11*S52</f>
        <v>1.2584889705882354</v>
      </c>
      <c r="AI52" s="89">
        <f>AH52*0.1</f>
        <v>0.12584889705882354</v>
      </c>
      <c r="AJ52" s="89">
        <f>AH52</f>
        <v>1.2584889705882354</v>
      </c>
      <c r="AK52" s="227">
        <f>EquipmentSpecs!L52</f>
        <v>1.04</v>
      </c>
      <c r="AL52" s="226">
        <f>O52*S52*AK52</f>
        <v>5.2573529411764706E-2</v>
      </c>
      <c r="AM52" s="230">
        <f>AL52*$AL$11</f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17.705841381387696</v>
      </c>
      <c r="U56" s="17"/>
      <c r="V56" s="257">
        <f>SUM(V14:V54)</f>
        <v>26.182033347273908</v>
      </c>
      <c r="W56" s="1147"/>
      <c r="X56" s="1147">
        <f>Z56-(T56+V56)</f>
        <v>6.5086216161216797</v>
      </c>
      <c r="Y56" s="1148">
        <f>(Z56-(T56+V56))/(T56+V56)</f>
        <v>0.14830113456988911</v>
      </c>
      <c r="Z56" s="257">
        <f>SUM(Z14:Z54)</f>
        <v>50.39649634478328</v>
      </c>
      <c r="AA56" s="17"/>
      <c r="AB56" s="17"/>
      <c r="AC56" s="257">
        <f>SUM(AC14:AC54)</f>
        <v>5.5754586284664933</v>
      </c>
      <c r="AD56" s="258"/>
      <c r="AE56" s="17"/>
      <c r="AF56" s="257">
        <f>SUM(AF14:AF54)</f>
        <v>2.462141849287911</v>
      </c>
      <c r="AG56" s="17"/>
      <c r="AH56" s="257">
        <f>SUM(AH14:AH54)</f>
        <v>9.3400349676486165</v>
      </c>
      <c r="AI56" s="257">
        <f>SUM(AI14:AI54)</f>
        <v>0.93400349676486183</v>
      </c>
      <c r="AJ56" s="257"/>
      <c r="AK56" s="17"/>
      <c r="AL56" s="259">
        <f>SUM(AL14:AL54)</f>
        <v>0.46990463838233565</v>
      </c>
      <c r="AM56" s="260">
        <f>SUM(AM14:AM54)</f>
        <v>6.9686857872100365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170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962.14105659828294</v>
      </c>
      <c r="C4" s="121">
        <f>SummaryReport_Verification!B32</f>
        <v>5.6596532741075469</v>
      </c>
      <c r="D4" s="121">
        <f>SummaryReport_Verification!B28</f>
        <v>23.858943401717056</v>
      </c>
      <c r="E4" s="121">
        <f>SummaryReport_Verification!B29</f>
        <v>229.10337194639649</v>
      </c>
      <c r="F4" s="121">
        <f>SummaryReport_Verification!B30</f>
        <v>1191.2444285446795</v>
      </c>
      <c r="G4" s="121">
        <f>SummaryReport_Verification!B31</f>
        <v>-205.24442854467952</v>
      </c>
      <c r="H4" s="121">
        <f>SummaryReport_Verification!B33</f>
        <v>7.0073201679098798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962.14105659828294</v>
      </c>
      <c r="C9" s="122">
        <f t="shared" si="0"/>
        <v>5.6596532741075469</v>
      </c>
      <c r="D9" s="122">
        <f t="shared" si="0"/>
        <v>23.858943401717056</v>
      </c>
      <c r="E9" s="122">
        <f t="shared" si="0"/>
        <v>229.10337194639649</v>
      </c>
      <c r="F9" s="122">
        <f t="shared" si="0"/>
        <v>1191.2444285446795</v>
      </c>
      <c r="G9" s="122">
        <f t="shared" si="0"/>
        <v>-205.24442854467952</v>
      </c>
      <c r="H9" s="122">
        <f t="shared" si="0"/>
        <v>7.0073201679098798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170</v>
      </c>
      <c r="C4" s="113"/>
      <c r="D4" s="113"/>
      <c r="E4" s="113"/>
      <c r="F4" s="113"/>
      <c r="G4" s="163">
        <f>AVERAGE(B4:F4)</f>
        <v>170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986</v>
      </c>
      <c r="C6" s="114"/>
      <c r="D6" s="114"/>
      <c r="E6" s="114"/>
      <c r="F6" s="114"/>
      <c r="G6" s="114">
        <f>AVERAGE(B6:F6)</f>
        <v>986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175</v>
      </c>
      <c r="C9" s="96"/>
      <c r="D9" s="96"/>
      <c r="E9" s="96"/>
      <c r="F9" s="96"/>
      <c r="G9" s="96">
        <f t="shared" ref="G9:G28" si="0">AVERAGE(B9:F9)</f>
        <v>175</v>
      </c>
      <c r="H9" s="1898">
        <f>G9/G$23</f>
        <v>0.21454005535718215</v>
      </c>
    </row>
    <row r="10" spans="1:8" ht="13.9" x14ac:dyDescent="0.4">
      <c r="A10" s="91" t="s">
        <v>224</v>
      </c>
      <c r="B10" s="96">
        <f>SUM(Budget!F7:F13)</f>
        <v>159.34</v>
      </c>
      <c r="C10" s="96"/>
      <c r="D10" s="96"/>
      <c r="E10" s="96"/>
      <c r="F10" s="96"/>
      <c r="G10" s="96">
        <f t="shared" si="0"/>
        <v>159.34</v>
      </c>
      <c r="H10" s="1898">
        <f>G10/G$23</f>
        <v>0.19534178526064802</v>
      </c>
    </row>
    <row r="11" spans="1:8" ht="13.9" x14ac:dyDescent="0.4">
      <c r="A11" s="91" t="str">
        <f>Budget!A14</f>
        <v>Herbicide</v>
      </c>
      <c r="B11" s="96">
        <f>Budget!F14</f>
        <v>106.3005625</v>
      </c>
      <c r="C11" s="96"/>
      <c r="D11" s="96"/>
      <c r="E11" s="96"/>
      <c r="F11" s="96"/>
      <c r="G11" s="96">
        <f t="shared" si="0"/>
        <v>106.3005625</v>
      </c>
      <c r="H11" s="1898">
        <f>SUM(G11:G14)/$G$23</f>
        <v>0.15527903505193788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11.3203125</v>
      </c>
      <c r="C13" s="96"/>
      <c r="D13" s="96"/>
      <c r="E13" s="96"/>
      <c r="F13" s="96"/>
      <c r="G13" s="96">
        <f t="shared" si="0"/>
        <v>11.3203125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99</v>
      </c>
      <c r="C15" s="96"/>
      <c r="D15" s="96"/>
      <c r="E15" s="96"/>
      <c r="F15" s="96"/>
      <c r="G15" s="96">
        <f t="shared" si="0"/>
        <v>99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18.184789253362901</v>
      </c>
      <c r="C17" s="96"/>
      <c r="D17" s="96"/>
      <c r="E17" s="96"/>
      <c r="F17" s="96"/>
      <c r="G17" s="96">
        <f t="shared" si="0"/>
        <v>18.184789253362901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666.0031377871976</v>
      </c>
      <c r="C19" s="108"/>
      <c r="D19" s="108"/>
      <c r="E19" s="108"/>
      <c r="F19" s="108"/>
      <c r="G19" s="108">
        <f>AVERAGE(B19:F19)</f>
        <v>666.0031377871976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39.843078728865457</v>
      </c>
      <c r="C21" s="96"/>
      <c r="D21" s="96"/>
      <c r="E21" s="96"/>
      <c r="F21" s="96"/>
      <c r="G21" s="96">
        <f t="shared" si="0"/>
        <v>39.843078728865457</v>
      </c>
    </row>
    <row r="22" spans="1:7" ht="13.9" x14ac:dyDescent="0.4">
      <c r="A22" s="91" t="s">
        <v>214</v>
      </c>
      <c r="B22" s="96">
        <f>Budget!F33</f>
        <v>65.352277215781456</v>
      </c>
      <c r="C22" s="96"/>
      <c r="D22" s="96"/>
      <c r="E22" s="96"/>
      <c r="F22" s="96"/>
      <c r="G22" s="96">
        <f t="shared" si="0"/>
        <v>65.352277215781456</v>
      </c>
    </row>
    <row r="23" spans="1:7" ht="13.9" x14ac:dyDescent="0.4">
      <c r="A23" s="107" t="s">
        <v>640</v>
      </c>
      <c r="B23" s="108">
        <f>SUM(Budget!F6:F18)+SUM(Budget!F20:F23)+SUM(Budget!F25:F36)</f>
        <v>815.69849373184445</v>
      </c>
      <c r="C23" s="96"/>
      <c r="D23" s="96"/>
      <c r="E23" s="96"/>
      <c r="F23" s="96"/>
      <c r="G23" s="108">
        <f t="shared" si="0"/>
        <v>815.69849373184445</v>
      </c>
    </row>
    <row r="24" spans="1:7" ht="13.9" x14ac:dyDescent="0.4">
      <c r="A24" s="91" t="s">
        <v>28</v>
      </c>
      <c r="B24" s="96">
        <f>Budget!F37</f>
        <v>33.647562866438584</v>
      </c>
      <c r="C24" s="96"/>
      <c r="D24" s="96"/>
      <c r="E24" s="96"/>
      <c r="F24" s="96"/>
      <c r="G24" s="96">
        <f t="shared" si="0"/>
        <v>33.647562866438584</v>
      </c>
    </row>
    <row r="25" spans="1:7" ht="15" customHeight="1" x14ac:dyDescent="0.4">
      <c r="A25" s="91" t="s">
        <v>228</v>
      </c>
      <c r="B25" s="96">
        <f>SUM(Budget!F39:F43)</f>
        <v>112.795</v>
      </c>
      <c r="C25" s="96"/>
      <c r="D25" s="96"/>
      <c r="E25" s="96"/>
      <c r="F25" s="96"/>
      <c r="G25" s="96">
        <f t="shared" si="0"/>
        <v>112.795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962.14105659828294</v>
      </c>
      <c r="C27" s="108"/>
      <c r="D27" s="108"/>
      <c r="E27" s="108"/>
      <c r="F27" s="108"/>
      <c r="G27" s="108">
        <f t="shared" si="0"/>
        <v>962.14105659828294</v>
      </c>
    </row>
    <row r="28" spans="1:7" ht="13.5" x14ac:dyDescent="0.35">
      <c r="A28" s="107" t="s">
        <v>233</v>
      </c>
      <c r="B28" s="114">
        <f>B6-B27</f>
        <v>23.858943401717056</v>
      </c>
      <c r="C28" s="114"/>
      <c r="D28" s="114"/>
      <c r="E28" s="114"/>
      <c r="F28" s="114"/>
      <c r="G28" s="114">
        <f t="shared" si="0"/>
        <v>23.858943401717056</v>
      </c>
    </row>
    <row r="29" spans="1:7" ht="13.9" x14ac:dyDescent="0.4">
      <c r="A29" s="91" t="s">
        <v>230</v>
      </c>
      <c r="B29" s="96">
        <f>Budget!F51</f>
        <v>229.10337194639649</v>
      </c>
      <c r="C29" s="96"/>
      <c r="D29" s="96"/>
      <c r="E29" s="96"/>
      <c r="F29" s="96"/>
      <c r="G29" s="96">
        <f>AVERAGE(B29:F29)</f>
        <v>229.10337194639649</v>
      </c>
    </row>
    <row r="30" spans="1:7" ht="15.4" x14ac:dyDescent="0.35">
      <c r="A30" s="107" t="s">
        <v>753</v>
      </c>
      <c r="B30" s="108">
        <f>B27+B29</f>
        <v>1191.2444285446795</v>
      </c>
      <c r="C30" s="108"/>
      <c r="D30" s="108"/>
      <c r="E30" s="108"/>
      <c r="F30" s="108"/>
      <c r="G30" s="108">
        <f>AVERAGE(B30:F30)</f>
        <v>1191.2444285446795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-205.24442854467952</v>
      </c>
      <c r="C31" s="114"/>
      <c r="D31" s="114"/>
      <c r="E31" s="114"/>
      <c r="F31" s="114"/>
      <c r="G31" s="114">
        <f>AVERAGE(B31:F31)</f>
        <v>-205.24442854467952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5.6596532741075469</v>
      </c>
      <c r="C32" s="96"/>
      <c r="D32" s="96"/>
      <c r="E32" s="96"/>
      <c r="F32" s="96"/>
      <c r="G32" s="96">
        <f>AVERAGE(B32:F32)</f>
        <v>5.6596532741075469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7.0073201679098798</v>
      </c>
      <c r="C33" s="98"/>
      <c r="D33" s="98"/>
      <c r="E33" s="98"/>
      <c r="F33" s="98"/>
      <c r="G33" s="98">
        <f>AVERAGE(B33:F33)</f>
        <v>7.0073201679098798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41. 2026 Rice Enterprise Budget, MaxAce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170</v>
      </c>
      <c r="E3" s="307">
        <f>Budget!E3</f>
        <v>5.8</v>
      </c>
      <c r="F3" s="307">
        <f>Budget!F3</f>
        <v>986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450</v>
      </c>
      <c r="E6" s="307">
        <f>Budget!E6</f>
        <v>0.3888888888888889</v>
      </c>
      <c r="F6" s="307">
        <f>Budget!F6</f>
        <v>175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106.3005625</v>
      </c>
      <c r="F13" s="307">
        <f>Budget!F14</f>
        <v>106.3005625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11.3203125</v>
      </c>
      <c r="F15" s="307">
        <f>Budget!F16</f>
        <v>11.3203125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5</v>
      </c>
      <c r="E20" s="307">
        <f>Budget!E21</f>
        <v>10</v>
      </c>
      <c r="F20" s="307">
        <f>Budget!F21</f>
        <v>50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3.7967621819709825</v>
      </c>
      <c r="E24" s="307">
        <f>Budget!E25</f>
        <v>2.46</v>
      </c>
      <c r="F24" s="307">
        <f>Budget!F25</f>
        <v>9.3400349676486165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8.0376004777544043</v>
      </c>
      <c r="F25" s="307">
        <f>Budget!F26</f>
        <v>8.0376004777544043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4.4067617812394779</v>
      </c>
      <c r="E32" s="307">
        <f>Budget!E33</f>
        <v>14.83</v>
      </c>
      <c r="F32" s="307">
        <f>Budget!F33</f>
        <v>65.352277215781456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815.69849373184445</v>
      </c>
      <c r="F36" s="307">
        <f>Budget!F37</f>
        <v>33.647562866438584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170</v>
      </c>
      <c r="E39" s="307">
        <f>Budget!E40</f>
        <v>0.4</v>
      </c>
      <c r="F39" s="307">
        <f>Budget!F40</f>
        <v>68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170</v>
      </c>
      <c r="E40" s="307">
        <f>Budget!E41</f>
        <v>0.25</v>
      </c>
      <c r="F40" s="307">
        <f>Budget!F41</f>
        <v>42.5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170</v>
      </c>
      <c r="E41" s="307">
        <f>Budget!E42</f>
        <v>1.35E-2</v>
      </c>
      <c r="F41" s="307">
        <f>Budget!F42</f>
        <v>2.2949999999999999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952.71105659828299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33.288943401717006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141.806897045955</v>
      </c>
      <c r="F47" s="311">
        <f>Budget!F48</f>
        <v>141.806897045955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7.0903448522977506</v>
      </c>
      <c r="F49" s="311">
        <f>Budget!F50</f>
        <v>7.0903448522977506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229.10337194639649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1181.8144285446795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-195.81442854467946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MaxAce Seed</v>
      </c>
      <c r="H1" s="1246"/>
      <c r="I1" s="1442"/>
    </row>
    <row r="2" spans="1:9" ht="15" customHeight="1" x14ac:dyDescent="0.4">
      <c r="A2" s="1806" t="str">
        <f>Print_Summary!G1</f>
        <v>Rice, MaxAce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815698.49373184447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170</v>
      </c>
      <c r="C6" s="1820"/>
      <c r="D6" s="1821">
        <f>B6*Print_Summary!$I$2</f>
        <v>170000</v>
      </c>
      <c r="E6" s="1097" t="s">
        <v>797</v>
      </c>
      <c r="F6" s="1541">
        <f>B6*0.9</f>
        <v>153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986</v>
      </c>
      <c r="C9" s="1826"/>
      <c r="D9" s="1827">
        <f>B9*Print_Summary!$I$2</f>
        <v>986000</v>
      </c>
      <c r="E9" s="667" t="s">
        <v>13</v>
      </c>
      <c r="F9" s="1828">
        <f>F6*F7</f>
        <v>887.4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175</v>
      </c>
      <c r="C13" s="1835">
        <f>B13/$B$6</f>
        <v>1.0294117647058822</v>
      </c>
      <c r="D13" s="1821">
        <f>B13*Print_Summary!$I$2</f>
        <v>175000</v>
      </c>
      <c r="E13" s="4"/>
      <c r="F13" s="1824">
        <f>B13/$F$9</f>
        <v>0.19720531890917287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159.34</v>
      </c>
      <c r="C14" s="1835">
        <f t="shared" ref="C14:C34" si="0">B14/$B$6</f>
        <v>0.93729411764705883</v>
      </c>
      <c r="D14" s="1821">
        <f>B14*Print_Summary!$I$2</f>
        <v>159340</v>
      </c>
      <c r="E14" s="4"/>
      <c r="F14" s="1824">
        <f t="shared" ref="F14:F19" si="1">B14/$F$9</f>
        <v>0.17955826008564346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126.660875</v>
      </c>
      <c r="C15" s="1835">
        <f t="shared" si="0"/>
        <v>0.74506397058823537</v>
      </c>
      <c r="D15" s="1821">
        <f>B15*Print_Summary!$I$2</f>
        <v>126660.875</v>
      </c>
      <c r="E15" s="4"/>
      <c r="F15" s="1824">
        <f t="shared" si="1"/>
        <v>0.14273256141537075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99</v>
      </c>
      <c r="C16" s="1835">
        <f t="shared" si="0"/>
        <v>0.58235294117647063</v>
      </c>
      <c r="D16" s="1821">
        <f>B16*Print_Summary!$I$2</f>
        <v>99000</v>
      </c>
      <c r="E16" s="4"/>
      <c r="F16" s="1824">
        <f t="shared" si="1"/>
        <v>0.11156186612576065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18.184789253362901</v>
      </c>
      <c r="C17" s="1835">
        <f t="shared" si="0"/>
        <v>0.10696934854919353</v>
      </c>
      <c r="D17" s="1821">
        <f>B17*Print_Summary!$I$2</f>
        <v>18184.789253362902</v>
      </c>
      <c r="E17" s="4"/>
      <c r="F17" s="1824">
        <f t="shared" si="1"/>
        <v>2.0492212365745888E-2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0.51274984431667403</v>
      </c>
      <c r="D18" s="1821">
        <f>B18*Print_Summary!$I$2</f>
        <v>87167.473533834578</v>
      </c>
      <c r="E18" s="4"/>
      <c r="F18" s="1824">
        <f t="shared" si="1"/>
        <v>9.8227939524267061E-2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3.8235294117647061E-3</v>
      </c>
      <c r="D19" s="1821">
        <f>B19*Print_Summary!$I$2</f>
        <v>650</v>
      </c>
      <c r="E19" s="4"/>
      <c r="F19" s="1824">
        <f t="shared" si="1"/>
        <v>7.3247689880549924E-4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666.0031377871976</v>
      </c>
      <c r="C20" s="1836">
        <f t="shared" si="0"/>
        <v>3.9176655163952798</v>
      </c>
      <c r="D20" s="1827">
        <f>B20*Print_Summary!$I$2</f>
        <v>666003.1377871976</v>
      </c>
      <c r="E20" s="308"/>
      <c r="F20" s="1837">
        <f t="shared" ref="F20:F28" si="2">B20/$F$9</f>
        <v>0.75051063532476625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7.3529411764705885E-2</v>
      </c>
      <c r="D21" s="1821">
        <f>B21*Print_Summary!$I$2</f>
        <v>12500</v>
      </c>
      <c r="E21" s="4"/>
      <c r="F21" s="1824">
        <f t="shared" si="2"/>
        <v>1.4086094207798062E-2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0.18823529411764706</v>
      </c>
      <c r="D22" s="1821">
        <f>B22*Print_Summary!$I$2</f>
        <v>32000</v>
      </c>
      <c r="E22" s="4"/>
      <c r="F22" s="1824">
        <f t="shared" si="2"/>
        <v>3.606040117196304E-2</v>
      </c>
    </row>
    <row r="23" spans="1:6" ht="13.9" x14ac:dyDescent="0.4">
      <c r="A23" s="1834" t="s">
        <v>749</v>
      </c>
      <c r="B23" s="1835">
        <f>Budget!F26+Budget!F28+Budget!F30</f>
        <v>39.843078728865457</v>
      </c>
      <c r="C23" s="1835">
        <f t="shared" si="0"/>
        <v>0.2343710513462674</v>
      </c>
      <c r="D23" s="1821">
        <f>B23*Print_Summary!$I$2</f>
        <v>39843.078728865454</v>
      </c>
      <c r="E23" s="4"/>
      <c r="F23" s="1824">
        <f t="shared" si="2"/>
        <v>4.4898668840281111E-2</v>
      </c>
    </row>
    <row r="24" spans="1:6" ht="13.9" x14ac:dyDescent="0.4">
      <c r="A24" s="1834" t="s">
        <v>214</v>
      </c>
      <c r="B24" s="1835">
        <f>Budget!F33</f>
        <v>65.352277215781456</v>
      </c>
      <c r="C24" s="1835">
        <f t="shared" si="0"/>
        <v>0.38442516009283212</v>
      </c>
      <c r="D24" s="1821">
        <f>B24*Print_Summary!$I$2</f>
        <v>65352.277215781454</v>
      </c>
      <c r="E24" s="4"/>
      <c r="F24" s="1824">
        <f t="shared" si="2"/>
        <v>7.3644666684450591E-2</v>
      </c>
    </row>
    <row r="25" spans="1:6" ht="13.5" x14ac:dyDescent="0.35">
      <c r="A25" s="1825" t="s">
        <v>640</v>
      </c>
      <c r="B25" s="1836">
        <f>SUM(Budget!F6:F18)+SUM(Budget!F20:F23)+SUM(Budget!F25:F36)</f>
        <v>815.69849373184445</v>
      </c>
      <c r="C25" s="1836">
        <f t="shared" si="0"/>
        <v>4.7982264337167324</v>
      </c>
      <c r="D25" s="1827">
        <f>B25*Print_Summary!$I$2</f>
        <v>815698.49373184447</v>
      </c>
      <c r="E25" s="308"/>
      <c r="F25" s="1837">
        <f t="shared" si="2"/>
        <v>0.91920046622925899</v>
      </c>
    </row>
    <row r="26" spans="1:6" ht="13.9" x14ac:dyDescent="0.4">
      <c r="A26" s="1834" t="s">
        <v>28</v>
      </c>
      <c r="B26" s="1835">
        <f>Budget!F37</f>
        <v>33.647562866438584</v>
      </c>
      <c r="C26" s="1835">
        <f t="shared" si="0"/>
        <v>0.19792684039081521</v>
      </c>
      <c r="D26" s="1821">
        <f>B26*Print_Summary!$I$2</f>
        <v>33647.56286643858</v>
      </c>
      <c r="E26" s="4"/>
      <c r="F26" s="1824">
        <f t="shared" si="2"/>
        <v>3.7917019231956936E-2</v>
      </c>
    </row>
    <row r="27" spans="1:6" ht="13.9" x14ac:dyDescent="0.4">
      <c r="A27" s="1834" t="s">
        <v>228</v>
      </c>
      <c r="B27" s="1835">
        <f>SUM(Budget!F39:F43)</f>
        <v>112.795</v>
      </c>
      <c r="C27" s="1835">
        <f t="shared" si="0"/>
        <v>0.66349999999999998</v>
      </c>
      <c r="D27" s="1821">
        <f>B27*Print_Summary!$I$2</f>
        <v>112795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962.14105659828294</v>
      </c>
      <c r="C29" s="1836">
        <f t="shared" si="0"/>
        <v>5.6596532741075469</v>
      </c>
      <c r="D29" s="1827">
        <f>B29*Print_Summary!$I$2</f>
        <v>962141.056598283</v>
      </c>
      <c r="E29" s="308"/>
      <c r="F29" s="1824"/>
    </row>
    <row r="30" spans="1:6" ht="13.5" x14ac:dyDescent="0.35">
      <c r="A30" s="1825" t="s">
        <v>233</v>
      </c>
      <c r="B30" s="1826">
        <f>B9-B29-B31</f>
        <v>23.858943401717056</v>
      </c>
      <c r="C30" s="1826">
        <f t="shared" si="0"/>
        <v>0.14034672589245328</v>
      </c>
      <c r="D30" s="1827">
        <f>B30*Print_Summary!$I$2</f>
        <v>23858.943401717057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229.10337194639649</v>
      </c>
      <c r="C32" s="1835">
        <f t="shared" si="0"/>
        <v>1.3476668938023324</v>
      </c>
      <c r="D32" s="1821">
        <f>B32*Print_Summary!$I$2</f>
        <v>229103.37194639648</v>
      </c>
      <c r="E32" s="4"/>
      <c r="F32" s="1824">
        <f>B32/$F$9</f>
        <v>0.25817373444489128</v>
      </c>
    </row>
    <row r="33" spans="1:6" ht="13.5" x14ac:dyDescent="0.35">
      <c r="A33" s="1825" t="s">
        <v>650</v>
      </c>
      <c r="B33" s="1836">
        <f>B29+B32</f>
        <v>1191.2444285446795</v>
      </c>
      <c r="C33" s="1836">
        <f t="shared" si="0"/>
        <v>7.0073201679098798</v>
      </c>
      <c r="D33" s="1827">
        <f>B33*Print_Summary!$I$2</f>
        <v>1191244.4285446794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-205.24442854467952</v>
      </c>
      <c r="C34" s="1826">
        <f t="shared" si="0"/>
        <v>-1.2073201679098795</v>
      </c>
      <c r="D34" s="1827">
        <f>B34*Print_Summary!$I$2</f>
        <v>-205244.42854467951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5.6596532741075469</v>
      </c>
      <c r="C36" s="1097"/>
      <c r="D36" s="1823">
        <f>D29/D6</f>
        <v>5.6596532741075469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7.0073201679098798</v>
      </c>
      <c r="C37" s="1097"/>
      <c r="D37" s="1823">
        <f>D33/D6</f>
        <v>7.0073201679098789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41. 2026 Rice Enterprise Budget, MaxAce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45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MaxAce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41. Details of Chemicals Applied, Rice, MaxAce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41. Machine Capital Recovery and Operating Costs, Rice, MaxAce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41. 2026 Rice Enterprise Budget, MaxAce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962.14105659828294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141.806897045955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229.10337194639649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-205.24442854467952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0.1275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170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170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170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170</v>
      </c>
      <c r="J30" s="900"/>
    </row>
    <row r="31" spans="2:10" ht="12.75" customHeight="1" x14ac:dyDescent="0.4">
      <c r="B31" s="901">
        <f>IF(A2_Budget_Look_Up!B13&gt;0,Budget!D3*Budget!B41,I31)</f>
        <v>170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170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MaxAce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170</v>
      </c>
      <c r="C6" s="1822">
        <f>B6*Print_Summary!$I$2</f>
        <v>170000</v>
      </c>
      <c r="D6" s="1845"/>
      <c r="E6" s="1096">
        <f t="shared" si="0"/>
        <v>170</v>
      </c>
      <c r="F6" s="1821">
        <f t="shared" si="0"/>
        <v>170000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986</v>
      </c>
      <c r="C9" s="1829">
        <f>B9*Print_Summary!$I$2</f>
        <v>986000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175</v>
      </c>
      <c r="C13" s="1822">
        <f>B13*Print_Summary!$I$2</f>
        <v>175000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54.824999999999989</v>
      </c>
    </row>
    <row r="14" spans="1:9" ht="13.9" x14ac:dyDescent="0.4">
      <c r="A14" s="1834" t="s">
        <v>224</v>
      </c>
      <c r="B14" s="1835">
        <f>SUM(Budget!F7:F13)</f>
        <v>159.34</v>
      </c>
      <c r="C14" s="1822">
        <f>B14*Print_Summary!$I$2</f>
        <v>159340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68.551200000000009</v>
      </c>
    </row>
    <row r="15" spans="1:9" ht="13.9" x14ac:dyDescent="0.4">
      <c r="A15" s="1834" t="s">
        <v>494</v>
      </c>
      <c r="B15" s="1835">
        <f>SUM(Budget!F14:F18)</f>
        <v>126.660875</v>
      </c>
      <c r="C15" s="1822">
        <f>B15*Print_Summary!$I$2</f>
        <v>126660.875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-82.391624999999976</v>
      </c>
    </row>
    <row r="16" spans="1:9" ht="13.9" x14ac:dyDescent="0.4">
      <c r="A16" s="1834" t="s">
        <v>225</v>
      </c>
      <c r="B16" s="1835">
        <f>SUM(Budget!F20:F23)</f>
        <v>99</v>
      </c>
      <c r="C16" s="1822">
        <f>B16*Print_Summary!$I$2</f>
        <v>99000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88</v>
      </c>
    </row>
    <row r="17" spans="1:9" ht="13.9" x14ac:dyDescent="0.4">
      <c r="A17" s="1834" t="s">
        <v>462</v>
      </c>
      <c r="B17" s="1835">
        <f>Budget!F25+Budget!F27</f>
        <v>18.184789253362901</v>
      </c>
      <c r="C17" s="1822">
        <f>B17*Print_Summary!$I$2</f>
        <v>18184.789253362902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-9.8820744955341198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666.0031377871976</v>
      </c>
      <c r="C20" s="1827">
        <f>B20*Print_Summary!$I$2</f>
        <v>666003.1377871976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168.31951316612015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39.843078728865457</v>
      </c>
      <c r="C23" s="1822">
        <f>B23*Print_Summary!$I$2</f>
        <v>39843.078728865454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6.8188349248119806</v>
      </c>
    </row>
    <row r="24" spans="1:9" ht="15" customHeight="1" x14ac:dyDescent="0.4">
      <c r="A24" s="1834" t="s">
        <v>214</v>
      </c>
      <c r="B24" s="1835">
        <f>Budget!F33</f>
        <v>65.352277215781456</v>
      </c>
      <c r="C24" s="1822">
        <f>B24*Print_Summary!$I$2</f>
        <v>65352.277215781454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42.024431391302471</v>
      </c>
    </row>
    <row r="25" spans="1:9" ht="15" customHeight="1" x14ac:dyDescent="0.4">
      <c r="A25" s="1825" t="s">
        <v>640</v>
      </c>
      <c r="B25" s="1836">
        <f>SUM(Budget!F6:F18)+SUM(Budget!F20:F23)+SUM(Budget!F25:F36)</f>
        <v>815.69849373184445</v>
      </c>
      <c r="C25" s="1829">
        <f>B25*Print_Summary!$I$2</f>
        <v>815698.49373184447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237.66277948223455</v>
      </c>
    </row>
    <row r="26" spans="1:9" ht="13.9" x14ac:dyDescent="0.4">
      <c r="A26" s="1834" t="s">
        <v>28</v>
      </c>
      <c r="B26" s="1835">
        <f>Budget!F37</f>
        <v>33.647562866438584</v>
      </c>
      <c r="C26" s="1822">
        <f>B26*Print_Summary!$I$2</f>
        <v>33647.56286643858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20.095464653010346</v>
      </c>
    </row>
    <row r="27" spans="1:9" ht="13.9" x14ac:dyDescent="0.4">
      <c r="A27" s="1834" t="s">
        <v>228</v>
      </c>
      <c r="B27" s="1835">
        <f>SUM(Budget!F39:F43)</f>
        <v>112.795</v>
      </c>
      <c r="C27" s="1822">
        <f>B27*Print_Summary!$I$2</f>
        <v>112795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-31.984999999999999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962.14105659828294</v>
      </c>
      <c r="C29" s="1829">
        <f>B29*Print_Summary!$I$2</f>
        <v>962141.056598283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370.55324413524465</v>
      </c>
    </row>
    <row r="30" spans="1:9" ht="13.9" x14ac:dyDescent="0.4">
      <c r="A30" s="1825" t="s">
        <v>233</v>
      </c>
      <c r="B30" s="1826">
        <f>B9-B29-B31</f>
        <v>23.858943401717056</v>
      </c>
      <c r="C30" s="1829">
        <f>B30*Print_Summary!$I$2</f>
        <v>23858.943401717057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-164.55324413524471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229.10337194639649</v>
      </c>
      <c r="C32" s="1822">
        <f>B32*Print_Summary!$I$2</f>
        <v>229103.37194639648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50.508382008272463</v>
      </c>
    </row>
    <row r="33" spans="1:9" ht="13.9" x14ac:dyDescent="0.4">
      <c r="A33" s="1825" t="s">
        <v>650</v>
      </c>
      <c r="B33" s="1836">
        <f>B29+B32</f>
        <v>1191.2444285446795</v>
      </c>
      <c r="C33" s="1829">
        <f>B33*Print_Summary!$I$2</f>
        <v>1191244.4285446794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421.06162614351717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-205.24442854467952</v>
      </c>
      <c r="C34" s="1829">
        <f>B34*Print_Summary!$I$2</f>
        <v>-205244.42854467951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-215.06162614351723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5.6596532741075469</v>
      </c>
      <c r="C36" s="1097">
        <f>C29/C6</f>
        <v>5.6596532741075469</v>
      </c>
      <c r="D36" s="1846"/>
      <c r="E36" s="1097">
        <f>MAX(E29,0)/E6</f>
        <v>1.910294117647059E-2</v>
      </c>
      <c r="F36" s="1823">
        <f>MAX(F29,0)/F6</f>
        <v>1.910294117647059E-2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7.0073201679098798</v>
      </c>
      <c r="C37" s="1839">
        <f>C33/C6</f>
        <v>7.0073201679098789</v>
      </c>
      <c r="D37" s="1846"/>
      <c r="E37" s="1839">
        <f>MAX(E33,0)/E6</f>
        <v>1.910294117647059E-2</v>
      </c>
      <c r="F37" s="1840">
        <f>MAX(F33,0)/F6</f>
        <v>1.910294117647059E-2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-4.5609873009928782E-2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41. 2026 Rice Enterprise Budget, MaxAce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170</v>
      </c>
      <c r="E3" s="1258">
        <f>A3_Production_Look_Up!B5</f>
        <v>5.8</v>
      </c>
      <c r="F3" s="9">
        <f>IF('C1_Messages_Indicators'!B3=1,(D3*E3*B3),"Error")</f>
        <v>986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450</v>
      </c>
      <c r="E6" s="10">
        <f>Seed_Chemical!D4</f>
        <v>0.3888888888888889</v>
      </c>
      <c r="F6" s="9">
        <f t="shared" ref="F6:F11" si="0">D6*E6*B6</f>
        <v>175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0.115</v>
      </c>
      <c r="E12" s="10">
        <f>Fertilizer!E8</f>
        <v>82</v>
      </c>
      <c r="F12" s="9">
        <f>D12*E12*B12</f>
        <v>9.43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106.3005625</v>
      </c>
      <c r="F14" s="9">
        <f t="shared" si="1"/>
        <v>106.3005625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11.3203125</v>
      </c>
      <c r="F16" s="9">
        <f t="shared" si="1"/>
        <v>11.3203125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5</v>
      </c>
      <c r="E21" s="2">
        <v>10</v>
      </c>
      <c r="F21" s="9">
        <f>D21*E21*B21</f>
        <v>50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3.7967621819709825</v>
      </c>
      <c r="E25" s="18">
        <f>Irrigation!B14</f>
        <v>2.46</v>
      </c>
      <c r="F25" s="9">
        <f t="shared" ref="F25:F36" si="2">D25*E25*B25</f>
        <v>9.3400349676486165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8.0376004777544043</v>
      </c>
      <c r="F26" s="9">
        <f t="shared" si="2"/>
        <v>8.0376004777544043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4.4067617812394779</v>
      </c>
      <c r="E33" s="316">
        <v>14.83</v>
      </c>
      <c r="F33" s="9">
        <f t="shared" si="2"/>
        <v>65.352277215781456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815.69849373184445</v>
      </c>
      <c r="F37" s="9">
        <f>((D37/100)*Program_Variables!D34)*SUM(F6:F36)*B37</f>
        <v>33.647562866438584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170</v>
      </c>
      <c r="E40" s="2">
        <f>A3_Production_Look_Up!B37</f>
        <v>0.4</v>
      </c>
      <c r="F40" s="9">
        <f>D40*E40*B40</f>
        <v>68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170</v>
      </c>
      <c r="E41" s="2">
        <f>A3_Production_Look_Up!B38</f>
        <v>0.25</v>
      </c>
      <c r="F41" s="9">
        <f>D41*E41*B41</f>
        <v>42.5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170</v>
      </c>
      <c r="E42" s="1963">
        <f>A3_Production_Look_Up!B39</f>
        <v>1.35E-2</v>
      </c>
      <c r="F42" s="9">
        <f>D42*E42*B42</f>
        <v>2.2949999999999999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962.14105659828294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23.858943401717056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141.806897045955</v>
      </c>
      <c r="F48" s="9">
        <f>D48*E48</f>
        <v>141.806897045955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7.0903448522977506</v>
      </c>
      <c r="F50" s="9">
        <f>D50*E50</f>
        <v>7.0903448522977506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229.10337194639649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1191.2444285446795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-205.24442854467952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0.3888888888888889</v>
      </c>
      <c r="E4" s="1586">
        <f>A3_Production_Look_Up!B45</f>
        <v>450</v>
      </c>
      <c r="F4" s="1587">
        <f>D4*E4</f>
        <v>175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175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>
        <f>IF(A5_Chem_Look_Up!$F6&gt;0,A5_Chem_Look_Up!B6," ")</f>
        <v>0</v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>
        <f>IF(A5_Chem_Look_Up!$F7&gt;0,A5_Chem_Look_Up!B7," ")</f>
        <v>0</v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Roundup Powermax 3</v>
      </c>
      <c r="B14" s="1602">
        <f>IF(A5_Chem_Look_Up!$F8&gt;0,A5_Chem_Look_Up!B8," ")</f>
        <v>0</v>
      </c>
      <c r="C14" s="1603" t="str">
        <f>IF(A5_Chem_Look_Up!$F8&gt;0,A5_Chem_Look_Up!C8," ")</f>
        <v>oz</v>
      </c>
      <c r="D14" s="1601">
        <f>IF(A5_Chem_Look_Up!$F8&gt;0,A5_Chem_Look_Up!D8,0)</f>
        <v>0.140625</v>
      </c>
      <c r="E14" s="1586">
        <f>IF(A5_Chem_Look_Up!$F8&gt;0,A5_Chem_Look_Up!E8,0)</f>
        <v>32</v>
      </c>
      <c r="F14" s="1587">
        <f t="shared" si="0"/>
        <v>4.5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Sharpen</v>
      </c>
      <c r="B15" s="1602">
        <f>IF(A5_Chem_Look_Up!$F9&gt;0,A5_Chem_Look_Up!B9," ")</f>
        <v>0</v>
      </c>
      <c r="C15" s="1605" t="str">
        <f>IF(A5_Chem_Look_Up!$F9&gt;0,A5_Chem_Look_Up!C9," ")</f>
        <v>oz</v>
      </c>
      <c r="D15" s="1601">
        <f>IF(A5_Chem_Look_Up!$F9&gt;0,A5_Chem_Look_Up!D9,0)</f>
        <v>6.7</v>
      </c>
      <c r="E15" s="1586">
        <f>IF(A5_Chem_Look_Up!$F9&gt;0,A5_Chem_Look_Up!E9,0)</f>
        <v>3</v>
      </c>
      <c r="F15" s="1587">
        <f t="shared" si="0"/>
        <v>20.100000000000001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Highcard</v>
      </c>
      <c r="B16" s="1602">
        <f>IF(A5_Chem_Look_Up!$F10&gt;0,A5_Chem_Look_Up!B10," ")</f>
        <v>0</v>
      </c>
      <c r="C16" s="1603" t="str">
        <f>IF(A5_Chem_Look_Up!$F10&gt;0,A5_Chem_Look_Up!C10," ")</f>
        <v>oz</v>
      </c>
      <c r="D16" s="1601">
        <f>IF(A5_Chem_Look_Up!$F10&gt;0,A5_Chem_Look_Up!D10,0)</f>
        <v>0.359375</v>
      </c>
      <c r="E16" s="1586">
        <f>IF(A5_Chem_Look_Up!$F10&gt;0,A5_Chem_Look_Up!E10,0)</f>
        <v>15.5</v>
      </c>
      <c r="F16" s="1587">
        <f t="shared" si="0"/>
        <v>5.5703125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Basagran</v>
      </c>
      <c r="B17" s="1602">
        <f>IF(A5_Chem_Look_Up!$F11&gt;0,A5_Chem_Look_Up!B11," ")</f>
        <v>0</v>
      </c>
      <c r="C17" s="1603" t="str">
        <f>IF(A5_Chem_Look_Up!$F11&gt;0,A5_Chem_Look_Up!C11," ")</f>
        <v>oz</v>
      </c>
      <c r="D17" s="1601">
        <f>IF(A5_Chem_Look_Up!$F11&gt;0,A5_Chem_Look_Up!D11,0)</f>
        <v>0.67046874999999995</v>
      </c>
      <c r="E17" s="1586">
        <f>IF(A5_Chem_Look_Up!$F11&gt;0,A5_Chem_Look_Up!E11,0)</f>
        <v>32</v>
      </c>
      <c r="F17" s="1587">
        <f t="shared" si="0"/>
        <v>21.454999999999998</v>
      </c>
      <c r="G17" s="20"/>
    </row>
    <row r="18" spans="1:10" ht="12.95" customHeight="1" x14ac:dyDescent="0.35">
      <c r="A18" s="1601" t="str">
        <f>IF(A5_Chem_Look_Up!$F12&gt;0,A5_Chem_Look_Up!A12," ")</f>
        <v>Facet L</v>
      </c>
      <c r="B18" s="1602">
        <f>IF(A5_Chem_Look_Up!$F12&gt;0,A5_Chem_Look_Up!B12," ")</f>
        <v>0</v>
      </c>
      <c r="C18" s="1603" t="str">
        <f>IF(A5_Chem_Look_Up!$F12&gt;0,A5_Chem_Look_Up!C12," ")</f>
        <v>oz</v>
      </c>
      <c r="D18" s="1601">
        <f>IF(A5_Chem_Look_Up!$F12&gt;0,A5_Chem_Look_Up!D12,0)</f>
        <v>0.6640625</v>
      </c>
      <c r="E18" s="1586">
        <f>IF(A5_Chem_Look_Up!$F12&gt;0,A5_Chem_Look_Up!E12,0)</f>
        <v>16</v>
      </c>
      <c r="F18" s="1587">
        <f t="shared" si="0"/>
        <v>10.625</v>
      </c>
      <c r="G18" s="20"/>
      <c r="H18" s="989"/>
    </row>
    <row r="19" spans="1:10" ht="12.95" customHeight="1" x14ac:dyDescent="0.35">
      <c r="A19" s="1601" t="str">
        <f>IF(A5_Chem_Look_Up!$F13&gt;0,A5_Chem_Look_Up!A13," ")</f>
        <v>Highcard</v>
      </c>
      <c r="B19" s="1602">
        <f>IF(A5_Chem_Look_Up!$F13&gt;0,A5_Chem_Look_Up!B13," ")</f>
        <v>0</v>
      </c>
      <c r="C19" s="1603" t="str">
        <f>IF(A5_Chem_Look_Up!$F13&gt;0,A5_Chem_Look_Up!C13," ")</f>
        <v>oz</v>
      </c>
      <c r="D19" s="1601">
        <f>IF(A5_Chem_Look_Up!$F13&gt;0,A5_Chem_Look_Up!D13,0)</f>
        <v>0.359375</v>
      </c>
      <c r="E19" s="1586">
        <f>IF(A5_Chem_Look_Up!$F13&gt;0,A5_Chem_Look_Up!E13,0)</f>
        <v>15.5</v>
      </c>
      <c r="F19" s="1587">
        <f t="shared" si="0"/>
        <v>5.5703125</v>
      </c>
      <c r="G19" s="20"/>
      <c r="H19" s="989"/>
    </row>
    <row r="20" spans="1:10" ht="12.95" customHeight="1" x14ac:dyDescent="0.35">
      <c r="A20" s="1601" t="str">
        <f>IF(A5_Chem_Look_Up!$F14&gt;0,A5_Chem_Look_Up!A14," ")</f>
        <v>Loyant</v>
      </c>
      <c r="B20" s="1602">
        <f>IF(A5_Chem_Look_Up!$F14&gt;0,A5_Chem_Look_Up!B14," ")</f>
        <v>0</v>
      </c>
      <c r="C20" s="1603" t="str">
        <f>IF(A5_Chem_Look_Up!$F14&gt;0,A5_Chem_Look_Up!C14," ")</f>
        <v>oz</v>
      </c>
      <c r="D20" s="1601">
        <f>IF(A5_Chem_Look_Up!$F14&gt;0,A5_Chem_Look_Up!D14,0)</f>
        <v>2.1125781250000002</v>
      </c>
      <c r="E20" s="1586">
        <f>IF(A5_Chem_Look_Up!$F14&gt;0,A5_Chem_Look_Up!E14,0)</f>
        <v>12</v>
      </c>
      <c r="F20" s="1587">
        <f t="shared" si="0"/>
        <v>25.350937500000001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106.3005625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>
        <f>IF(A5_Chem_Look_Up!$F24&gt;0,A5_Chem_Look_Up!B24," ")</f>
        <v>0</v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Aframe Plus</v>
      </c>
      <c r="B44" s="1602">
        <f>IF(A5_Chem_Look_Up!$F38&gt;0,A5_Chem_Look_Up!B38," ")</f>
        <v>0</v>
      </c>
      <c r="C44" s="1605" t="str">
        <f>IF(A5_Chem_Look_Up!$F38&gt;0,A5_Chem_Look_Up!C38," ")</f>
        <v>oz</v>
      </c>
      <c r="D44" s="1601">
        <f>IF(A5_Chem_Look_Up!$F38&gt;0,A5_Chem_Look_Up!D38,0)</f>
        <v>0.5390625</v>
      </c>
      <c r="E44" s="1586">
        <f>IF(A5_Chem_Look_Up!$F38&gt;0,A5_Chem_Look_Up!E38,0)</f>
        <v>21</v>
      </c>
      <c r="F44" s="1587">
        <f>D44*E44</f>
        <v>11.3203125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11.3203125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1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26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6.3732711408224594</v>
      </c>
      <c r="C42" s="48">
        <f>Z1_Equipment_Calculations!AC52+Z1_Equipment_Calculations!AF52</f>
        <v>0.56817593694002566</v>
      </c>
      <c r="D42" s="48">
        <f>Z1_Equipment_Calculations!AJ52</f>
        <v>1.2584889705882354</v>
      </c>
      <c r="E42" s="48">
        <f>Z1_Equipment_Calculations!AM52</f>
        <v>0.77966544117647063</v>
      </c>
      <c r="F42" s="53">
        <f>SUM(B42:E42)</f>
        <v>8.9796014895271909</v>
      </c>
      <c r="G42" s="62">
        <f>IF(Machine!$B52&gt;0,B42/Machine!$B52," ")</f>
        <v>6.3732711408224594</v>
      </c>
      <c r="H42" s="48">
        <f>IF(Machine!$B52&gt;0,C42/Machine!$B52," ")</f>
        <v>0.56817593694002566</v>
      </c>
      <c r="I42" s="48">
        <f>IF(Machine!$B52&gt;0,D42/Machine!$B52," ")</f>
        <v>1.2584889705882354</v>
      </c>
      <c r="J42" s="48">
        <f>IF(Machine!$B52&gt;0,E42/Machine!$B52," ")</f>
        <v>0.77966544117647063</v>
      </c>
      <c r="K42" s="53">
        <f>IF(Machine!$B52&gt;0,F42/Machine!$B52," ")</f>
        <v>8.9796014895271909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50.39649634478328</v>
      </c>
      <c r="C45" s="77">
        <f>SUM(C4:C44)</f>
        <v>8.0376004777544061</v>
      </c>
      <c r="D45" s="77">
        <f>SUM(D4:D44)</f>
        <v>9.3400349676486165</v>
      </c>
      <c r="E45" s="77">
        <f>SUM(E4:E44)</f>
        <v>6.9686857872100365</v>
      </c>
      <c r="F45" s="77">
        <f>SUM(F4:F44)</f>
        <v>74.742817577396323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141.806897045955</v>
      </c>
      <c r="C74" s="77">
        <f>C45+C51+C72</f>
        <v>28.544641228865459</v>
      </c>
      <c r="D74" s="77">
        <f>D45+D51+D72</f>
        <v>18.184789253362901</v>
      </c>
      <c r="E74" s="77">
        <f>E45+E51+E72</f>
        <v>12.142237215781465</v>
      </c>
      <c r="F74" s="77">
        <f>F45+F51+F72</f>
        <v>200.67856474396484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1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>
        <f>IF(AV2&gt;0,A2_Budget_Look_Up!$C$4," ")</f>
        <v>45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170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170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5.8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330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87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100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0.115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3.5249999999999999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2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5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5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330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30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0.65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8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4.5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32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0.4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0.25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1.35E-2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0.3888888888888889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0.3888888888888889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450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1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1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1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1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1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1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1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3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1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1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1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1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1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1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170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170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986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175</v>
      </c>
      <c r="D9" s="3"/>
      <c r="E9" s="1190"/>
      <c r="F9" s="3"/>
      <c r="G9" s="1185" t="s">
        <v>223</v>
      </c>
      <c r="H9" s="1800">
        <f>C9</f>
        <v>175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666.0031377871976</v>
      </c>
    </row>
    <row r="11" spans="2:14" ht="13.9" x14ac:dyDescent="0.4">
      <c r="B11" s="1185" t="s">
        <v>494</v>
      </c>
      <c r="C11" s="1794">
        <f>SUM(Print_Budget!F13:F17)</f>
        <v>126.660875</v>
      </c>
      <c r="D11" s="3"/>
      <c r="E11" s="1190"/>
      <c r="F11" s="3"/>
      <c r="G11" s="1185" t="s">
        <v>494</v>
      </c>
      <c r="H11" s="1794">
        <f t="shared" si="0"/>
        <v>126.660875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183.3429188110855</v>
      </c>
    </row>
    <row r="12" spans="2:14" ht="13.9" x14ac:dyDescent="0.4">
      <c r="B12" s="1185" t="s">
        <v>225</v>
      </c>
      <c r="C12" s="1794">
        <f>SUM(Print_Budget!F19:F22)</f>
        <v>99</v>
      </c>
      <c r="D12" s="3"/>
      <c r="E12" s="1190"/>
      <c r="F12" s="3"/>
      <c r="G12" s="1185" t="s">
        <v>225</v>
      </c>
      <c r="H12" s="1794">
        <f t="shared" si="0"/>
        <v>99</v>
      </c>
      <c r="I12" s="3"/>
      <c r="J12" s="3"/>
      <c r="K12" s="1190"/>
      <c r="L12" s="3"/>
      <c r="M12" s="648" t="s">
        <v>168</v>
      </c>
      <c r="N12" s="182">
        <f>SUM(N10:N11)</f>
        <v>849.3460565982831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112.795</v>
      </c>
    </row>
    <row r="14" spans="2:14" ht="13.9" x14ac:dyDescent="0.4">
      <c r="B14" s="1185" t="s">
        <v>779</v>
      </c>
      <c r="C14" s="1794">
        <f>Print_Budget!F24+Print_Budget!F26</f>
        <v>18.184789253362901</v>
      </c>
      <c r="D14" s="3"/>
      <c r="E14" s="1190"/>
      <c r="F14" s="3"/>
      <c r="G14" s="1185" t="s">
        <v>779</v>
      </c>
      <c r="H14" s="1794">
        <f t="shared" si="0"/>
        <v>18.184789253362901</v>
      </c>
      <c r="I14" s="3"/>
      <c r="J14" s="3"/>
      <c r="K14" s="1190"/>
      <c r="L14" s="3"/>
      <c r="M14" s="652" t="s">
        <v>1007</v>
      </c>
      <c r="N14" s="173">
        <f>SUM(N12:N13)-N8</f>
        <v>962.14105659828306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23.858943401716942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39.843078728865457</v>
      </c>
      <c r="D18" s="3"/>
      <c r="E18" s="1190"/>
      <c r="F18" s="3"/>
      <c r="G18" s="1185" t="s">
        <v>205</v>
      </c>
      <c r="H18" s="1794">
        <f t="shared" si="0"/>
        <v>39.843078728865457</v>
      </c>
      <c r="I18" s="3"/>
      <c r="J18" s="3"/>
      <c r="K18" s="1190"/>
      <c r="L18" s="3"/>
      <c r="M18" s="648" t="s">
        <v>249</v>
      </c>
      <c r="N18" s="1803">
        <f>Print_Summary!B32</f>
        <v>229.10337194639649</v>
      </c>
    </row>
    <row r="19" spans="2:14" ht="13.9" x14ac:dyDescent="0.4">
      <c r="B19" s="1185" t="s">
        <v>214</v>
      </c>
      <c r="C19" s="1794">
        <f>Trips!E45+Trips!E51+Trips!E72+Trips!E76</f>
        <v>13.076527215781466</v>
      </c>
      <c r="D19" s="3"/>
      <c r="E19" s="1190"/>
      <c r="F19" s="3"/>
      <c r="G19" s="1185" t="s">
        <v>214</v>
      </c>
      <c r="H19" s="1794">
        <f t="shared" si="0"/>
        <v>13.076527215781466</v>
      </c>
      <c r="I19" s="3"/>
      <c r="J19" s="3"/>
      <c r="K19" s="1190"/>
      <c r="L19" s="3"/>
      <c r="M19" s="308" t="s">
        <v>650</v>
      </c>
      <c r="N19" s="173">
        <f>N14+N18</f>
        <v>1191.2444285446795</v>
      </c>
    </row>
    <row r="20" spans="2:14" ht="13.9" x14ac:dyDescent="0.4">
      <c r="B20" s="1185" t="s">
        <v>28</v>
      </c>
      <c r="C20" s="1794">
        <f>Print_Budget!F36</f>
        <v>33.647562866438584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-205.24442854467952</v>
      </c>
    </row>
    <row r="22" spans="2:14" ht="13.9" x14ac:dyDescent="0.4">
      <c r="B22" s="1185" t="s">
        <v>790</v>
      </c>
      <c r="C22" s="1794">
        <f>Print_Budget!F39+Print_Budget!F40</f>
        <v>110.5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2.2949999999999999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222.01302709409873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141.806897045955</v>
      </c>
      <c r="D26" s="3"/>
      <c r="E26" s="1190"/>
      <c r="F26" s="3"/>
      <c r="G26" s="648" t="s">
        <v>647</v>
      </c>
      <c r="H26" s="1801">
        <f>C28</f>
        <v>7.0903448522977506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7.0903448522977506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656.57313778719742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753.99274373184426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900.43530659828275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229.10337194639649</v>
      </c>
    </row>
    <row r="34" spans="2:3" ht="13.5" x14ac:dyDescent="0.35">
      <c r="B34" s="308" t="s">
        <v>650</v>
      </c>
      <c r="C34" s="173">
        <f>C32+C33</f>
        <v>1129.5386785446792</v>
      </c>
    </row>
    <row r="35" spans="2:3" ht="13.5" x14ac:dyDescent="0.35">
      <c r="B35" s="308" t="s">
        <v>761</v>
      </c>
      <c r="C35" s="173">
        <f>(C4*C5*C6)-C24-C34</f>
        <v>-143.53867854467921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>
        <f>IF(Machine!B52&gt;0,Machine!B52," ")</f>
        <v>1</v>
      </c>
      <c r="E43" s="1525"/>
      <c r="F43" s="1354">
        <f>IF(Machine!$B52&gt;0,E43*Trips!$M42*$D43," ")</f>
        <v>0</v>
      </c>
      <c r="G43" s="1394">
        <f>IF(AND($D43&gt;0,Machine!$H52&lt;=170),$E43,0)</f>
        <v>0</v>
      </c>
      <c r="H43" s="1393">
        <f>IF(Machine!$B52&gt;0,G43*Trips!$M42*$D43," ")</f>
        <v>0</v>
      </c>
      <c r="I43" s="1398">
        <f>IF(AND($D43&gt;0,Machine!$H52&gt;170,Machine!$H52&lt;200),$E43,0)</f>
        <v>0</v>
      </c>
      <c r="J43" s="1399">
        <f>IF(Machine!$B52&gt;0,I43*Trips!$M42*$D43," ")</f>
        <v>0</v>
      </c>
      <c r="K43" s="1404">
        <f>IF(AND($D43&gt;0,Machine!$H52&gt;=200,Machine!$H52&lt;250),$E43,0)</f>
        <v>0</v>
      </c>
      <c r="L43" s="1405">
        <f>IF(Machine!$B52&gt;0,K43*Trips!$M42*$D43," ")</f>
        <v>0</v>
      </c>
      <c r="M43" s="1413">
        <f>IF(AND($D43&gt;0,Machine!$H52&gt;=250),$E43,0)</f>
        <v>0</v>
      </c>
      <c r="N43" s="1412">
        <f>IF(Machine!$B52&gt;0,M43*Trips!$M42*$D43," ")</f>
        <v>0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0</v>
      </c>
      <c r="C4" s="182">
        <f>SUM(A5_Chem_Look_Up!G24:G33)+SUM(A5_Chem_Look_Up!G38:G39)</f>
        <v>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0</v>
      </c>
      <c r="C6" s="182">
        <f>C4+C5</f>
        <v>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0</v>
      </c>
      <c r="C7" s="1456">
        <f>C6/$E$6</f>
        <v>0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0</v>
      </c>
      <c r="C9" s="1459">
        <f>C7*C8</f>
        <v>0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7.3921907533995537</v>
      </c>
      <c r="D28" s="1456">
        <f>C28/$B$25</f>
        <v>27.982703385696912</v>
      </c>
      <c r="E28" s="1456">
        <v>0.84</v>
      </c>
      <c r="F28" s="1456">
        <f>D28*E28</f>
        <v>23.505470843985403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136.17724719215036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4321.7436900339035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10679.460832442779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10209.703839756949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45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>
        <f>VLOOKUP(1,$I$6:$P$3099,3,FALSE)</f>
        <v>0</v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0</v>
      </c>
      <c r="H6" s="1073">
        <f>VLOOKUP(1,$I$6:$Q$3099,9,FALSE)</f>
        <v>45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>
        <f>VLOOKUP(2,$I$6:$P$3099,3,FALSE)</f>
        <v>0</v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0</v>
      </c>
      <c r="H7" s="1073">
        <f>VLOOKUP(2,$I$6:$Q$3099,9,FALSE)</f>
        <v>45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Roundup Powermax 3</v>
      </c>
      <c r="B8" s="1166">
        <f>VLOOKUP(3,$I$6:$P$3099,3,FALSE)</f>
        <v>0</v>
      </c>
      <c r="C8" s="1166" t="str">
        <f>VLOOKUP(3,$I$6:$P$3099,4,FALSE)</f>
        <v>oz</v>
      </c>
      <c r="D8" s="1165">
        <f>VLOOKUP(3,$I$6:$P$3099,5,FALSE)</f>
        <v>0.140625</v>
      </c>
      <c r="E8" s="1165">
        <f>VLOOKUP(3,$I$6:$P$3099,6,FALSE)</f>
        <v>32</v>
      </c>
      <c r="F8" s="82">
        <f t="shared" ref="F8:F19" si="2">D8*E8</f>
        <v>4.5</v>
      </c>
      <c r="G8" s="1166">
        <f>VLOOKUP(3,$I$6:$P$3099,8,FALSE)</f>
        <v>0</v>
      </c>
      <c r="H8" s="1073">
        <f>VLOOKUP(3,$I$6:$Q$3099,9,FALSE)</f>
        <v>45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Sharpen</v>
      </c>
      <c r="B9" s="1166">
        <f>VLOOKUP(4,$I$6:$P$3099,3,FALSE)</f>
        <v>0</v>
      </c>
      <c r="C9" s="1166" t="str">
        <f>VLOOKUP(4,$I$6:$P$3099,4,FALSE)</f>
        <v>oz</v>
      </c>
      <c r="D9" s="1165">
        <f>VLOOKUP(4,$I$6:$P$3099,5,FALSE)</f>
        <v>6.7</v>
      </c>
      <c r="E9" s="1165">
        <f>VLOOKUP(4,$I$6:$P$3099,6,FALSE)</f>
        <v>3</v>
      </c>
      <c r="F9" s="82">
        <f t="shared" si="2"/>
        <v>20.100000000000001</v>
      </c>
      <c r="G9" s="1166">
        <f>VLOOKUP(4,$I$6:$P$3099,8,FALSE)</f>
        <v>0</v>
      </c>
      <c r="H9" s="1073">
        <f>VLOOKUP(4,$I$6:$Q$3099,9,FALSE)</f>
        <v>45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Highcard</v>
      </c>
      <c r="B10" s="1166">
        <f>VLOOKUP(5,$I$6:$P$3099,3,FALSE)</f>
        <v>0</v>
      </c>
      <c r="C10" s="1166" t="str">
        <f>VLOOKUP(5,$I$6:$P$3099,4,FALSE)</f>
        <v>oz</v>
      </c>
      <c r="D10" s="1165">
        <f>VLOOKUP(5,$I$6:$P$3099,5,FALSE)</f>
        <v>0.359375</v>
      </c>
      <c r="E10" s="1165">
        <f>VLOOKUP(5,$I$6:$P$3099,6,FALSE)</f>
        <v>15.5</v>
      </c>
      <c r="F10" s="82">
        <f t="shared" si="2"/>
        <v>5.5703125</v>
      </c>
      <c r="G10" s="1166">
        <f>VLOOKUP(5,$I$6:$P$3099,8,FALSE)</f>
        <v>0</v>
      </c>
      <c r="H10" s="1073">
        <f>VLOOKUP(5,$I$6:$Q$3099,9,FALSE)</f>
        <v>45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Basagran</v>
      </c>
      <c r="B11" s="1166">
        <f>VLOOKUP(6,$I$6:$P$3099,3,FALSE)</f>
        <v>0</v>
      </c>
      <c r="C11" s="1166" t="str">
        <f>VLOOKUP(6,$I$6:$P$3099,4,FALSE)</f>
        <v>oz</v>
      </c>
      <c r="D11" s="1165">
        <f>VLOOKUP(6,$I$6:$P$3099,5,FALSE)</f>
        <v>0.67046874999999995</v>
      </c>
      <c r="E11" s="1165">
        <f>VLOOKUP(6,$I$6:$P$3099,6,FALSE)</f>
        <v>32</v>
      </c>
      <c r="F11" s="82">
        <f t="shared" si="2"/>
        <v>21.454999999999998</v>
      </c>
      <c r="G11" s="1166">
        <f>VLOOKUP(6,$I$6:$P$3099,8,FALSE)</f>
        <v>0</v>
      </c>
      <c r="H11" s="1073">
        <f>VLOOKUP(6,$I$6:$Q$3099,9,FALSE)</f>
        <v>45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Facet L</v>
      </c>
      <c r="B12" s="1166">
        <f>VLOOKUP(7,$I$6:$P$3099,3,FALSE)</f>
        <v>0</v>
      </c>
      <c r="C12" s="1166" t="str">
        <f>VLOOKUP(7,$I$6:$P$3099,4,FALSE)</f>
        <v>oz</v>
      </c>
      <c r="D12" s="1165">
        <f>VLOOKUP(7,$I$6:$P$3099,5,FALSE)</f>
        <v>0.6640625</v>
      </c>
      <c r="E12" s="1165">
        <f>VLOOKUP(7,$I$6:$P$3099,6,FALSE)</f>
        <v>16</v>
      </c>
      <c r="F12" s="82">
        <f t="shared" si="2"/>
        <v>10.625</v>
      </c>
      <c r="G12" s="1166">
        <f>VLOOKUP(7,$I$6:$P$3099,8,FALSE)</f>
        <v>0</v>
      </c>
      <c r="H12" s="1073">
        <f>VLOOKUP(7,$I$6:$Q$3099,9,FALSE)</f>
        <v>45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Highcard</v>
      </c>
      <c r="B13" s="1166">
        <f>VLOOKUP(8,$I$6:$P$3099,3,FALSE)</f>
        <v>0</v>
      </c>
      <c r="C13" s="1166" t="str">
        <f>VLOOKUP(8,$I$6:$P$3099,4,FALSE)</f>
        <v>oz</v>
      </c>
      <c r="D13" s="1165">
        <f>VLOOKUP(8,$I$6:$P$3099,5,FALSE)</f>
        <v>0.359375</v>
      </c>
      <c r="E13" s="1165">
        <f>VLOOKUP(8,$I$6:$P$3099,6,FALSE)</f>
        <v>15.5</v>
      </c>
      <c r="F13" s="82">
        <f t="shared" si="2"/>
        <v>5.5703125</v>
      </c>
      <c r="G13" s="1166">
        <f>VLOOKUP(8,$I$6:$P$3099,8,FALSE)</f>
        <v>0</v>
      </c>
      <c r="H13" s="1073">
        <f>VLOOKUP(8,$I$6:$Q$3099,9,FALSE)</f>
        <v>45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Loyant</v>
      </c>
      <c r="B14" s="1166">
        <f>VLOOKUP(9,$I$6:$P$3099,3,FALSE)</f>
        <v>0</v>
      </c>
      <c r="C14" s="1166" t="str">
        <f>VLOOKUP(9,$I$6:$P$3099,4,FALSE)</f>
        <v>oz</v>
      </c>
      <c r="D14" s="1165">
        <f>VLOOKUP(9,$I$6:$P$3099,5,FALSE)</f>
        <v>2.1125781250000002</v>
      </c>
      <c r="E14" s="1165">
        <f>VLOOKUP(9,$I$6:$P$3099,6,FALSE)</f>
        <v>12</v>
      </c>
      <c r="F14" s="82">
        <f t="shared" si="2"/>
        <v>25.350937500000001</v>
      </c>
      <c r="G14" s="1166">
        <f>VLOOKUP(9,$I$6:$P$3099,8,FALSE)</f>
        <v>0</v>
      </c>
      <c r="H14" s="1073">
        <f>VLOOKUP(9,$I$6:$Q$3099,9,FALSE)</f>
        <v>45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>
        <f>VLOOKUP(10,$I$6:$P$3099,3,FALSE)</f>
        <v>0</v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45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>
        <f>VLOOKUP(11,$I$6:$P$3099,3,FALSE)</f>
        <v>0</v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45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>
        <f>VLOOKUP(12,$I$6:$P$3099,3,FALSE)</f>
        <v>0</v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45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>
        <f>VLOOKUP(13,$I$6:$P$3099,3,FALSE)</f>
        <v>0</v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45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>
        <f>VLOOKUP(14,$I$6:$P$3099,3,FALSE)</f>
        <v>0</v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45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106.3005625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>
        <f>VLOOKUP(15,$I$6:$P$3099,3,FALSE)</f>
        <v>0</v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>
        <f>VLOOKUP(15,$I$6:$P$3099,8,FALSE)</f>
        <v>0</v>
      </c>
      <c r="H24" s="1073">
        <f>VLOOKUP(15,$I$6:$Q$3099,9,FALSE)</f>
        <v>45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>
        <f>VLOOKUP(16,$I$6:$P$3099,3,FALSE)</f>
        <v>0</v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45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>
        <f>VLOOKUP(17,$I$6:$P$3099,3,FALSE)</f>
        <v>0</v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45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>
        <f>VLOOKUP(18,$I$6:$P$3099,3,FALSE)</f>
        <v>0</v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45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>
        <f>VLOOKUP(19,$I$6:$P$3099,3,FALSE)</f>
        <v>0</v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45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>
        <f>VLOOKUP(20,$I$6:$P$3099,3,FALSE)</f>
        <v>0</v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45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>
        <f>VLOOKUP(21,$I$6:$P$3099,3,FALSE)</f>
        <v>0</v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45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>
        <f>VLOOKUP(22,$I$6:$P$3099,3,FALSE)</f>
        <v>0</v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45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>
        <f>VLOOKUP(23,$I$6:$P$3099,3,FALSE)</f>
        <v>0</v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45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>
        <f>VLOOKUP(24,$I$6:$P$3099,3,FALSE)</f>
        <v>0</v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45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Aframe Plus</v>
      </c>
      <c r="B38" s="1166">
        <f>VLOOKUP(25,$I$6:$P$3099,3,FALSE)</f>
        <v>0</v>
      </c>
      <c r="C38" s="1166" t="str">
        <f>VLOOKUP(25,$I$6:$P$3099,4,FALSE)</f>
        <v>oz</v>
      </c>
      <c r="D38" s="1165">
        <f>VLOOKUP(25,$I$6:$P$3099,5,FALSE)</f>
        <v>0.5390625</v>
      </c>
      <c r="E38" s="1165">
        <f>VLOOKUP(25,$I$6:$P$3099,6,FALSE)</f>
        <v>21</v>
      </c>
      <c r="F38" s="82">
        <f>D38*E38</f>
        <v>11.3203125</v>
      </c>
      <c r="G38" s="1166">
        <f>VLOOKUP(25,$I$6:$P$3099,8,FALSE)</f>
        <v>0</v>
      </c>
      <c r="H38" s="1073">
        <f>VLOOKUP(25,$I$6:$Q$3099,9,FALSE)</f>
        <v>45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>
        <f>VLOOKUP(26,$I$6:$P$3099,3,FALSE)</f>
        <v>0</v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45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11.3203125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>
        <f>VLOOKUP(27,$I$6:$P$3099,3,FALSE)</f>
        <v>0</v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45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>
        <f>VLOOKUP(28,$I$6:$P$3099,3,FALSE)</f>
        <v>0</v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45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>
        <f>VLOOKUP(29,$I$6:$P$3099,3,FALSE)</f>
        <v>0</v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45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>
        <f>VLOOKUP(30,$I$6:$P$3099,3,FALSE)</f>
        <v>0</v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45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>
        <f>VLOOKUP(31,$I$6:$P$3099,3,FALSE)</f>
        <v>0</v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45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>
        <f>VLOOKUP(32,$I$6:$P$3099,3,FALSE)</f>
        <v>0</v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45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>
        <f>VLOOKUP(33,$I$6:$P$3099,3,FALSE)</f>
        <v>0</v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45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>
        <f>VLOOKUP(34,$I$6:$P$3099,3,FALSE)</f>
        <v>0</v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45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>
        <f>VLOOKUP(35,$I$6:$P$3099,3,FALSE)</f>
        <v>0</v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45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>
        <f>VLOOKUP(36,$I$6:$P$3099,3,FALSE)</f>
        <v>0</v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45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>
        <f>VLOOKUP(37,$I$6:$P$3099,3,FALSE)</f>
        <v>0</v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45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>
        <f>VLOOKUP(38,$I$6:$P$3099,3,FALSE)</f>
        <v>0</v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45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>
        <f>VLOOKUP(39,$I$6:$P$3099,3,FALSE)</f>
        <v>0</v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45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>
        <f>VLOOKUP(40,$I$6:$P$3099,3,FALSE)</f>
        <v>0</v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45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1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45</v>
      </c>
    </row>
    <row r="2735" spans="9:17" ht="13.9" x14ac:dyDescent="0.4">
      <c r="I2735" s="1073">
        <f t="shared" ref="I2735:I2747" si="543">IF($A$1=45,I2734+1,0)</f>
        <v>2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45</v>
      </c>
    </row>
    <row r="2736" spans="9:17" ht="13.9" x14ac:dyDescent="0.4">
      <c r="I2736" s="1073">
        <f t="shared" si="543"/>
        <v>3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45</v>
      </c>
    </row>
    <row r="2737" spans="9:17" ht="13.9" x14ac:dyDescent="0.4">
      <c r="I2737" s="1073">
        <f t="shared" si="543"/>
        <v>4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45</v>
      </c>
    </row>
    <row r="2738" spans="9:17" ht="13.9" x14ac:dyDescent="0.4">
      <c r="I2738" s="1073">
        <f t="shared" si="543"/>
        <v>5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45</v>
      </c>
    </row>
    <row r="2739" spans="9:17" ht="13.9" x14ac:dyDescent="0.4">
      <c r="I2739" s="1073">
        <f t="shared" si="543"/>
        <v>6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45</v>
      </c>
    </row>
    <row r="2740" spans="9:17" ht="13.9" x14ac:dyDescent="0.4">
      <c r="I2740" s="1073">
        <f t="shared" si="543"/>
        <v>7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45</v>
      </c>
    </row>
    <row r="2741" spans="9:17" ht="13.9" x14ac:dyDescent="0.4">
      <c r="I2741" s="1073">
        <f t="shared" si="543"/>
        <v>8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45</v>
      </c>
    </row>
    <row r="2742" spans="9:17" ht="13.9" x14ac:dyDescent="0.4">
      <c r="I2742" s="1073">
        <f t="shared" si="543"/>
        <v>9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45</v>
      </c>
    </row>
    <row r="2743" spans="9:17" ht="13.9" x14ac:dyDescent="0.4">
      <c r="I2743" s="1073">
        <f t="shared" si="543"/>
        <v>10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45</v>
      </c>
    </row>
    <row r="2744" spans="9:17" ht="13.9" x14ac:dyDescent="0.4">
      <c r="I2744" s="1073">
        <f t="shared" si="543"/>
        <v>11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45</v>
      </c>
    </row>
    <row r="2745" spans="9:17" ht="13.9" x14ac:dyDescent="0.4">
      <c r="I2745" s="1073">
        <f t="shared" si="543"/>
        <v>12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45</v>
      </c>
    </row>
    <row r="2746" spans="9:17" ht="13.9" x14ac:dyDescent="0.4">
      <c r="I2746" s="1073">
        <f t="shared" si="543"/>
        <v>13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45</v>
      </c>
    </row>
    <row r="2747" spans="9:17" ht="13.9" x14ac:dyDescent="0.4">
      <c r="I2747" s="1073">
        <f t="shared" si="543"/>
        <v>14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45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15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45</v>
      </c>
    </row>
    <row r="2753" spans="9:17" ht="13.9" x14ac:dyDescent="0.4">
      <c r="I2753" s="1073">
        <f t="shared" ref="I2753:I2761" si="546">IF($A$1=45,I2752+1,0)</f>
        <v>16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45</v>
      </c>
    </row>
    <row r="2754" spans="9:17" ht="13.9" x14ac:dyDescent="0.4">
      <c r="I2754" s="1073">
        <f t="shared" si="546"/>
        <v>17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45</v>
      </c>
    </row>
    <row r="2755" spans="9:17" ht="13.9" x14ac:dyDescent="0.4">
      <c r="I2755" s="1073">
        <f t="shared" si="546"/>
        <v>18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45</v>
      </c>
    </row>
    <row r="2756" spans="9:17" ht="13.9" x14ac:dyDescent="0.4">
      <c r="I2756" s="1073">
        <f t="shared" si="546"/>
        <v>19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45</v>
      </c>
    </row>
    <row r="2757" spans="9:17" ht="13.9" x14ac:dyDescent="0.4">
      <c r="I2757" s="1073">
        <f t="shared" si="546"/>
        <v>20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45</v>
      </c>
    </row>
    <row r="2758" spans="9:17" ht="13.9" x14ac:dyDescent="0.4">
      <c r="I2758" s="1073">
        <f t="shared" si="546"/>
        <v>21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45</v>
      </c>
    </row>
    <row r="2759" spans="9:17" ht="13.9" x14ac:dyDescent="0.4">
      <c r="I2759" s="1073">
        <f t="shared" si="546"/>
        <v>22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45</v>
      </c>
    </row>
    <row r="2760" spans="9:17" ht="13.9" x14ac:dyDescent="0.4">
      <c r="I2760" s="1073">
        <f t="shared" si="546"/>
        <v>23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45</v>
      </c>
    </row>
    <row r="2761" spans="9:17" ht="13.9" x14ac:dyDescent="0.4">
      <c r="I2761" s="1073">
        <f t="shared" si="546"/>
        <v>24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45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25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45</v>
      </c>
    </row>
    <row r="2767" spans="9:17" ht="13.9" x14ac:dyDescent="0.4">
      <c r="I2767" s="1073">
        <f>IF($A$1=45,I2766+1,0)</f>
        <v>26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45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27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45</v>
      </c>
    </row>
    <row r="2773" spans="9:17" ht="13.9" x14ac:dyDescent="0.4">
      <c r="I2773" s="1073">
        <f t="shared" ref="I2773:I2778" si="549">IF($A$1=45,I2772+1,0)</f>
        <v>28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45</v>
      </c>
    </row>
    <row r="2774" spans="9:17" ht="13.9" x14ac:dyDescent="0.4">
      <c r="I2774" s="1073">
        <f t="shared" si="549"/>
        <v>29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45</v>
      </c>
    </row>
    <row r="2775" spans="9:17" ht="13.9" x14ac:dyDescent="0.4">
      <c r="I2775" s="1073">
        <f t="shared" si="549"/>
        <v>30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45</v>
      </c>
    </row>
    <row r="2776" spans="9:17" ht="13.9" x14ac:dyDescent="0.4">
      <c r="I2776" s="1073">
        <f t="shared" si="549"/>
        <v>31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45</v>
      </c>
    </row>
    <row r="2777" spans="9:17" ht="13.9" x14ac:dyDescent="0.4">
      <c r="I2777" s="1073">
        <f t="shared" si="549"/>
        <v>32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45</v>
      </c>
    </row>
    <row r="2778" spans="9:17" ht="13.9" x14ac:dyDescent="0.4">
      <c r="I2778" s="1073">
        <f t="shared" si="549"/>
        <v>33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45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34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45</v>
      </c>
    </row>
    <row r="2784" spans="9:17" ht="13.9" x14ac:dyDescent="0.4">
      <c r="I2784" s="1073">
        <f t="shared" ref="I2784:I2789" si="552">IF($A$1=45,I2783+1,0)</f>
        <v>35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45</v>
      </c>
    </row>
    <row r="2785" spans="9:17" ht="13.9" x14ac:dyDescent="0.4">
      <c r="I2785" s="1073">
        <f t="shared" si="552"/>
        <v>36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45</v>
      </c>
    </row>
    <row r="2786" spans="9:17" ht="13.9" x14ac:dyDescent="0.4">
      <c r="I2786" s="1073">
        <f t="shared" si="552"/>
        <v>37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45</v>
      </c>
    </row>
    <row r="2787" spans="9:17" ht="13.9" x14ac:dyDescent="0.4">
      <c r="I2787" s="1073">
        <f t="shared" si="552"/>
        <v>38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45</v>
      </c>
    </row>
    <row r="2788" spans="9:17" ht="13.9" x14ac:dyDescent="0.4">
      <c r="I2788" s="1073">
        <f t="shared" si="552"/>
        <v>39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45</v>
      </c>
    </row>
    <row r="2789" spans="9:17" ht="13.9" x14ac:dyDescent="0.4">
      <c r="I2789" s="1073">
        <f t="shared" si="552"/>
        <v>40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45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41. Details of Chemicals Applied, Rice, MaxAce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Highcard</v>
      </c>
      <c r="B8" s="104" t="e">
        <f>Seed_Chemical!#REF!</f>
        <v>#REF!</v>
      </c>
      <c r="C8" s="104" t="str">
        <f>Seed_Chemical!C16</f>
        <v>oz</v>
      </c>
      <c r="D8" s="96">
        <f>Seed_Chemical!D16</f>
        <v>0.359375</v>
      </c>
      <c r="E8" s="96">
        <f>Seed_Chemical!E16</f>
        <v>15.5</v>
      </c>
      <c r="F8" s="96">
        <f>Seed_Chemical!F16</f>
        <v>5.5703125</v>
      </c>
      <c r="G8" s="106" t="e">
        <f>Seed_Chemical!#REF!</f>
        <v>#REF!</v>
      </c>
    </row>
    <row r="9" spans="1:7" ht="13.9" x14ac:dyDescent="0.4">
      <c r="A9" s="96" t="str">
        <f>Seed_Chemical!A17</f>
        <v>Basagran</v>
      </c>
      <c r="B9" s="104" t="e">
        <f>Seed_Chemical!#REF!</f>
        <v>#REF!</v>
      </c>
      <c r="C9" s="104" t="str">
        <f>Seed_Chemical!C17</f>
        <v>oz</v>
      </c>
      <c r="D9" s="96">
        <f>Seed_Chemical!D17</f>
        <v>0.67046874999999995</v>
      </c>
      <c r="E9" s="96">
        <f>Seed_Chemical!E17</f>
        <v>32</v>
      </c>
      <c r="F9" s="96">
        <f>Seed_Chemical!F17</f>
        <v>21.454999999999998</v>
      </c>
      <c r="G9" s="106" t="e">
        <f>Seed_Chemical!#REF!</f>
        <v>#REF!</v>
      </c>
    </row>
    <row r="10" spans="1:7" ht="13.9" x14ac:dyDescent="0.4">
      <c r="A10" s="96" t="str">
        <f>Seed_Chemical!A18</f>
        <v>Facet L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0.6640625</v>
      </c>
      <c r="E10" s="96">
        <f>Seed_Chemical!E18</f>
        <v>16</v>
      </c>
      <c r="F10" s="96">
        <f>Seed_Chemical!F18</f>
        <v>10.625</v>
      </c>
      <c r="G10" s="106" t="e">
        <f>Seed_Chemical!#REF!</f>
        <v>#REF!</v>
      </c>
    </row>
    <row r="11" spans="1:7" ht="13.9" x14ac:dyDescent="0.4">
      <c r="A11" s="96" t="str">
        <f>Seed_Chemical!A19</f>
        <v>Highcard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0.359375</v>
      </c>
      <c r="E11" s="96">
        <f>Seed_Chemical!E19</f>
        <v>15.5</v>
      </c>
      <c r="F11" s="96">
        <f>Seed_Chemical!F19</f>
        <v>5.5703125</v>
      </c>
      <c r="G11" s="106" t="e">
        <f>Seed_Chemical!#REF!</f>
        <v>#REF!</v>
      </c>
    </row>
    <row r="12" spans="1:7" ht="13.9" x14ac:dyDescent="0.4">
      <c r="A12" s="96" t="str">
        <f>Seed_Chemical!A20</f>
        <v>Loyant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2.1125781250000002</v>
      </c>
      <c r="E12" s="96">
        <f>Seed_Chemical!E20</f>
        <v>12</v>
      </c>
      <c r="F12" s="96">
        <f>Seed_Chemical!F20</f>
        <v>25.350937500000001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106.3005625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Aframe Plus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0.5390625</v>
      </c>
      <c r="E36" s="96">
        <f>Seed_Chemical!E44</f>
        <v>21</v>
      </c>
      <c r="F36" s="96">
        <f>Seed_Chemical!F44</f>
        <v>11.3203125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11.3203125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41. Details of Chemicals Applied, Rice, MaxAce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Highcard</v>
      </c>
      <c r="B8" s="104" t="e">
        <f>Seed_Chemical!#REF!</f>
        <v>#REF!</v>
      </c>
      <c r="C8" s="104" t="str">
        <f>Seed_Chemical!C16</f>
        <v>oz</v>
      </c>
      <c r="D8" s="96">
        <f>Seed_Chemical!D16</f>
        <v>0.359375</v>
      </c>
      <c r="E8" s="96">
        <f>Seed_Chemical!E16</f>
        <v>15.5</v>
      </c>
      <c r="F8" s="96">
        <f>Seed_Chemical!F16</f>
        <v>5.5703125</v>
      </c>
      <c r="G8" s="106" t="e">
        <f>Seed_Chemical!#REF!</f>
        <v>#REF!</v>
      </c>
    </row>
    <row r="9" spans="1:7" ht="13.9" x14ac:dyDescent="0.4">
      <c r="A9" s="96" t="str">
        <f>Seed_Chemical!A17</f>
        <v>Basagran</v>
      </c>
      <c r="B9" s="104" t="e">
        <f>Seed_Chemical!#REF!</f>
        <v>#REF!</v>
      </c>
      <c r="C9" s="104" t="str">
        <f>Seed_Chemical!C17</f>
        <v>oz</v>
      </c>
      <c r="D9" s="96">
        <f>Seed_Chemical!D17</f>
        <v>0.67046874999999995</v>
      </c>
      <c r="E9" s="96">
        <f>Seed_Chemical!E17</f>
        <v>32</v>
      </c>
      <c r="F9" s="96">
        <f>Seed_Chemical!F17</f>
        <v>21.454999999999998</v>
      </c>
      <c r="G9" s="106" t="e">
        <f>Seed_Chemical!#REF!</f>
        <v>#REF!</v>
      </c>
    </row>
    <row r="10" spans="1:7" ht="13.9" x14ac:dyDescent="0.4">
      <c r="A10" s="96" t="str">
        <f>Seed_Chemical!A18</f>
        <v>Facet L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0.6640625</v>
      </c>
      <c r="E10" s="96">
        <f>Seed_Chemical!E18</f>
        <v>16</v>
      </c>
      <c r="F10" s="96">
        <f>Seed_Chemical!F18</f>
        <v>10.625</v>
      </c>
      <c r="G10" s="106" t="e">
        <f>Seed_Chemical!#REF!</f>
        <v>#REF!</v>
      </c>
    </row>
    <row r="11" spans="1:7" ht="13.9" x14ac:dyDescent="0.4">
      <c r="A11" s="96" t="str">
        <f>Seed_Chemical!A19</f>
        <v>Highcard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0.359375</v>
      </c>
      <c r="E11" s="96">
        <f>Seed_Chemical!E19</f>
        <v>15.5</v>
      </c>
      <c r="F11" s="96">
        <f>Seed_Chemical!F19</f>
        <v>5.5703125</v>
      </c>
      <c r="G11" s="106" t="e">
        <f>Seed_Chemical!#REF!</f>
        <v>#REF!</v>
      </c>
    </row>
    <row r="12" spans="1:7" ht="13.9" x14ac:dyDescent="0.4">
      <c r="A12" s="96" t="str">
        <f>Seed_Chemical!A20</f>
        <v>Loyant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2.1125781250000002</v>
      </c>
      <c r="E12" s="96">
        <f>Seed_Chemical!E20</f>
        <v>12</v>
      </c>
      <c r="F12" s="96">
        <f>Seed_Chemical!F20</f>
        <v>25.350937500000001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106.3005625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11.3203125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