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Rice 2025/"/>
    </mc:Choice>
  </mc:AlternateContent>
  <xr:revisionPtr revIDLastSave="7" documentId="8_{13AD19A3-F8EA-44E8-97C9-365DC9576361}" xr6:coauthVersionLast="47" xr6:coauthVersionMax="47" xr10:uidLastSave="{EADB114F-C63A-4B2C-916E-A5691C1D0F5A}"/>
  <bookViews>
    <workbookView xWindow="45900" yWindow="3030" windowWidth="19230" windowHeight="12420" xr2:uid="{D29855A1-290D-4B7F-A9E5-99329D8F031A}"/>
  </bookViews>
  <sheets>
    <sheet name="Budget" sheetId="1" r:id="rId1"/>
  </sheets>
  <definedNames>
    <definedName name="Production">#REF!</definedName>
    <definedName name="row">#REF!</definedName>
    <definedName name="same">#REF!</definedName>
    <definedName name="Technology">#REF!</definedName>
    <definedName name="Till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C22" i="1" l="1"/>
  <c r="G61" i="1"/>
  <c r="H61" i="1" s="1"/>
  <c r="E61" i="1"/>
  <c r="D61" i="1"/>
  <c r="E70" i="1"/>
  <c r="D50" i="1"/>
  <c r="D49" i="1"/>
  <c r="D56" i="1"/>
  <c r="D55" i="1"/>
  <c r="D54" i="1"/>
  <c r="C31" i="1"/>
  <c r="C23" i="1"/>
  <c r="G70" i="1" l="1"/>
  <c r="H70" i="1" s="1"/>
  <c r="C30" i="1" l="1"/>
  <c r="C27" i="1" l="1"/>
  <c r="C36" i="1"/>
  <c r="J55" i="1"/>
  <c r="E47" i="1" l="1"/>
  <c r="G47" i="1" s="1"/>
  <c r="H47" i="1" l="1"/>
  <c r="E52" i="1" l="1"/>
  <c r="G52" i="1" l="1"/>
  <c r="H52" i="1" s="1"/>
  <c r="E17" i="1" l="1"/>
  <c r="G17" i="1" s="1"/>
  <c r="E32" i="1"/>
  <c r="G32" i="1" s="1"/>
  <c r="H32" i="1" s="1"/>
  <c r="E36" i="1"/>
  <c r="E14" i="1"/>
  <c r="E16" i="1"/>
  <c r="G16" i="1" s="1"/>
  <c r="H17" i="1" l="1"/>
  <c r="G36" i="1"/>
  <c r="H36" i="1" s="1"/>
  <c r="G14" i="1"/>
  <c r="H14" i="1" s="1"/>
  <c r="G18" i="1"/>
  <c r="H18" i="1" s="1"/>
  <c r="H16" i="1"/>
  <c r="J18" i="1" l="1"/>
  <c r="E69" i="1"/>
  <c r="G69" i="1" s="1"/>
  <c r="E68" i="1"/>
  <c r="E67" i="1"/>
  <c r="E62" i="1"/>
  <c r="G62" i="1" s="1"/>
  <c r="H62" i="1" s="1"/>
  <c r="E60" i="1"/>
  <c r="E59" i="1"/>
  <c r="G59" i="1" s="1"/>
  <c r="E58" i="1"/>
  <c r="G58" i="1" s="1"/>
  <c r="E56" i="1"/>
  <c r="G56" i="1" s="1"/>
  <c r="H56" i="1" s="1"/>
  <c r="E55" i="1"/>
  <c r="G55" i="1" s="1"/>
  <c r="H55" i="1" s="1"/>
  <c r="E54" i="1"/>
  <c r="G54" i="1" s="1"/>
  <c r="E50" i="1"/>
  <c r="G50" i="1" s="1"/>
  <c r="H50" i="1" s="1"/>
  <c r="E49" i="1"/>
  <c r="G49" i="1" s="1"/>
  <c r="E45" i="1"/>
  <c r="G45" i="1" s="1"/>
  <c r="H45" i="1" s="1"/>
  <c r="E43" i="1"/>
  <c r="E41" i="1"/>
  <c r="G41" i="1" s="1"/>
  <c r="E39" i="1"/>
  <c r="E34" i="1"/>
  <c r="G34" i="1" s="1"/>
  <c r="H34" i="1" s="1"/>
  <c r="E31" i="1"/>
  <c r="E30" i="1"/>
  <c r="G30" i="1" s="1"/>
  <c r="H30" i="1" s="1"/>
  <c r="E29" i="1"/>
  <c r="E28" i="1"/>
  <c r="G28" i="1" s="1"/>
  <c r="E27" i="1"/>
  <c r="E26" i="1"/>
  <c r="G26" i="1" s="1"/>
  <c r="E25" i="1"/>
  <c r="G25" i="1" s="1"/>
  <c r="H25" i="1" s="1"/>
  <c r="E23" i="1"/>
  <c r="E22" i="1"/>
  <c r="G22" i="1" s="1"/>
  <c r="H22" i="1" s="1"/>
  <c r="E21" i="1"/>
  <c r="E20" i="1"/>
  <c r="G20" i="1" s="1"/>
  <c r="E7" i="1"/>
  <c r="G67" i="1" l="1"/>
  <c r="H67" i="1" s="1"/>
  <c r="E71" i="1"/>
  <c r="H20" i="1"/>
  <c r="E63" i="1"/>
  <c r="E8" i="1"/>
  <c r="G7" i="1"/>
  <c r="G8" i="1" s="1"/>
  <c r="E12" i="1" s="1"/>
  <c r="H12" i="1" s="1"/>
  <c r="H49" i="1"/>
  <c r="H54" i="1"/>
  <c r="J56" i="1" s="1"/>
  <c r="H28" i="1"/>
  <c r="H59" i="1"/>
  <c r="G21" i="1"/>
  <c r="H21" i="1" s="1"/>
  <c r="H26" i="1"/>
  <c r="G29" i="1"/>
  <c r="H29" i="1" s="1"/>
  <c r="G43" i="1"/>
  <c r="H43" i="1" s="1"/>
  <c r="H58" i="1"/>
  <c r="G60" i="1"/>
  <c r="H60" i="1" s="1"/>
  <c r="G23" i="1"/>
  <c r="H23" i="1" s="1"/>
  <c r="G31" i="1"/>
  <c r="H31" i="1" s="1"/>
  <c r="H69" i="1"/>
  <c r="H41" i="1"/>
  <c r="G27" i="1"/>
  <c r="H27" i="1" s="1"/>
  <c r="G39" i="1"/>
  <c r="H39" i="1" s="1"/>
  <c r="G68" i="1"/>
  <c r="H68" i="1" s="1"/>
  <c r="J60" i="1" l="1"/>
  <c r="J23" i="1"/>
  <c r="J32" i="1"/>
  <c r="J36" i="1" s="1"/>
  <c r="H7" i="1"/>
  <c r="G71" i="1"/>
  <c r="H71" i="1" s="1"/>
  <c r="H8" i="1"/>
  <c r="E72" i="1" l="1"/>
  <c r="G63" i="1"/>
  <c r="E64" i="1" l="1"/>
  <c r="H63" i="1"/>
  <c r="G64" i="1"/>
  <c r="G72" i="1"/>
  <c r="G73" i="1" s="1"/>
  <c r="E73" i="1"/>
  <c r="H72" i="1" l="1"/>
  <c r="H64" i="1"/>
  <c r="H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bjwatkins</author>
  </authors>
  <commentList>
    <comment ref="A12" authorId="0" shapeId="0" xr:uid="{50F712CD-B5D1-4231-8C09-A6E7F453A415}">
      <text>
        <r>
          <rPr>
            <sz val="9"/>
            <color indexed="81"/>
            <rFont val="Tahoma"/>
            <family val="2"/>
          </rPr>
          <t xml:space="preserve">Rent is the % share of income a landlord will receive from tenant based upon price x yield.
</t>
        </r>
      </text>
    </comment>
  </commentList>
</comments>
</file>

<file path=xl/sharedStrings.xml><?xml version="1.0" encoding="utf-8"?>
<sst xmlns="http://schemas.openxmlformats.org/spreadsheetml/2006/main" count="131" uniqueCount="93">
  <si>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</si>
  <si>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</si>
  <si>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</si>
  <si>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</si>
  <si>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</si>
  <si>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</si>
  <si>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</si>
  <si>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</si>
  <si>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</si>
  <si>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INCOME</t>
  </si>
  <si>
    <t>Rice</t>
  </si>
  <si>
    <t>bu</t>
  </si>
  <si>
    <t>TOTAL INCOME</t>
  </si>
  <si>
    <t xml:space="preserve">                                                                       </t>
  </si>
  <si>
    <t>DIRECT EXPENSES</t>
  </si>
  <si>
    <t>appl</t>
  </si>
  <si>
    <t xml:space="preserve">  FERTILIZERS</t>
  </si>
  <si>
    <t>pt</t>
  </si>
  <si>
    <t xml:space="preserve">  FUNGICIDES</t>
  </si>
  <si>
    <t>oz</t>
  </si>
  <si>
    <t xml:space="preserve">  HERBICIDES</t>
  </si>
  <si>
    <t xml:space="preserve">  INSECTICIDES</t>
  </si>
  <si>
    <t xml:space="preserve">  SEED/PLANTS</t>
  </si>
  <si>
    <t>lb</t>
  </si>
  <si>
    <t xml:space="preserve">  ADJUVANTS</t>
  </si>
  <si>
    <t xml:space="preserve">  HAULING</t>
  </si>
  <si>
    <t>Haul Rice</t>
  </si>
  <si>
    <t xml:space="preserve">  DRYING</t>
  </si>
  <si>
    <t>Dry Rice</t>
  </si>
  <si>
    <t xml:space="preserve">  SURVEY &amp; MARK LEVEES</t>
  </si>
  <si>
    <t>Survey &amp; Mark Levees</t>
  </si>
  <si>
    <t>acre</t>
  </si>
  <si>
    <t>Rice Consultant</t>
  </si>
  <si>
    <t xml:space="preserve">  OPERATOR LABOR      </t>
  </si>
  <si>
    <t>Tractors</t>
  </si>
  <si>
    <t>hour</t>
  </si>
  <si>
    <t>Harvesters</t>
  </si>
  <si>
    <t>Special Labor</t>
  </si>
  <si>
    <t xml:space="preserve">  DIESEL FUEL</t>
  </si>
  <si>
    <t>gal</t>
  </si>
  <si>
    <t>Flood Irr.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</si>
  <si>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</si>
  <si>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</si>
  <si>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</si>
  <si>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</si>
  <si>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</si>
  <si>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</si>
  <si>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</si>
  <si>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</si>
  <si>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Estimated costs and returns per acre</t>
  </si>
  <si>
    <t>lbs</t>
  </si>
  <si>
    <t xml:space="preserve">  CUSTOM SPRAY AND FERTILIZER</t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</si>
  <si>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</si>
  <si>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</si>
  <si>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Command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</si>
  <si>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</si>
  <si>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Urea, agrotain treated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</si>
  <si>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>Urea (46-0-0)</t>
    </r>
    <r>
      <rPr>
        <vertAlign val="superscript"/>
        <sz val="11"/>
        <color rgb="FF990000"/>
        <rFont val="Calibri"/>
        <family val="2"/>
        <scheme val="minor"/>
      </rPr>
      <t>7</t>
    </r>
  </si>
  <si>
    <t xml:space="preserve">  CROP CONSULTANT/SCOUTING FEE</t>
  </si>
  <si>
    <t>Rice Seed</t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</si>
  <si>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</t>
    </r>
  </si>
  <si>
    <t>Tractors/Implements</t>
  </si>
  <si>
    <t xml:space="preserve">  CROP INSURANCE</t>
  </si>
  <si>
    <t>Rice Crop Insurance</t>
  </si>
  <si>
    <t xml:space="preserve">  LAND EXPENSE</t>
  </si>
  <si>
    <r>
      <t>Aerial App Chem</t>
    </r>
    <r>
      <rPr>
        <vertAlign val="superscript"/>
        <sz val="11"/>
        <color rgb="FF990000"/>
        <rFont val="Calibri"/>
        <family val="2"/>
        <scheme val="minor"/>
      </rPr>
      <t>3,4,5,8,9</t>
    </r>
  </si>
  <si>
    <r>
      <t>Aerial App Fert</t>
    </r>
    <r>
      <rPr>
        <vertAlign val="superscript"/>
        <sz val="11"/>
        <color rgb="FF990000"/>
        <rFont val="Calibri"/>
        <family val="2"/>
        <scheme val="minor"/>
      </rPr>
      <t>6,7</t>
    </r>
  </si>
  <si>
    <t xml:space="preserve">  IRRIGATE LABOR</t>
  </si>
  <si>
    <r>
      <t>Tenchu</t>
    </r>
    <r>
      <rPr>
        <vertAlign val="superscript"/>
        <sz val="11"/>
        <color rgb="FF990000"/>
        <rFont val="Calibri"/>
        <family val="2"/>
        <scheme val="minor"/>
      </rPr>
      <t>8</t>
    </r>
  </si>
  <si>
    <t>**Implements assumed in use for this budget are as follows: 1 x disk; 1 x ditcher; 1 x field cultivator; 1 x land plane; 1 x grain drill; 2 x levee pull; 1x levee pull, planter/incorporate; 1 x install gates; 1 x take down levees; 1 x stubble roller</t>
  </si>
  <si>
    <t>Tractors/Implements**</t>
  </si>
  <si>
    <r>
      <t>Aframe Plus</t>
    </r>
    <r>
      <rPr>
        <vertAlign val="superscript"/>
        <sz val="11"/>
        <color rgb="FF990000"/>
        <rFont val="Calibri"/>
        <family val="2"/>
        <scheme val="minor"/>
      </rPr>
      <t>9</t>
    </r>
  </si>
  <si>
    <t>__________________________________________________________________________________________________</t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</si>
  <si>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</si>
  <si>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Sharpen</t>
    </r>
    <r>
      <rPr>
        <vertAlign val="superscript"/>
        <sz val="11"/>
        <color rgb="FF990000"/>
        <rFont val="Calibri"/>
        <family val="2"/>
        <scheme val="minor"/>
      </rPr>
      <t>3</t>
    </r>
  </si>
  <si>
    <t>Provisia Rice</t>
  </si>
  <si>
    <r>
      <t>Provisia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</si>
  <si>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RiceBeaux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</si>
  <si>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Loyant</t>
    </r>
    <r>
      <rPr>
        <vertAlign val="superscript"/>
        <sz val="11"/>
        <color rgb="FF990000"/>
        <rFont val="Calibri"/>
        <family val="2"/>
        <scheme val="minor"/>
      </rPr>
      <t>5</t>
    </r>
  </si>
  <si>
    <t>qt</t>
  </si>
  <si>
    <t>Note: Cost of production estimates are based on input prices gathered in fall 2023. These budgets are an adaptation of budgets from MSState following University of Arkansas System Recommendations.</t>
  </si>
  <si>
    <r>
      <t>Provisia</t>
    </r>
    <r>
      <rPr>
        <vertAlign val="superscript"/>
        <sz val="11"/>
        <color rgb="FF990000"/>
        <rFont val="Calibri"/>
        <family val="2"/>
        <scheme val="minor"/>
      </rPr>
      <t>5</t>
    </r>
  </si>
  <si>
    <t>Total Custom App</t>
  </si>
  <si>
    <t>Total Fert</t>
  </si>
  <si>
    <t>Total Herbicides</t>
  </si>
  <si>
    <t>Total Crop Protectants</t>
  </si>
  <si>
    <t>Total Gal</t>
  </si>
  <si>
    <t>Total Diesel Cost</t>
  </si>
  <si>
    <t>Total Repair/Maint</t>
  </si>
  <si>
    <t>Flood irrigated, 30 ac-in., Arkansas, 2025</t>
  </si>
  <si>
    <t>Farm Overhead</t>
  </si>
  <si>
    <t>Check Off, Boards</t>
  </si>
  <si>
    <t>Crop Share 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</si>
</sst>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6" fillId="2" borderId="0" xfId="0" applyFont="1" applyFill="1" applyAlignment="1">
      <alignment horizontal="center"/>
    </xf>
    <xf numFmtId="44" fontId="0" fillId="0" borderId="0" xfId="1" applyFont="1" applyBorder="1"/>
    <xf numFmtId="165" fontId="3" fillId="0" borderId="0" xfId="1" applyNumberFormat="1" applyFont="1"/>
    <xf numFmtId="166" fontId="3" fillId="0" borderId="0" xfId="0" applyNumberFormat="1" applyFont="1"/>
    <xf numFmtId="167" fontId="3" fillId="0" borderId="0" xfId="0" applyNumberFormat="1" applyFont="1"/>
    <xf numFmtId="44" fontId="2" fillId="0" borderId="0" xfId="1" applyFont="1"/>
    <xf numFmtId="44" fontId="2" fillId="0" borderId="0" xfId="0" applyNumberFormat="1" applyFont="1"/>
    <xf numFmtId="0" fontId="9" fillId="0" borderId="0" xfId="0" applyFont="1"/>
    <xf numFmtId="44" fontId="9" fillId="0" borderId="0" xfId="0" applyNumberFormat="1" applyFont="1"/>
    <xf numFmtId="167" fontId="9" fillId="0" borderId="0" xfId="0" applyNumberFormat="1" applyFont="1"/>
    <xf numFmtId="44" fontId="10" fillId="0" borderId="0" xfId="0" applyNumberFormat="1" applyFont="1"/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7F815CE7-D695-4C0A-8D2B-F4CD3FE460F1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f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84905</xdr:rowOff>
    </xdr:from>
    <xdr:to>
      <xdr:col>0</xdr:col>
      <xdr:colOff>989277</xdr:colOff>
      <xdr:row>2</xdr:row>
      <xdr:rowOff>152401</xdr:rowOff>
    </xdr:to>
    <xdr:pic>
      <xdr:nvPicPr>
        <xdr:cNvPr id="3" name="Picture 2" descr="Arkansas Rice Check-Off Logo">
          <a:extLst>
            <a:ext uri="{FF2B5EF4-FFF2-40B4-BE49-F238E27FC236}">
              <a16:creationId xmlns:a16="http://schemas.microsoft.com/office/drawing/2014/main" id="{4495D2E4-36B3-4FB7-9E7A-CA001D35C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84905"/>
          <a:ext cx="941653" cy="543746"/>
        </a:xfrm>
        <a:prstGeom prst="rect">
          <a:avLst/>
        </a:prstGeom>
      </xdr:spPr>
    </xdr:pic>
    <xdr:clientData/>
  </xdr:twoCellAnchor>
  <xdr:twoCellAnchor editAs="oneCell">
    <xdr:from>
      <xdr:col>0</xdr:col>
      <xdr:colOff>1123950</xdr:colOff>
      <xdr:row>0</xdr:row>
      <xdr:rowOff>0</xdr:rowOff>
    </xdr:from>
    <xdr:to>
      <xdr:col>1</xdr:col>
      <xdr:colOff>171449</xdr:colOff>
      <xdr:row>2</xdr:row>
      <xdr:rowOff>190500</xdr:rowOff>
    </xdr:to>
    <xdr:pic>
      <xdr:nvPicPr>
        <xdr:cNvPr id="4" name="Picture 3" descr="Arkansas Rice Promotion Board Logo">
          <a:extLst>
            <a:ext uri="{FF2B5EF4-FFF2-40B4-BE49-F238E27FC236}">
              <a16:creationId xmlns:a16="http://schemas.microsoft.com/office/drawing/2014/main" id="{82F154D6-E9B8-4A33-8945-FF1656802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0"/>
          <a:ext cx="628649" cy="666750"/>
        </a:xfrm>
        <a:prstGeom prst="rect">
          <a:avLst/>
        </a:prstGeom>
      </xdr:spPr>
    </xdr:pic>
    <xdr:clientData/>
  </xdr:twoCellAnchor>
  <xdr:twoCellAnchor editAs="oneCell">
    <xdr:from>
      <xdr:col>5</xdr:col>
      <xdr:colOff>663340</xdr:colOff>
      <xdr:row>0</xdr:row>
      <xdr:rowOff>47625</xdr:rowOff>
    </xdr:from>
    <xdr:to>
      <xdr:col>7</xdr:col>
      <xdr:colOff>589136</xdr:colOff>
      <xdr:row>2</xdr:row>
      <xdr:rowOff>209550</xdr:rowOff>
    </xdr:to>
    <xdr:pic>
      <xdr:nvPicPr>
        <xdr:cNvPr id="5" name="Picture 4" descr="University of Arkansas Division of Agriculture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4840" y="47625"/>
          <a:ext cx="1211671" cy="6381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K80"/>
  <sheetViews>
    <sheetView tabSelected="1" workbookViewId="0">
      <selection sqref="A1:H1"/>
    </sheetView>
  </sheetViews>
  <sheetFormatPr defaultRowHeight="14.25" x14ac:dyDescent="0.45"/>
  <cols>
    <col min="1" max="1" width="23.73046875" customWidth="1"/>
    <col min="3" max="3" width="8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</cols>
  <sheetData>
    <row r="1" spans="1:11" ht="18" x14ac:dyDescent="0.55000000000000004">
      <c r="A1" s="29" t="s">
        <v>49</v>
      </c>
      <c r="B1" s="29"/>
      <c r="C1" s="29"/>
      <c r="D1" s="29"/>
      <c r="E1" s="29"/>
      <c r="F1" s="29"/>
      <c r="G1" s="29"/>
      <c r="H1" s="29"/>
      <c r="I1" s="17"/>
    </row>
    <row r="2" spans="1:11" ht="18" x14ac:dyDescent="0.55000000000000004">
      <c r="A2" s="30" t="s">
        <v>75</v>
      </c>
      <c r="B2" s="30"/>
      <c r="C2" s="30"/>
      <c r="D2" s="30"/>
      <c r="E2" s="30"/>
      <c r="F2" s="30"/>
      <c r="G2" s="30"/>
      <c r="H2" s="30"/>
      <c r="I2" s="17"/>
    </row>
    <row r="3" spans="1:11" ht="18.399999999999999" thickBot="1" x14ac:dyDescent="0.6">
      <c r="A3" s="31" t="s">
        <v>89</v>
      </c>
      <c r="B3" s="31"/>
      <c r="C3" s="31"/>
      <c r="D3" s="31"/>
      <c r="E3" s="31"/>
      <c r="F3" s="31"/>
      <c r="G3" s="31"/>
      <c r="H3" s="31"/>
      <c r="I3" s="17"/>
    </row>
    <row r="4" spans="1:11" ht="14.65" thickTop="1" x14ac:dyDescent="0.45">
      <c r="A4" s="1"/>
      <c r="B4" s="1"/>
      <c r="C4" s="2"/>
      <c r="D4" s="1"/>
      <c r="E4" s="2"/>
      <c r="F4" s="32" t="s">
        <v>0</v>
      </c>
      <c r="G4" s="32"/>
      <c r="H4" s="3" t="s">
        <v>1</v>
      </c>
      <c r="I4" s="3"/>
    </row>
    <row r="5" spans="1:11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  <c r="I5" s="3"/>
    </row>
    <row r="6" spans="1:11" x14ac:dyDescent="0.45">
      <c r="A6" s="7" t="s">
        <v>9</v>
      </c>
    </row>
    <row r="7" spans="1:11" x14ac:dyDescent="0.45">
      <c r="A7" s="9" t="s">
        <v>10</v>
      </c>
      <c r="B7" s="9" t="s">
        <v>11</v>
      </c>
      <c r="C7" s="10">
        <v>6</v>
      </c>
      <c r="D7" s="9">
        <v>170</v>
      </c>
      <c r="E7" s="2">
        <f>ROUND(C7*D7,2)</f>
        <v>1020</v>
      </c>
      <c r="F7" s="11">
        <v>0.2</v>
      </c>
      <c r="G7" s="2">
        <f>ROUND(E7*F7,2)</f>
        <v>204</v>
      </c>
      <c r="H7" s="2">
        <f>ROUND(E7-G7,2)</f>
        <v>816</v>
      </c>
      <c r="I7" s="18"/>
    </row>
    <row r="8" spans="1:11" x14ac:dyDescent="0.45">
      <c r="A8" s="7" t="s">
        <v>12</v>
      </c>
      <c r="E8" s="8">
        <f>SUM(E7:E7)</f>
        <v>1020</v>
      </c>
      <c r="G8" s="12">
        <f>SUM(G7:G7)</f>
        <v>204</v>
      </c>
      <c r="H8" s="12">
        <f>ROUND(E8-G8,2)</f>
        <v>816</v>
      </c>
      <c r="I8" s="12"/>
    </row>
    <row r="9" spans="1:11" ht="7.5" customHeight="1" x14ac:dyDescent="0.45">
      <c r="A9" t="s">
        <v>13</v>
      </c>
    </row>
    <row r="10" spans="1:11" x14ac:dyDescent="0.45">
      <c r="A10" s="7" t="s">
        <v>14</v>
      </c>
    </row>
    <row r="11" spans="1:11" x14ac:dyDescent="0.45">
      <c r="A11" s="13" t="s">
        <v>64</v>
      </c>
      <c r="J11" s="24"/>
      <c r="K11" s="24"/>
    </row>
    <row r="12" spans="1:11" x14ac:dyDescent="0.45">
      <c r="A12" s="14" t="s">
        <v>92</v>
      </c>
      <c r="B12" s="14" t="s">
        <v>31</v>
      </c>
      <c r="C12" s="15"/>
      <c r="D12" s="14"/>
      <c r="E12" s="8">
        <f>G8</f>
        <v>204</v>
      </c>
      <c r="F12" s="16"/>
      <c r="G12" s="8"/>
      <c r="H12" s="8">
        <f>E12</f>
        <v>204</v>
      </c>
      <c r="J12" s="24"/>
      <c r="K12" s="24"/>
    </row>
    <row r="13" spans="1:11" x14ac:dyDescent="0.45">
      <c r="A13" s="13" t="s">
        <v>22</v>
      </c>
      <c r="J13" s="24"/>
      <c r="K13" s="24"/>
    </row>
    <row r="14" spans="1:11" x14ac:dyDescent="0.45">
      <c r="A14" s="14" t="s">
        <v>59</v>
      </c>
      <c r="B14" s="14" t="s">
        <v>23</v>
      </c>
      <c r="C14" s="15">
        <v>1.96</v>
      </c>
      <c r="D14" s="14">
        <v>72</v>
      </c>
      <c r="E14" s="8">
        <f>ROUND(C14*D14,2)</f>
        <v>141.12</v>
      </c>
      <c r="F14" s="16">
        <v>0</v>
      </c>
      <c r="G14" s="8">
        <f>ROUND(E14*F14,2)</f>
        <v>0</v>
      </c>
      <c r="H14" s="8">
        <f>ROUND(E14-G14,2)</f>
        <v>141.12</v>
      </c>
      <c r="I14" s="8"/>
      <c r="J14" s="24"/>
      <c r="K14" s="24"/>
    </row>
    <row r="15" spans="1:11" x14ac:dyDescent="0.45">
      <c r="A15" s="13" t="s">
        <v>51</v>
      </c>
      <c r="J15" s="24"/>
      <c r="K15" s="24"/>
    </row>
    <row r="16" spans="1:11" ht="15.75" x14ac:dyDescent="0.45">
      <c r="A16" s="14" t="s">
        <v>60</v>
      </c>
      <c r="B16" s="14" t="s">
        <v>15</v>
      </c>
      <c r="C16" s="15">
        <v>8.5</v>
      </c>
      <c r="D16" s="14">
        <v>2</v>
      </c>
      <c r="E16" s="8">
        <f>ROUND(C16*D16,2)</f>
        <v>17</v>
      </c>
      <c r="F16" s="16">
        <v>0</v>
      </c>
      <c r="G16" s="8">
        <f>ROUND(E16*F16,2)</f>
        <v>0</v>
      </c>
      <c r="H16" s="8">
        <f>ROUND(E16-G16,2)</f>
        <v>17</v>
      </c>
      <c r="I16" s="8"/>
      <c r="J16" s="24"/>
      <c r="K16" s="24"/>
    </row>
    <row r="17" spans="1:11" ht="15.75" x14ac:dyDescent="0.45">
      <c r="A17" s="14" t="s">
        <v>65</v>
      </c>
      <c r="B17" s="14" t="s">
        <v>15</v>
      </c>
      <c r="C17" s="15">
        <v>10</v>
      </c>
      <c r="D17" s="14">
        <v>5</v>
      </c>
      <c r="E17" s="8">
        <f>ROUND(C17*D17,2)</f>
        <v>50</v>
      </c>
      <c r="F17" s="16">
        <v>0</v>
      </c>
      <c r="G17" s="8">
        <f>ROUND(E17*F17,2)</f>
        <v>0</v>
      </c>
      <c r="H17" s="8">
        <f>ROUND(E17-G17,2)</f>
        <v>50</v>
      </c>
      <c r="I17" s="8"/>
      <c r="J17" s="24"/>
      <c r="K17" s="24"/>
    </row>
    <row r="18" spans="1:11" ht="15.75" x14ac:dyDescent="0.45">
      <c r="A18" s="14" t="s">
        <v>66</v>
      </c>
      <c r="B18" s="14" t="s">
        <v>50</v>
      </c>
      <c r="C18" s="19">
        <v>0.1</v>
      </c>
      <c r="D18" s="14">
        <v>330</v>
      </c>
      <c r="E18" s="8">
        <f>FLOOR((C18*D18), 10)</f>
        <v>30</v>
      </c>
      <c r="F18" s="16">
        <v>0</v>
      </c>
      <c r="G18" s="8">
        <f>ROUND(E18*F18,2)</f>
        <v>0</v>
      </c>
      <c r="H18" s="8">
        <f>ROUND(E18-G18,2)</f>
        <v>30</v>
      </c>
      <c r="I18" s="8"/>
      <c r="J18" s="25">
        <f>SUM(H16:H18)</f>
        <v>97</v>
      </c>
      <c r="K18" s="24" t="s">
        <v>82</v>
      </c>
    </row>
    <row r="19" spans="1:11" x14ac:dyDescent="0.45">
      <c r="A19" s="13" t="s">
        <v>16</v>
      </c>
      <c r="J19" s="24"/>
      <c r="K19" s="24"/>
    </row>
    <row r="20" spans="1:11" ht="15.75" x14ac:dyDescent="0.45">
      <c r="A20" s="14" t="s">
        <v>73</v>
      </c>
      <c r="B20" s="14" t="s">
        <v>50</v>
      </c>
      <c r="C20" s="15">
        <v>0.34499999999999997</v>
      </c>
      <c r="D20" s="14">
        <v>87</v>
      </c>
      <c r="E20" s="8">
        <f>ROUND(C20*D20,2)</f>
        <v>30.02</v>
      </c>
      <c r="F20" s="16">
        <v>0</v>
      </c>
      <c r="G20" s="8">
        <f>ROUND(E20*F20,2)</f>
        <v>0</v>
      </c>
      <c r="H20" s="8">
        <f>ROUND(E20-G20,2)</f>
        <v>30.02</v>
      </c>
      <c r="I20" s="8"/>
      <c r="J20" s="24"/>
      <c r="K20" s="24"/>
    </row>
    <row r="21" spans="1:11" ht="15.75" x14ac:dyDescent="0.45">
      <c r="A21" s="14" t="s">
        <v>53</v>
      </c>
      <c r="B21" s="14" t="s">
        <v>50</v>
      </c>
      <c r="C21" s="15">
        <v>0.25</v>
      </c>
      <c r="D21" s="14">
        <v>100</v>
      </c>
      <c r="E21" s="8">
        <f>ROUND(C21*D21,2)</f>
        <v>25</v>
      </c>
      <c r="F21" s="16">
        <v>0</v>
      </c>
      <c r="G21" s="8">
        <f>ROUND(E21*F21,2)</f>
        <v>0</v>
      </c>
      <c r="H21" s="8">
        <f>ROUND(E21-G21,2)</f>
        <v>25</v>
      </c>
      <c r="I21" s="8"/>
      <c r="J21" s="24"/>
      <c r="K21" s="24"/>
    </row>
    <row r="22" spans="1:11" ht="15.75" x14ac:dyDescent="0.45">
      <c r="A22" s="14" t="s">
        <v>57</v>
      </c>
      <c r="B22" s="14" t="s">
        <v>50</v>
      </c>
      <c r="C22" s="15">
        <f>515/2000</f>
        <v>0.25750000000000001</v>
      </c>
      <c r="D22" s="14">
        <v>100</v>
      </c>
      <c r="E22" s="8">
        <f>ROUND(C22*D22,2)</f>
        <v>25.75</v>
      </c>
      <c r="F22" s="16">
        <v>0</v>
      </c>
      <c r="G22" s="8">
        <f>ROUND(E22*F22,2)</f>
        <v>0</v>
      </c>
      <c r="H22" s="8">
        <f>ROUND(E22-G22,2)</f>
        <v>25.75</v>
      </c>
      <c r="I22" s="8"/>
      <c r="J22" s="24"/>
      <c r="K22" s="24"/>
    </row>
    <row r="23" spans="1:11" ht="15.75" x14ac:dyDescent="0.45">
      <c r="A23" s="14" t="s">
        <v>56</v>
      </c>
      <c r="B23" s="14" t="s">
        <v>50</v>
      </c>
      <c r="C23" s="15">
        <f>(515/2000)+((0.46*18.21)/230)</f>
        <v>0.29392000000000001</v>
      </c>
      <c r="D23" s="14">
        <v>230</v>
      </c>
      <c r="E23" s="8">
        <f>ROUND(C23*D23,2)</f>
        <v>67.599999999999994</v>
      </c>
      <c r="F23" s="16">
        <v>0</v>
      </c>
      <c r="G23" s="8">
        <f>ROUND(E23*F23,2)</f>
        <v>0</v>
      </c>
      <c r="H23" s="8">
        <f>ROUND(E23-G23,2)</f>
        <v>67.599999999999994</v>
      </c>
      <c r="I23" s="8"/>
      <c r="J23" s="25">
        <f>SUM(H20:H23)</f>
        <v>148.37</v>
      </c>
      <c r="K23" s="24" t="s">
        <v>83</v>
      </c>
    </row>
    <row r="24" spans="1:11" x14ac:dyDescent="0.45">
      <c r="A24" s="13" t="s">
        <v>20</v>
      </c>
      <c r="J24" s="24"/>
      <c r="K24" s="24"/>
    </row>
    <row r="25" spans="1:11" ht="15.75" x14ac:dyDescent="0.45">
      <c r="A25" s="14" t="s">
        <v>52</v>
      </c>
      <c r="B25" s="14" t="s">
        <v>17</v>
      </c>
      <c r="C25" s="15">
        <v>2.19</v>
      </c>
      <c r="D25" s="14">
        <v>2</v>
      </c>
      <c r="E25" s="8">
        <f t="shared" ref="E25:E32" si="0">ROUND(C25*D25,2)</f>
        <v>4.38</v>
      </c>
      <c r="F25" s="16">
        <v>0</v>
      </c>
      <c r="G25" s="8">
        <f t="shared" ref="G25:G31" si="1">ROUND(E25*F25,2)</f>
        <v>0</v>
      </c>
      <c r="H25" s="8">
        <f t="shared" ref="H25:H31" si="2">ROUND(E25-G25,2)</f>
        <v>4.38</v>
      </c>
      <c r="I25" s="8"/>
      <c r="J25" s="27"/>
      <c r="K25" s="24"/>
    </row>
    <row r="26" spans="1:11" ht="15.75" x14ac:dyDescent="0.45">
      <c r="A26" s="14" t="s">
        <v>54</v>
      </c>
      <c r="B26" s="14" t="s">
        <v>19</v>
      </c>
      <c r="C26" s="15">
        <v>0.74</v>
      </c>
      <c r="D26" s="14">
        <v>12.8</v>
      </c>
      <c r="E26" s="8">
        <f t="shared" si="0"/>
        <v>9.4700000000000006</v>
      </c>
      <c r="F26" s="16">
        <v>0</v>
      </c>
      <c r="G26" s="8">
        <f t="shared" si="1"/>
        <v>0</v>
      </c>
      <c r="H26" s="8">
        <f t="shared" si="2"/>
        <v>9.4700000000000006</v>
      </c>
      <c r="I26" s="8"/>
      <c r="J26" s="24"/>
      <c r="K26" s="24"/>
    </row>
    <row r="27" spans="1:11" ht="15.75" x14ac:dyDescent="0.45">
      <c r="A27" s="14" t="s">
        <v>55</v>
      </c>
      <c r="B27" s="14" t="s">
        <v>17</v>
      </c>
      <c r="C27" s="15">
        <f>C25</f>
        <v>2.19</v>
      </c>
      <c r="D27" s="14">
        <v>2</v>
      </c>
      <c r="E27" s="8">
        <f t="shared" si="0"/>
        <v>4.38</v>
      </c>
      <c r="F27" s="16">
        <v>0</v>
      </c>
      <c r="G27" s="8">
        <f t="shared" si="1"/>
        <v>0</v>
      </c>
      <c r="H27" s="8">
        <f t="shared" si="2"/>
        <v>4.38</v>
      </c>
      <c r="I27" s="8"/>
      <c r="J27" s="24"/>
      <c r="K27" s="24"/>
    </row>
    <row r="28" spans="1:11" ht="15.75" x14ac:dyDescent="0.45">
      <c r="A28" s="14" t="s">
        <v>74</v>
      </c>
      <c r="B28" s="14" t="s">
        <v>19</v>
      </c>
      <c r="C28" s="15">
        <v>6.7</v>
      </c>
      <c r="D28" s="14">
        <v>3</v>
      </c>
      <c r="E28" s="8">
        <f t="shared" si="0"/>
        <v>20.100000000000001</v>
      </c>
      <c r="F28" s="16">
        <v>0</v>
      </c>
      <c r="G28" s="8">
        <f t="shared" si="1"/>
        <v>0</v>
      </c>
      <c r="H28" s="8">
        <f t="shared" si="2"/>
        <v>20.100000000000001</v>
      </c>
      <c r="I28" s="8"/>
      <c r="J28" s="24"/>
      <c r="K28" s="24"/>
    </row>
    <row r="29" spans="1:11" ht="15.75" x14ac:dyDescent="0.45">
      <c r="A29" s="14" t="s">
        <v>76</v>
      </c>
      <c r="B29" s="14" t="s">
        <v>19</v>
      </c>
      <c r="C29" s="15">
        <v>0.328125</v>
      </c>
      <c r="D29" s="14">
        <v>15.5</v>
      </c>
      <c r="E29" s="8">
        <f t="shared" si="0"/>
        <v>5.09</v>
      </c>
      <c r="F29" s="16">
        <v>0</v>
      </c>
      <c r="G29" s="8">
        <f t="shared" si="1"/>
        <v>0</v>
      </c>
      <c r="H29" s="8">
        <f t="shared" si="2"/>
        <v>5.09</v>
      </c>
      <c r="I29" s="8"/>
      <c r="J29" s="24"/>
      <c r="K29" s="24"/>
    </row>
    <row r="30" spans="1:11" ht="15.75" x14ac:dyDescent="0.45">
      <c r="A30" s="14" t="s">
        <v>77</v>
      </c>
      <c r="B30" s="14" t="s">
        <v>79</v>
      </c>
      <c r="C30" s="15">
        <f>42.6/4</f>
        <v>10.65</v>
      </c>
      <c r="D30" s="14">
        <v>3</v>
      </c>
      <c r="E30" s="8">
        <f t="shared" si="0"/>
        <v>31.95</v>
      </c>
      <c r="F30" s="16">
        <v>0</v>
      </c>
      <c r="G30" s="8">
        <f t="shared" si="1"/>
        <v>0</v>
      </c>
      <c r="H30" s="8">
        <f t="shared" si="2"/>
        <v>31.95</v>
      </c>
      <c r="I30" s="8"/>
      <c r="J30" s="24"/>
      <c r="K30" s="24"/>
    </row>
    <row r="31" spans="1:11" ht="15.75" x14ac:dyDescent="0.45">
      <c r="A31" s="14" t="s">
        <v>81</v>
      </c>
      <c r="B31" s="14" t="s">
        <v>19</v>
      </c>
      <c r="C31" s="15">
        <f>C29</f>
        <v>0.328125</v>
      </c>
      <c r="D31" s="14">
        <v>15.5</v>
      </c>
      <c r="E31" s="8">
        <f t="shared" si="0"/>
        <v>5.09</v>
      </c>
      <c r="F31" s="16">
        <v>0</v>
      </c>
      <c r="G31" s="8">
        <f t="shared" si="1"/>
        <v>0</v>
      </c>
      <c r="H31" s="8">
        <f t="shared" si="2"/>
        <v>5.09</v>
      </c>
      <c r="I31" s="8"/>
      <c r="J31" s="24"/>
      <c r="K31" s="24"/>
    </row>
    <row r="32" spans="1:11" ht="15.75" x14ac:dyDescent="0.45">
      <c r="A32" s="14" t="s">
        <v>78</v>
      </c>
      <c r="B32" s="14" t="s">
        <v>17</v>
      </c>
      <c r="C32" s="15">
        <v>2.29</v>
      </c>
      <c r="D32" s="14">
        <v>12</v>
      </c>
      <c r="E32" s="8">
        <f t="shared" si="0"/>
        <v>27.48</v>
      </c>
      <c r="F32" s="16">
        <v>0</v>
      </c>
      <c r="G32" s="8">
        <f t="shared" ref="G32" si="3">ROUND(E32*F32,2)</f>
        <v>0</v>
      </c>
      <c r="H32" s="8">
        <f t="shared" ref="H32" si="4">ROUND(E32-G32,2)</f>
        <v>27.48</v>
      </c>
      <c r="I32" s="8"/>
      <c r="J32" s="25">
        <f>SUM(H25:H32)</f>
        <v>107.94000000000001</v>
      </c>
      <c r="K32" s="24" t="s">
        <v>84</v>
      </c>
    </row>
    <row r="33" spans="1:11" x14ac:dyDescent="0.45">
      <c r="A33" s="13" t="s">
        <v>21</v>
      </c>
      <c r="J33" s="24"/>
      <c r="K33" s="24"/>
    </row>
    <row r="34" spans="1:11" ht="15.75" x14ac:dyDescent="0.45">
      <c r="A34" s="14" t="s">
        <v>68</v>
      </c>
      <c r="B34" s="14" t="s">
        <v>19</v>
      </c>
      <c r="C34" s="15">
        <v>1.1299999999999999</v>
      </c>
      <c r="D34" s="14">
        <v>8</v>
      </c>
      <c r="E34" s="8">
        <f>ROUND(C34*D34,2)</f>
        <v>9.0399999999999991</v>
      </c>
      <c r="F34" s="16">
        <v>0</v>
      </c>
      <c r="G34" s="8">
        <f>ROUND(E34*F34,2)</f>
        <v>0</v>
      </c>
      <c r="H34" s="8">
        <f>ROUND(E34-G34,2)</f>
        <v>9.0399999999999991</v>
      </c>
      <c r="I34" s="8"/>
      <c r="J34" s="24"/>
      <c r="K34" s="24"/>
    </row>
    <row r="35" spans="1:11" x14ac:dyDescent="0.45">
      <c r="A35" s="13" t="s">
        <v>18</v>
      </c>
      <c r="J35" s="24"/>
      <c r="K35" s="24"/>
    </row>
    <row r="36" spans="1:11" ht="15.75" x14ac:dyDescent="0.45">
      <c r="A36" s="14" t="s">
        <v>71</v>
      </c>
      <c r="B36" s="14" t="s">
        <v>19</v>
      </c>
      <c r="C36" s="15">
        <f>69/128</f>
        <v>0.5390625</v>
      </c>
      <c r="D36" s="14">
        <v>21</v>
      </c>
      <c r="E36" s="8">
        <f>ROUND(C36*D36,2)</f>
        <v>11.32</v>
      </c>
      <c r="F36" s="16">
        <v>0</v>
      </c>
      <c r="G36" s="8">
        <f>ROUND(E36*F36,2)</f>
        <v>0</v>
      </c>
      <c r="H36" s="8">
        <f>ROUND(E36-G36,2)</f>
        <v>11.32</v>
      </c>
      <c r="I36" s="8"/>
      <c r="J36" s="25">
        <f>SUM(J32+H34+H36)</f>
        <v>128.30000000000001</v>
      </c>
      <c r="K36" s="24" t="s">
        <v>85</v>
      </c>
    </row>
    <row r="37" spans="1:11" x14ac:dyDescent="0.45">
      <c r="A37" s="13" t="s">
        <v>24</v>
      </c>
      <c r="J37" s="24"/>
      <c r="K37" s="24"/>
    </row>
    <row r="38" spans="1:11" x14ac:dyDescent="0.45">
      <c r="A38" s="13" t="s">
        <v>25</v>
      </c>
      <c r="J38" s="24"/>
      <c r="K38" s="24"/>
    </row>
    <row r="39" spans="1:11" x14ac:dyDescent="0.45">
      <c r="A39" s="14" t="s">
        <v>26</v>
      </c>
      <c r="B39" s="14" t="s">
        <v>11</v>
      </c>
      <c r="C39" s="15">
        <v>0.25</v>
      </c>
      <c r="D39" s="14">
        <v>170</v>
      </c>
      <c r="E39" s="8">
        <f>ROUND(C39*D39,2)</f>
        <v>42.5</v>
      </c>
      <c r="F39" s="16">
        <v>0</v>
      </c>
      <c r="G39" s="8">
        <f>ROUND(E39*F39,2)</f>
        <v>0</v>
      </c>
      <c r="H39" s="8">
        <f>ROUND(E39-G39,2)</f>
        <v>42.5</v>
      </c>
      <c r="I39" s="8"/>
      <c r="J39" s="24"/>
      <c r="K39" s="24"/>
    </row>
    <row r="40" spans="1:11" x14ac:dyDescent="0.45">
      <c r="A40" s="13" t="s">
        <v>27</v>
      </c>
      <c r="J40" s="24"/>
      <c r="K40" s="24"/>
    </row>
    <row r="41" spans="1:11" x14ac:dyDescent="0.45">
      <c r="A41" s="14" t="s">
        <v>28</v>
      </c>
      <c r="B41" s="14" t="s">
        <v>11</v>
      </c>
      <c r="C41" s="15">
        <v>0.4</v>
      </c>
      <c r="D41" s="14">
        <v>170</v>
      </c>
      <c r="E41" s="8">
        <f>ROUND(C41*D41,2)</f>
        <v>68</v>
      </c>
      <c r="F41" s="16">
        <v>0</v>
      </c>
      <c r="G41" s="8">
        <f>ROUND(E41*F41,2)</f>
        <v>0</v>
      </c>
      <c r="H41" s="8">
        <f>ROUND(E41-G41,2)</f>
        <v>68</v>
      </c>
      <c r="I41" s="8"/>
      <c r="J41" s="24"/>
      <c r="K41" s="24"/>
    </row>
    <row r="42" spans="1:11" x14ac:dyDescent="0.45">
      <c r="A42" s="13" t="s">
        <v>29</v>
      </c>
      <c r="J42" s="24"/>
      <c r="K42" s="24"/>
    </row>
    <row r="43" spans="1:11" x14ac:dyDescent="0.45">
      <c r="A43" s="14" t="s">
        <v>30</v>
      </c>
      <c r="B43" s="14" t="s">
        <v>31</v>
      </c>
      <c r="C43" s="15">
        <v>4.5</v>
      </c>
      <c r="D43" s="14">
        <v>1</v>
      </c>
      <c r="E43" s="8">
        <f>ROUND(C43*D43,2)</f>
        <v>4.5</v>
      </c>
      <c r="F43" s="16">
        <v>0</v>
      </c>
      <c r="G43" s="8">
        <f>ROUND(E43*F43,2)</f>
        <v>0</v>
      </c>
      <c r="H43" s="8">
        <f>ROUND(E43-G43,2)</f>
        <v>4.5</v>
      </c>
      <c r="I43" s="8"/>
      <c r="J43" s="24"/>
      <c r="K43" s="24"/>
    </row>
    <row r="44" spans="1:11" x14ac:dyDescent="0.45">
      <c r="A44" s="13" t="s">
        <v>58</v>
      </c>
      <c r="J44" s="24"/>
      <c r="K44" s="24"/>
    </row>
    <row r="45" spans="1:11" x14ac:dyDescent="0.45">
      <c r="A45" s="14" t="s">
        <v>32</v>
      </c>
      <c r="B45" s="14" t="s">
        <v>31</v>
      </c>
      <c r="C45" s="15">
        <v>8</v>
      </c>
      <c r="D45" s="14">
        <v>1</v>
      </c>
      <c r="E45" s="8">
        <f>ROUND(C45*D45,2)</f>
        <v>8</v>
      </c>
      <c r="F45" s="16">
        <v>0</v>
      </c>
      <c r="G45" s="8">
        <f>ROUND(E45*F45,2)</f>
        <v>0</v>
      </c>
      <c r="H45" s="8">
        <f>ROUND(E45-G45,2)</f>
        <v>8</v>
      </c>
      <c r="I45" s="8"/>
      <c r="J45" s="24"/>
      <c r="K45" s="24"/>
    </row>
    <row r="46" spans="1:11" x14ac:dyDescent="0.45">
      <c r="A46" s="13" t="s">
        <v>62</v>
      </c>
      <c r="I46" s="8"/>
      <c r="J46" s="24"/>
      <c r="K46" s="24"/>
    </row>
    <row r="47" spans="1:11" x14ac:dyDescent="0.45">
      <c r="A47" s="14" t="s">
        <v>63</v>
      </c>
      <c r="B47" s="14" t="s">
        <v>31</v>
      </c>
      <c r="C47" s="15">
        <v>32</v>
      </c>
      <c r="D47" s="14">
        <v>1</v>
      </c>
      <c r="E47" s="8">
        <f>ROUND(C47*D47,2)</f>
        <v>32</v>
      </c>
      <c r="F47" s="16">
        <v>0</v>
      </c>
      <c r="G47" s="8">
        <f>ROUND(E47*F47,2)</f>
        <v>0</v>
      </c>
      <c r="H47" s="8">
        <f>ROUND(E47-G47,2)</f>
        <v>32</v>
      </c>
      <c r="I47" s="8"/>
      <c r="J47" s="24"/>
      <c r="K47" s="24"/>
    </row>
    <row r="48" spans="1:11" x14ac:dyDescent="0.45">
      <c r="A48" s="13" t="s">
        <v>33</v>
      </c>
      <c r="J48" s="24"/>
      <c r="K48" s="24"/>
    </row>
    <row r="49" spans="1:11" x14ac:dyDescent="0.45">
      <c r="A49" s="14" t="s">
        <v>34</v>
      </c>
      <c r="B49" s="14" t="s">
        <v>35</v>
      </c>
      <c r="C49" s="15">
        <v>14.53</v>
      </c>
      <c r="D49" s="20">
        <f>6.86/14.53</f>
        <v>0.47212663454920856</v>
      </c>
      <c r="E49" s="8">
        <f>ROUND(C49*D49,2)</f>
        <v>6.86</v>
      </c>
      <c r="F49" s="16">
        <v>0</v>
      </c>
      <c r="G49" s="8">
        <f>ROUND(E49*F49,2)</f>
        <v>0</v>
      </c>
      <c r="H49" s="8">
        <f>ROUND(E49-G49,2)</f>
        <v>6.86</v>
      </c>
      <c r="I49" s="8"/>
      <c r="J49" s="24"/>
      <c r="K49" s="24"/>
    </row>
    <row r="50" spans="1:11" x14ac:dyDescent="0.45">
      <c r="A50" s="14" t="s">
        <v>36</v>
      </c>
      <c r="B50" s="14" t="s">
        <v>35</v>
      </c>
      <c r="C50" s="15">
        <v>14.53</v>
      </c>
      <c r="D50" s="20">
        <f>5.07/14.53</f>
        <v>0.34893324156916727</v>
      </c>
      <c r="E50" s="8">
        <f>ROUND(C50*D50,2)</f>
        <v>5.07</v>
      </c>
      <c r="F50" s="16">
        <v>0</v>
      </c>
      <c r="G50" s="8">
        <f>ROUND(E50*F50,2)</f>
        <v>0</v>
      </c>
      <c r="H50" s="8">
        <f>ROUND(E50-G50,2)</f>
        <v>5.07</v>
      </c>
      <c r="I50" s="8"/>
      <c r="J50" s="24"/>
      <c r="K50" s="24"/>
    </row>
    <row r="51" spans="1:11" x14ac:dyDescent="0.45">
      <c r="A51" s="13" t="s">
        <v>67</v>
      </c>
      <c r="B51" s="14"/>
      <c r="C51" s="15"/>
      <c r="D51" s="14"/>
      <c r="F51" s="16"/>
      <c r="G51" s="8"/>
      <c r="H51" s="8"/>
      <c r="I51" s="8"/>
      <c r="J51" s="24"/>
      <c r="K51" s="24"/>
    </row>
    <row r="52" spans="1:11" x14ac:dyDescent="0.45">
      <c r="A52" s="14" t="s">
        <v>37</v>
      </c>
      <c r="B52" s="14" t="s">
        <v>35</v>
      </c>
      <c r="C52" s="15">
        <v>14.53</v>
      </c>
      <c r="D52" s="14">
        <v>2.92</v>
      </c>
      <c r="E52" s="8">
        <f>ROUND(C52*D52,2)</f>
        <v>42.43</v>
      </c>
      <c r="F52" s="16">
        <v>0</v>
      </c>
      <c r="G52" s="8">
        <f>ROUND(E52*F52,2)</f>
        <v>0</v>
      </c>
      <c r="H52" s="8">
        <f>ROUND(E52-G52,2)</f>
        <v>42.43</v>
      </c>
      <c r="I52" s="8"/>
      <c r="J52" s="24"/>
      <c r="K52" s="24"/>
    </row>
    <row r="53" spans="1:11" x14ac:dyDescent="0.45">
      <c r="A53" s="13" t="s">
        <v>38</v>
      </c>
      <c r="I53" s="8"/>
      <c r="J53" s="24"/>
      <c r="K53" s="24"/>
    </row>
    <row r="54" spans="1:11" x14ac:dyDescent="0.45">
      <c r="A54" s="14" t="s">
        <v>34</v>
      </c>
      <c r="B54" s="14" t="s">
        <v>39</v>
      </c>
      <c r="C54" s="15">
        <v>2.8</v>
      </c>
      <c r="D54" s="21">
        <f>10.68/2.8</f>
        <v>3.8142857142857145</v>
      </c>
      <c r="E54" s="8">
        <f>ROUND(C54*D54,2)</f>
        <v>10.68</v>
      </c>
      <c r="F54" s="16">
        <v>0</v>
      </c>
      <c r="G54" s="8">
        <f>ROUND(E54*F54,2)</f>
        <v>0</v>
      </c>
      <c r="H54" s="8">
        <f>ROUND(E54-G54,2)</f>
        <v>10.68</v>
      </c>
      <c r="I54" s="8"/>
      <c r="J54" s="24"/>
      <c r="K54" s="24"/>
    </row>
    <row r="55" spans="1:11" x14ac:dyDescent="0.45">
      <c r="A55" s="14" t="s">
        <v>36</v>
      </c>
      <c r="B55" s="14" t="s">
        <v>39</v>
      </c>
      <c r="C55" s="15">
        <v>2.8</v>
      </c>
      <c r="D55" s="21">
        <f>10.07/2.8</f>
        <v>3.596428571428572</v>
      </c>
      <c r="E55" s="8">
        <f>ROUND(C55*D55,2)</f>
        <v>10.07</v>
      </c>
      <c r="F55" s="16">
        <v>0</v>
      </c>
      <c r="G55" s="8">
        <f>ROUND(E55*F55,2)</f>
        <v>0</v>
      </c>
      <c r="H55" s="8">
        <f>ROUND(E55-G55,2)</f>
        <v>10.07</v>
      </c>
      <c r="J55" s="26">
        <f>SUM(D54:D56)</f>
        <v>42.846428571428575</v>
      </c>
      <c r="K55" s="24" t="s">
        <v>86</v>
      </c>
    </row>
    <row r="56" spans="1:11" x14ac:dyDescent="0.45">
      <c r="A56" s="14" t="s">
        <v>40</v>
      </c>
      <c r="B56" s="14" t="s">
        <v>39</v>
      </c>
      <c r="C56" s="15">
        <v>2.8</v>
      </c>
      <c r="D56" s="20">
        <f>99.22/2.8</f>
        <v>35.43571428571429</v>
      </c>
      <c r="E56" s="8">
        <f>ROUND(C56*D56,2)</f>
        <v>99.22</v>
      </c>
      <c r="F56" s="16">
        <v>0</v>
      </c>
      <c r="G56" s="8">
        <f>ROUND(E56*F56,2)</f>
        <v>0</v>
      </c>
      <c r="H56" s="8">
        <f>ROUND(E56-G56,2)</f>
        <v>99.22</v>
      </c>
      <c r="I56" s="8"/>
      <c r="J56" s="25">
        <f>SUM(H54:H56)</f>
        <v>119.97</v>
      </c>
      <c r="K56" s="24" t="s">
        <v>87</v>
      </c>
    </row>
    <row r="57" spans="1:11" x14ac:dyDescent="0.45">
      <c r="A57" s="13" t="s">
        <v>41</v>
      </c>
      <c r="I57" s="8"/>
      <c r="J57" s="24"/>
      <c r="K57" s="24"/>
    </row>
    <row r="58" spans="1:11" x14ac:dyDescent="0.45">
      <c r="A58" s="14" t="s">
        <v>70</v>
      </c>
      <c r="B58" s="14" t="s">
        <v>31</v>
      </c>
      <c r="C58" s="15">
        <v>8.1300000000000008</v>
      </c>
      <c r="D58" s="14">
        <v>1</v>
      </c>
      <c r="E58" s="8">
        <f>ROUND(C58*D58,2)</f>
        <v>8.1300000000000008</v>
      </c>
      <c r="F58" s="16">
        <v>0</v>
      </c>
      <c r="G58" s="8">
        <f>ROUND(E58*F58,2)</f>
        <v>0</v>
      </c>
      <c r="H58" s="8">
        <f t="shared" ref="H58:H64" si="5">ROUND(E58-G58,2)</f>
        <v>8.1300000000000008</v>
      </c>
      <c r="I58" s="8"/>
      <c r="J58" s="24"/>
      <c r="K58" s="24"/>
    </row>
    <row r="59" spans="1:11" x14ac:dyDescent="0.45">
      <c r="A59" s="14" t="s">
        <v>36</v>
      </c>
      <c r="B59" s="14" t="s">
        <v>31</v>
      </c>
      <c r="C59" s="15">
        <v>15.18</v>
      </c>
      <c r="D59" s="14">
        <v>1</v>
      </c>
      <c r="E59" s="8">
        <f>ROUND(C59*D59,2)</f>
        <v>15.18</v>
      </c>
      <c r="F59" s="16">
        <v>0</v>
      </c>
      <c r="G59" s="8">
        <f>ROUND(E59*F59,2)</f>
        <v>0</v>
      </c>
      <c r="H59" s="8">
        <f t="shared" si="5"/>
        <v>15.18</v>
      </c>
      <c r="I59" s="18"/>
      <c r="J59" s="24"/>
      <c r="K59" s="24"/>
    </row>
    <row r="60" spans="1:11" x14ac:dyDescent="0.45">
      <c r="A60" s="14" t="s">
        <v>40</v>
      </c>
      <c r="B60" s="14" t="s">
        <v>31</v>
      </c>
      <c r="C60" s="15">
        <v>7.92</v>
      </c>
      <c r="D60" s="14">
        <v>1</v>
      </c>
      <c r="E60" s="8">
        <f>ROUND(C60*D60,2)</f>
        <v>7.92</v>
      </c>
      <c r="F60" s="16">
        <v>0</v>
      </c>
      <c r="G60" s="8">
        <f>ROUND(E60*F60,2)</f>
        <v>0</v>
      </c>
      <c r="H60" s="8">
        <f t="shared" si="5"/>
        <v>7.92</v>
      </c>
      <c r="I60" s="12"/>
      <c r="J60" s="25">
        <f>SUM(H58:H60)</f>
        <v>31.230000000000004</v>
      </c>
      <c r="K60" s="24" t="s">
        <v>88</v>
      </c>
    </row>
    <row r="61" spans="1:11" x14ac:dyDescent="0.45">
      <c r="A61" s="14" t="s">
        <v>91</v>
      </c>
      <c r="B61" s="14" t="s">
        <v>11</v>
      </c>
      <c r="C61" s="15">
        <v>1.35E-2</v>
      </c>
      <c r="D61" s="14">
        <f>D7</f>
        <v>170</v>
      </c>
      <c r="E61" s="8">
        <f>ROUND(C61*D61,2)</f>
        <v>2.2999999999999998</v>
      </c>
      <c r="F61" s="16">
        <v>0</v>
      </c>
      <c r="G61" s="8">
        <f>ROUND(E61*F61,2)</f>
        <v>0</v>
      </c>
      <c r="H61" s="8">
        <f t="shared" ref="H61" si="6">ROUND(E61-G61,2)</f>
        <v>2.2999999999999998</v>
      </c>
      <c r="I61" s="12"/>
      <c r="J61" s="25"/>
      <c r="K61" s="24"/>
    </row>
    <row r="62" spans="1:11" ht="15" customHeight="1" x14ac:dyDescent="0.45">
      <c r="A62" s="9" t="s">
        <v>42</v>
      </c>
      <c r="B62" s="9" t="s">
        <v>31</v>
      </c>
      <c r="C62" s="10">
        <v>34.46</v>
      </c>
      <c r="D62" s="9">
        <v>1</v>
      </c>
      <c r="E62" s="2">
        <f>ROUND(C62*D62,2)</f>
        <v>34.46</v>
      </c>
      <c r="F62" s="11">
        <v>0</v>
      </c>
      <c r="G62" s="2">
        <f>ROUND(E62*F62,2)</f>
        <v>0</v>
      </c>
      <c r="H62" s="2">
        <f t="shared" si="5"/>
        <v>34.46</v>
      </c>
      <c r="I62" s="12"/>
      <c r="J62" s="24"/>
      <c r="K62" s="24"/>
    </row>
    <row r="63" spans="1:11" x14ac:dyDescent="0.45">
      <c r="A63" s="7" t="s">
        <v>43</v>
      </c>
      <c r="E63" s="8">
        <f>SUM(E14:E62)</f>
        <v>912.11</v>
      </c>
      <c r="G63" s="12">
        <f>SUM(G16:G62)</f>
        <v>0</v>
      </c>
      <c r="H63" s="12">
        <f t="shared" si="5"/>
        <v>912.11</v>
      </c>
      <c r="J63" s="24"/>
      <c r="K63" s="24"/>
    </row>
    <row r="64" spans="1:11" x14ac:dyDescent="0.45">
      <c r="A64" s="7" t="s">
        <v>44</v>
      </c>
      <c r="E64" s="8">
        <f>+E8-E63</f>
        <v>107.88999999999999</v>
      </c>
      <c r="G64" s="12">
        <f>+G8-G63</f>
        <v>204</v>
      </c>
      <c r="H64" s="12">
        <f t="shared" si="5"/>
        <v>-96.11</v>
      </c>
      <c r="J64" s="24"/>
      <c r="K64" s="24"/>
    </row>
    <row r="65" spans="1:11" ht="6.75" customHeight="1" x14ac:dyDescent="0.45">
      <c r="A65" t="s">
        <v>13</v>
      </c>
      <c r="I65" s="8"/>
      <c r="J65" s="24"/>
      <c r="K65" s="24"/>
    </row>
    <row r="66" spans="1:11" x14ac:dyDescent="0.45">
      <c r="A66" s="7" t="s">
        <v>45</v>
      </c>
      <c r="I66" s="8"/>
      <c r="J66" s="24"/>
      <c r="K66" s="24"/>
    </row>
    <row r="67" spans="1:11" x14ac:dyDescent="0.45">
      <c r="A67" s="14" t="s">
        <v>61</v>
      </c>
      <c r="B67" s="14" t="s">
        <v>31</v>
      </c>
      <c r="C67" s="15">
        <v>47.7</v>
      </c>
      <c r="D67" s="14">
        <v>1</v>
      </c>
      <c r="E67" s="8">
        <f>ROUND(C67*D67,2)</f>
        <v>47.7</v>
      </c>
      <c r="F67" s="16">
        <v>0</v>
      </c>
      <c r="G67" s="8">
        <f>ROUND(E67*F67,2)</f>
        <v>0</v>
      </c>
      <c r="H67" s="8">
        <f t="shared" ref="H67:H73" si="7">ROUND(E67-G67,2)</f>
        <v>47.7</v>
      </c>
      <c r="I67" s="18"/>
      <c r="J67" s="24"/>
      <c r="K67" s="24"/>
    </row>
    <row r="68" spans="1:11" x14ac:dyDescent="0.45">
      <c r="A68" s="14" t="s">
        <v>36</v>
      </c>
      <c r="B68" s="14" t="s">
        <v>31</v>
      </c>
      <c r="C68" s="15">
        <v>62.24</v>
      </c>
      <c r="D68" s="14">
        <v>1</v>
      </c>
      <c r="E68" s="8">
        <f>ROUND(C68*D68,2)</f>
        <v>62.24</v>
      </c>
      <c r="F68" s="16">
        <v>0</v>
      </c>
      <c r="G68" s="8">
        <f>ROUND(E68*F68,2)</f>
        <v>0</v>
      </c>
      <c r="H68" s="8">
        <f t="shared" si="7"/>
        <v>62.24</v>
      </c>
      <c r="I68" s="12"/>
      <c r="J68" s="24"/>
      <c r="K68" s="24"/>
    </row>
    <row r="69" spans="1:11" x14ac:dyDescent="0.45">
      <c r="A69" s="9" t="s">
        <v>40</v>
      </c>
      <c r="B69" s="9" t="s">
        <v>31</v>
      </c>
      <c r="C69" s="10">
        <v>59.39</v>
      </c>
      <c r="D69" s="9">
        <v>1</v>
      </c>
      <c r="E69" s="2">
        <f>ROUND(C69*D69,2)</f>
        <v>59.39</v>
      </c>
      <c r="F69" s="11">
        <v>0</v>
      </c>
      <c r="G69" s="2">
        <f>ROUND(E69*F69,2)</f>
        <v>0</v>
      </c>
      <c r="H69" s="2">
        <f t="shared" si="7"/>
        <v>59.39</v>
      </c>
      <c r="I69" s="12"/>
      <c r="J69" s="24"/>
      <c r="K69" s="24"/>
    </row>
    <row r="70" spans="1:11" x14ac:dyDescent="0.45">
      <c r="A70" s="9" t="s">
        <v>90</v>
      </c>
      <c r="B70" s="9" t="s">
        <v>31</v>
      </c>
      <c r="C70" s="10">
        <v>5.5</v>
      </c>
      <c r="D70" s="9">
        <v>1</v>
      </c>
      <c r="E70" s="2">
        <f>ROUND(C70*D70,2)</f>
        <v>5.5</v>
      </c>
      <c r="F70" s="11">
        <v>0</v>
      </c>
      <c r="G70" s="2">
        <f>ROUND(E70*F70,2)</f>
        <v>0</v>
      </c>
      <c r="H70" s="2">
        <f t="shared" ref="H70" si="8">ROUND(E70-G70,2)</f>
        <v>5.5</v>
      </c>
      <c r="I70" s="12"/>
      <c r="J70" s="24"/>
      <c r="K70" s="24"/>
    </row>
    <row r="71" spans="1:11" x14ac:dyDescent="0.45">
      <c r="A71" s="7" t="s">
        <v>46</v>
      </c>
      <c r="E71" s="8">
        <f>SUM(E67:E70)</f>
        <v>174.82999999999998</v>
      </c>
      <c r="G71" s="12">
        <f>SUM(G67:G69)</f>
        <v>0</v>
      </c>
      <c r="H71" s="12">
        <f t="shared" si="7"/>
        <v>174.83</v>
      </c>
      <c r="I71" s="12"/>
      <c r="J71" s="24"/>
      <c r="K71" s="24"/>
    </row>
    <row r="72" spans="1:11" x14ac:dyDescent="0.45">
      <c r="A72" s="7" t="s">
        <v>47</v>
      </c>
      <c r="E72" s="8">
        <f>+E63+E71</f>
        <v>1086.94</v>
      </c>
      <c r="G72" s="12">
        <f>+G63+G71</f>
        <v>0</v>
      </c>
      <c r="H72" s="12">
        <f t="shared" si="7"/>
        <v>1086.94</v>
      </c>
      <c r="J72" s="24"/>
      <c r="K72" s="24"/>
    </row>
    <row r="73" spans="1:11" x14ac:dyDescent="0.45">
      <c r="A73" s="7" t="s">
        <v>48</v>
      </c>
      <c r="E73" s="22">
        <f>+E8-E72</f>
        <v>-66.940000000000055</v>
      </c>
      <c r="G73" s="12">
        <f>+G8-G72</f>
        <v>204</v>
      </c>
      <c r="H73" s="23">
        <f t="shared" si="7"/>
        <v>-270.94</v>
      </c>
      <c r="J73" s="24"/>
      <c r="K73" s="24"/>
    </row>
    <row r="74" spans="1:11" ht="8.25" customHeight="1" x14ac:dyDescent="0.45">
      <c r="A74" t="s">
        <v>72</v>
      </c>
      <c r="J74" s="24"/>
      <c r="K74" s="24"/>
    </row>
    <row r="75" spans="1:11" ht="15" customHeight="1" x14ac:dyDescent="0.45">
      <c r="A75" s="33" t="s">
        <v>80</v>
      </c>
      <c r="B75" s="33"/>
      <c r="C75" s="33"/>
      <c r="D75" s="33"/>
      <c r="E75" s="33"/>
      <c r="F75" s="33"/>
      <c r="G75" s="33"/>
      <c r="H75" s="33"/>
      <c r="J75" s="24"/>
      <c r="K75" s="24"/>
    </row>
    <row r="76" spans="1:11" x14ac:dyDescent="0.45">
      <c r="A76" s="33"/>
      <c r="B76" s="33"/>
      <c r="C76" s="33"/>
      <c r="D76" s="33"/>
      <c r="E76" s="33"/>
      <c r="F76" s="33"/>
      <c r="G76" s="33"/>
      <c r="H76" s="33"/>
      <c r="J76" s="24"/>
      <c r="K76" s="24"/>
    </row>
    <row r="77" spans="1:11" x14ac:dyDescent="0.45">
      <c r="A77" s="28" t="s">
        <v>69</v>
      </c>
      <c r="B77" s="28"/>
      <c r="C77" s="28"/>
      <c r="D77" s="28"/>
      <c r="E77" s="28"/>
      <c r="F77" s="28"/>
      <c r="G77" s="28"/>
      <c r="H77" s="28"/>
      <c r="J77" s="24"/>
      <c r="K77" s="24"/>
    </row>
    <row r="78" spans="1:11" x14ac:dyDescent="0.45">
      <c r="A78" s="28"/>
      <c r="B78" s="28"/>
      <c r="C78" s="28"/>
      <c r="D78" s="28"/>
      <c r="E78" s="28"/>
      <c r="F78" s="28"/>
      <c r="G78" s="28"/>
      <c r="H78" s="28"/>
      <c r="J78" s="24"/>
      <c r="K78" s="24"/>
    </row>
    <row r="79" spans="1:11" x14ac:dyDescent="0.45">
      <c r="A79" s="28"/>
      <c r="B79" s="28"/>
      <c r="C79" s="28"/>
      <c r="D79" s="28"/>
      <c r="E79" s="28"/>
      <c r="F79" s="28"/>
      <c r="G79" s="28"/>
      <c r="H79" s="28"/>
    </row>
    <row r="80" spans="1:11" x14ac:dyDescent="0.45">
      <c r="A80" s="7"/>
    </row>
  </sheetData>
  <mergeCells count="6">
    <mergeCell ref="A77:H79"/>
    <mergeCell ref="A1:H1"/>
    <mergeCell ref="A2:H2"/>
    <mergeCell ref="A3:H3"/>
    <mergeCell ref="F4:G4"/>
    <mergeCell ref="A75:H76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2024-11-07T03:27:17Z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