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0" documentId="8_{4A04D2D6-E5A5-4ABB-BBB4-A9CE0AE74781}" xr6:coauthVersionLast="47" xr6:coauthVersionMax="47" xr10:uidLastSave="{00000000-0000-0000-0000-000000000000}"/>
  <bookViews>
    <workbookView xWindow="-28065" yWindow="735" windowWidth="15825" windowHeight="10515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0" l="1"/>
  <c r="P6" i="40"/>
  <c r="P3" i="40"/>
  <c r="P2" i="40"/>
  <c r="P15" i="40"/>
  <c r="E7" i="4"/>
  <c r="E8" i="4"/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S9" i="40" l="1"/>
  <c r="A35" i="4" l="1"/>
  <c r="E8" i="25"/>
  <c r="E7" i="25"/>
  <c r="S14" i="40" l="1"/>
  <c r="S12" i="40"/>
  <c r="S11" i="40"/>
  <c r="P16" i="40"/>
  <c r="P12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G5" i="40"/>
  <c r="G4" i="40"/>
  <c r="G3" i="40"/>
  <c r="D4" i="40" l="1"/>
  <c r="D6" i="40"/>
  <c r="D7" i="40"/>
  <c r="D2" i="40" l="1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BX39" i="32" s="1"/>
  <c r="X39" i="32"/>
  <c r="BW39" i="32" s="1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1 qt Glyphosate, 1 qt 2,4-D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8 oz Metribuzin, 56.5 oz Tavium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22 oz Xtendimax, 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1 qt Glyphosate 1 qt Liberty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9 oz Besiege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10 oz Quadris Top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90 lbs Triple Super Phosphate and 100 lbs Potash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$9.37/ac</t>
        </r>
        <r>
          <rPr>
            <sz val="9"/>
            <color indexed="81"/>
            <rFont val="Tahoma"/>
            <family val="2"/>
          </rPr>
          <t xml:space="preserve">
0.6449 hrs @ $14.35/hr
</t>
        </r>
        <r>
          <rPr>
            <i/>
            <sz val="9"/>
            <color indexed="81"/>
            <rFont val="Tahoma"/>
            <family val="2"/>
          </rPr>
          <t>Irrigation: $0.58/ac
0.0399</t>
        </r>
        <r>
          <rPr>
            <sz val="9"/>
            <color indexed="81"/>
            <rFont val="Tahoma"/>
            <family val="2"/>
          </rPr>
          <t xml:space="preserve">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Hipper x 2
Do-All x 1
Planter (Twin Row) x 1
Plant Grain Drill x 1
Irrigation Sweep x 1
Combine x 1
Soybean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<sst xmlns="http://schemas.openxmlformats.org/spreadsheetml/2006/main" count="8688" uniqueCount="1247">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</sst>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60</v>
      </c>
      <c r="Q2" s="1177">
        <f>P2</f>
        <v>60</v>
      </c>
      <c r="R2" s="650">
        <v>220</v>
      </c>
      <c r="S2" s="1177">
        <f>IF(Irrigation!$B$2&lt;3,(Q2*$Q$36)+(R2*$R$36),A1_Link!Q2)</f>
        <v>134.75258568956329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60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60</v>
      </c>
      <c r="L3" s="182"/>
      <c r="M3" s="1190"/>
      <c r="N3" s="3"/>
      <c r="O3" s="648" t="s">
        <v>21</v>
      </c>
      <c r="P3" s="1181">
        <f>Budget!E3</f>
        <v>9.5</v>
      </c>
      <c r="Q3" s="1177">
        <f>P3</f>
        <v>9.5</v>
      </c>
      <c r="R3" s="650">
        <v>4</v>
      </c>
      <c r="S3" s="1177">
        <f>IF(Irrigation!$B$2&lt;3,(Q3*$Q$36)+(R3*$R$36),A1_Link!Q3)</f>
        <v>6.9303798669212622</v>
      </c>
      <c r="T3" s="650"/>
      <c r="U3" s="1190"/>
      <c r="V3" s="3"/>
      <c r="W3" s="3"/>
      <c r="X3" s="648" t="s">
        <v>21</v>
      </c>
      <c r="Y3" s="650">
        <f>Budget!E3</f>
        <v>9.5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51.000000000000007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9.5</v>
      </c>
      <c r="D4" s="3"/>
      <c r="E4" s="1190"/>
      <c r="F4" s="4" t="s">
        <v>788</v>
      </c>
      <c r="G4" s="1189">
        <f>C3</f>
        <v>60</v>
      </c>
      <c r="H4" s="3"/>
      <c r="I4" s="1190"/>
      <c r="J4" s="651" t="s">
        <v>494</v>
      </c>
      <c r="K4" s="1245">
        <f>C4</f>
        <v>9.5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60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51.000000000000007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9.5</v>
      </c>
      <c r="H6" s="3"/>
      <c r="I6" s="1190"/>
      <c r="J6" s="652" t="s">
        <v>231</v>
      </c>
      <c r="K6" s="173">
        <f>K3*K4*(K5)</f>
        <v>570</v>
      </c>
      <c r="L6" s="182"/>
      <c r="M6" s="1190"/>
      <c r="N6" s="3"/>
      <c r="O6" s="648" t="s">
        <v>482</v>
      </c>
      <c r="P6" s="1181">
        <f>Budget!F6</f>
        <v>102.00000000000001</v>
      </c>
      <c r="Q6" s="1177">
        <f t="shared" ref="Q6:Q26" si="0">P6</f>
        <v>102.00000000000001</v>
      </c>
      <c r="R6" s="650">
        <v>125.73</v>
      </c>
      <c r="S6" s="1177">
        <f>IF(Irrigation!$B$2&lt;3,(Q6*$Q$36)+(R6*$R$36),A1_Link!Q6)</f>
        <v>113.08674286508337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48.975277803302731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432.69147589917208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31.049999999999997</v>
      </c>
      <c r="AI7" s="3"/>
    </row>
    <row r="8" spans="2:35" ht="13.9" x14ac:dyDescent="0.4">
      <c r="B8" s="1185" t="s">
        <v>223</v>
      </c>
      <c r="C8" s="1186">
        <f>Budget!F6</f>
        <v>102.00000000000001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31.049999999999997</v>
      </c>
      <c r="Q8" s="1177">
        <f t="shared" si="0"/>
        <v>31.049999999999997</v>
      </c>
      <c r="R8" s="650">
        <v>30</v>
      </c>
      <c r="S8" s="1177">
        <f>IF(Irrigation!$B$2&lt;3,(Q8*$Q$36)+(R8*$R$36),A1_Link!Q8)</f>
        <v>30.559436156412239</v>
      </c>
      <c r="T8" s="650"/>
      <c r="U8" s="1190"/>
      <c r="V8" s="3"/>
      <c r="W8" s="3"/>
      <c r="X8" s="648" t="s">
        <v>1</v>
      </c>
      <c r="Y8" s="650">
        <f>Budget!F36</f>
        <v>16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56.05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394.76907321884653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9.9372767389752994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119.22023437499999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16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60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71.170234374999993</v>
      </c>
      <c r="AI10" s="3"/>
    </row>
    <row r="11" spans="2:35" ht="13.9" x14ac:dyDescent="0.4">
      <c r="B11" s="1185" t="s">
        <v>225</v>
      </c>
      <c r="C11" s="1186">
        <f>SUM(Budget!F20:F23)</f>
        <v>62.5</v>
      </c>
      <c r="D11" s="3"/>
      <c r="E11" s="1190"/>
      <c r="F11" s="1185" t="s">
        <v>223</v>
      </c>
      <c r="G11" s="1186">
        <f>C8</f>
        <v>102.00000000000001</v>
      </c>
      <c r="H11" s="3"/>
      <c r="I11" s="1190"/>
      <c r="J11" s="648" t="s">
        <v>791</v>
      </c>
      <c r="K11" s="665">
        <f>K30+SUM(K32:K35)</f>
        <v>53.452568308189655</v>
      </c>
      <c r="L11" s="182">
        <v>58.670258247720405</v>
      </c>
      <c r="M11" s="1190"/>
      <c r="N11" s="3"/>
      <c r="O11" s="648" t="s">
        <v>183</v>
      </c>
      <c r="P11" s="1181">
        <f>Budget!F14</f>
        <v>71.170234374999993</v>
      </c>
      <c r="Q11" s="1177">
        <f t="shared" si="0"/>
        <v>71.170234374999993</v>
      </c>
      <c r="R11" s="650">
        <v>23.8</v>
      </c>
      <c r="S11" s="1177">
        <f>IF(Irrigation!$B$2&lt;3,(Q11*$Q$36)+(R11*$R$36),A1_Link!Q11)</f>
        <v>49.038687473425725</v>
      </c>
      <c r="T11" s="650"/>
      <c r="U11" s="1190"/>
      <c r="V11" s="3"/>
      <c r="W11" s="3"/>
      <c r="X11" s="648" t="s">
        <v>814</v>
      </c>
      <c r="Y11" s="650">
        <f>Budget!F27</f>
        <v>5.5928888888888881</v>
      </c>
      <c r="Z11" s="650">
        <f>Budget!D$3</f>
        <v>60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24.75</v>
      </c>
      <c r="AI11" s="3"/>
    </row>
    <row r="12" spans="2:35" ht="13.9" x14ac:dyDescent="0.4">
      <c r="B12" s="1185" t="s">
        <v>422</v>
      </c>
      <c r="C12" s="1186">
        <f>Budget!F31+Budget!F32</f>
        <v>0.65</v>
      </c>
      <c r="D12" s="3"/>
      <c r="E12" s="1190"/>
      <c r="F12" s="1185" t="s">
        <v>421</v>
      </c>
      <c r="G12" s="1186">
        <f t="shared" ref="G12:G21" si="2">C9</f>
        <v>56.05</v>
      </c>
      <c r="H12" s="3"/>
      <c r="I12" s="1190"/>
      <c r="J12" s="648" t="s">
        <v>792</v>
      </c>
      <c r="K12" s="664">
        <f>SUM(K36:K37)</f>
        <v>17.850000000000001</v>
      </c>
      <c r="L12" s="182">
        <v>105.03</v>
      </c>
      <c r="M12" s="1190"/>
      <c r="N12" s="3"/>
      <c r="O12" s="648" t="s">
        <v>184</v>
      </c>
      <c r="P12" s="1181">
        <f>Budget!F15</f>
        <v>24.75</v>
      </c>
      <c r="Q12" s="1177">
        <f t="shared" si="0"/>
        <v>24.75</v>
      </c>
      <c r="R12" s="650">
        <v>0</v>
      </c>
      <c r="S12" s="1177">
        <f>IF(Irrigation!$B$2&lt;3,(Q12*$Q$36)+(R12*$R$36),A1_Link!Q12)</f>
        <v>13.186709401145679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60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23.3</v>
      </c>
      <c r="AI12" s="3"/>
    </row>
    <row r="13" spans="2:35" ht="13.9" x14ac:dyDescent="0.4">
      <c r="B13" s="1185" t="s">
        <v>781</v>
      </c>
      <c r="C13" s="1186">
        <f>Budget!F25+Budget!F27</f>
        <v>14.662834633320225</v>
      </c>
      <c r="D13" s="3"/>
      <c r="E13" s="1190"/>
      <c r="F13" s="1185" t="s">
        <v>495</v>
      </c>
      <c r="G13" s="1186">
        <f t="shared" si="2"/>
        <v>119.22023437499999</v>
      </c>
      <c r="H13" s="3"/>
      <c r="I13" s="1190"/>
      <c r="J13" s="652" t="s">
        <v>168</v>
      </c>
      <c r="K13" s="173">
        <f>SUM(K9:K12)-K7</f>
        <v>482.07164152703621</v>
      </c>
      <c r="L13" s="182"/>
      <c r="M13" s="1190"/>
      <c r="N13" s="3"/>
      <c r="O13" s="648" t="s">
        <v>91</v>
      </c>
      <c r="P13" s="1181">
        <f>SUM(Budget!F16:F18)</f>
        <v>23.3</v>
      </c>
      <c r="Q13" s="1177">
        <f t="shared" si="0"/>
        <v>23.3</v>
      </c>
      <c r="R13" s="650">
        <v>0</v>
      </c>
      <c r="S13" s="1177">
        <f>IF(Irrigation!$B$2&lt;3,(Q13*$Q$36)+(R13*$R$36),A1_Link!Q13)</f>
        <v>12.414154708957346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17.850000000000001</v>
      </c>
      <c r="Z13" s="650">
        <f>SUM(Y7:Y13)-Y5</f>
        <v>482.07164152703626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62.5</v>
      </c>
      <c r="AI13" s="3"/>
    </row>
    <row r="14" spans="2:35" ht="13.9" x14ac:dyDescent="0.4">
      <c r="B14" s="1185" t="s">
        <v>423</v>
      </c>
      <c r="C14" s="1186">
        <f>Budget!F29</f>
        <v>39.686004210526313</v>
      </c>
      <c r="D14" s="3"/>
      <c r="E14" s="1190"/>
      <c r="F14" s="1185" t="s">
        <v>225</v>
      </c>
      <c r="G14" s="1186">
        <f t="shared" si="2"/>
        <v>62.5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62.5</v>
      </c>
      <c r="Q14" s="1177">
        <f t="shared" si="0"/>
        <v>62.5</v>
      </c>
      <c r="R14" s="650">
        <v>7.0000000000000009</v>
      </c>
      <c r="S14" s="1177">
        <f>IF(Irrigation!$B$2&lt;3,(Q14*$Q$36)+(R14*$R$36),A1_Link!Q14)</f>
        <v>36.570196838932731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9.0699457444313367</v>
      </c>
      <c r="AI14" s="3"/>
    </row>
    <row r="15" spans="2:35" ht="13.9" x14ac:dyDescent="0.4">
      <c r="B15" s="1185" t="s">
        <v>780</v>
      </c>
      <c r="C15" s="1186">
        <f>Budget!F34+Budget!F35</f>
        <v>5</v>
      </c>
      <c r="D15" s="3"/>
      <c r="E15" s="1190"/>
      <c r="F15" s="1185" t="s">
        <v>782</v>
      </c>
      <c r="G15" s="1186">
        <f t="shared" si="2"/>
        <v>0.65</v>
      </c>
      <c r="H15" s="3"/>
      <c r="I15" s="1190"/>
      <c r="J15" s="652" t="s">
        <v>233</v>
      </c>
      <c r="K15" s="173">
        <f>(K3*K4*K5)-K13-K14</f>
        <v>87.928358472963794</v>
      </c>
      <c r="L15" s="182"/>
      <c r="M15" s="1190"/>
      <c r="N15" s="3"/>
      <c r="O15" s="648" t="s">
        <v>425</v>
      </c>
      <c r="P15" s="1181">
        <f>Budget!F25</f>
        <v>9.0699457444313367</v>
      </c>
      <c r="Q15" s="1177">
        <f t="shared" si="0"/>
        <v>9.0699457444313367</v>
      </c>
      <c r="R15" s="650">
        <v>10.547472063880164</v>
      </c>
      <c r="S15" s="1177">
        <f>IF(Irrigation!$B$2&lt;3,(Q15*$Q$36)+(R15*$R$36),A1_Link!Q15)</f>
        <v>9.7602514494512338</v>
      </c>
      <c r="T15" s="650"/>
      <c r="U15" s="1190"/>
      <c r="V15" s="3"/>
      <c r="W15" s="3"/>
      <c r="X15" s="648" t="s">
        <v>585</v>
      </c>
      <c r="Y15" s="650">
        <f>Budget!F48</f>
        <v>75.770659411420127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8.0611386454489633</v>
      </c>
      <c r="AI15" s="3"/>
    </row>
    <row r="16" spans="2:35" ht="13.9" x14ac:dyDescent="0.4">
      <c r="B16" s="1185" t="s">
        <v>1</v>
      </c>
      <c r="C16" s="1186">
        <f>Budget!F36</f>
        <v>16</v>
      </c>
      <c r="D16" s="3"/>
      <c r="E16" s="1190"/>
      <c r="F16" s="1185" t="s">
        <v>781</v>
      </c>
      <c r="G16" s="1186">
        <f t="shared" si="2"/>
        <v>14.662834633320225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8.0611386454489633</v>
      </c>
      <c r="Q16" s="1177">
        <f t="shared" si="0"/>
        <v>8.0611386454489633</v>
      </c>
      <c r="R16" s="650">
        <v>9.3388892486480266</v>
      </c>
      <c r="S16" s="1177">
        <f>IF(Irrigation!$B$2&lt;3,(Q16*$Q$36)+(R16*$R$36),A1_Link!Q16)</f>
        <v>8.6581084045460202</v>
      </c>
      <c r="T16" s="650"/>
      <c r="U16" s="1190"/>
      <c r="V16" s="3"/>
      <c r="W16" s="3"/>
      <c r="X16" s="648" t="s">
        <v>304</v>
      </c>
      <c r="Y16" s="650">
        <f>Budget!F49</f>
        <v>28.139208550993843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5.5928888888888881</v>
      </c>
      <c r="AI16" s="3"/>
    </row>
    <row r="17" spans="2:35" ht="13.9" x14ac:dyDescent="0.4">
      <c r="B17" s="1185" t="s">
        <v>226</v>
      </c>
      <c r="C17" s="1186">
        <f>Budget!F26+Budget!F28+Budget!F30</f>
        <v>18.524885953217577</v>
      </c>
      <c r="D17" s="3"/>
      <c r="E17" s="1190"/>
      <c r="F17" s="1185" t="s">
        <v>423</v>
      </c>
      <c r="G17" s="1186">
        <f t="shared" si="2"/>
        <v>39.686004210526313</v>
      </c>
      <c r="H17" s="3"/>
      <c r="I17" s="1190"/>
      <c r="J17" s="648" t="s">
        <v>249</v>
      </c>
      <c r="K17" s="978">
        <f>SUM(K40:K42)</f>
        <v>107.69840093298498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5.5928888888888881</v>
      </c>
      <c r="Q17" s="1177">
        <f t="shared" si="0"/>
        <v>5.5928888888888881</v>
      </c>
      <c r="R17" s="650">
        <v>7.4958759183673482</v>
      </c>
      <c r="S17" s="1177">
        <f>IF(Irrigation!$B$2&lt;3,(Q17*$Q$36)+(R17*$R$36),A1_Link!Q17)</f>
        <v>6.4819713950589888</v>
      </c>
      <c r="T17" s="650"/>
      <c r="U17" s="1190"/>
      <c r="V17" s="3"/>
      <c r="W17" s="3"/>
      <c r="X17" s="648" t="s">
        <v>586</v>
      </c>
      <c r="Y17" s="650">
        <f>Budget!F50</f>
        <v>3.7885329705710067</v>
      </c>
      <c r="Z17" s="650">
        <f>SUM(Y15:Y17)</f>
        <v>107.69840093298498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7.2943723077686125</v>
      </c>
      <c r="AI17" s="3"/>
    </row>
    <row r="18" spans="2:35" ht="13.9" x14ac:dyDescent="0.4">
      <c r="B18" s="1185" t="s">
        <v>214</v>
      </c>
      <c r="C18" s="1186">
        <f>Trips!E45+Trips!E51+Trips!E72+Trips!E76</f>
        <v>9.9372767389752994</v>
      </c>
      <c r="D18" s="3"/>
      <c r="E18" s="1190"/>
      <c r="F18" s="1185" t="s">
        <v>780</v>
      </c>
      <c r="G18" s="1186">
        <f t="shared" si="2"/>
        <v>5</v>
      </c>
      <c r="H18" s="3"/>
      <c r="I18" s="1190"/>
      <c r="J18" s="308" t="s">
        <v>651</v>
      </c>
      <c r="K18" s="173">
        <f>K13+K17</f>
        <v>589.77004246002116</v>
      </c>
      <c r="L18" s="182"/>
      <c r="M18" s="1190"/>
      <c r="N18" s="3"/>
      <c r="O18" s="648" t="s">
        <v>17</v>
      </c>
      <c r="P18" s="1181">
        <f>(Budget!F28/Budget!D3)*P2</f>
        <v>7.2943723077686125</v>
      </c>
      <c r="Q18" s="1177">
        <f t="shared" si="0"/>
        <v>7.2943723077686125</v>
      </c>
      <c r="R18" s="650">
        <v>12.958564105965449</v>
      </c>
      <c r="S18" s="1177">
        <f>IF(Irrigation!$B$2&lt;3,(Q18*$Q$36)+(R18*$R$36),A1_Link!Q18)</f>
        <v>9.9407034499988036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39.686004210526313</v>
      </c>
      <c r="AI18" s="3"/>
    </row>
    <row r="19" spans="2:35" ht="13.9" x14ac:dyDescent="0.4">
      <c r="B19" s="1185" t="s">
        <v>28</v>
      </c>
      <c r="C19" s="1186">
        <f>Budget!F37</f>
        <v>19.990405615996774</v>
      </c>
      <c r="D19" s="3"/>
      <c r="E19" s="1190"/>
      <c r="F19" s="1185" t="s">
        <v>1</v>
      </c>
      <c r="G19" s="1186">
        <f t="shared" si="2"/>
        <v>16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39.686004210526313</v>
      </c>
      <c r="Q19" s="1177">
        <f t="shared" si="0"/>
        <v>39.686004210526313</v>
      </c>
      <c r="R19" s="650">
        <v>27.046874608695653</v>
      </c>
      <c r="S19" s="1177">
        <f>IF(Irrigation!$B$2&lt;3,(Q19*$Q$36)+(R19*$R$36),A1_Link!Q19)</f>
        <v>33.780956594261674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3.1693750000000005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18.524885953217577</v>
      </c>
      <c r="H20" s="3"/>
      <c r="I20" s="1190"/>
      <c r="J20" s="308" t="s">
        <v>763</v>
      </c>
      <c r="K20" s="173">
        <f>(K3*K4*K5)-K14-K18</f>
        <v>-19.770042460021159</v>
      </c>
      <c r="L20" s="182"/>
      <c r="M20" s="1190"/>
      <c r="N20" s="3"/>
      <c r="O20" s="648" t="s">
        <v>296</v>
      </c>
      <c r="P20" s="1181">
        <f>Budget!F30</f>
        <v>3.1693750000000005</v>
      </c>
      <c r="Q20" s="1177">
        <f t="shared" si="0"/>
        <v>3.1693750000000005</v>
      </c>
      <c r="R20" s="650">
        <v>1.6916666666666667</v>
      </c>
      <c r="S20" s="1177">
        <f>IF(Irrigation!$B$2&lt;3,(Q20*$Q$36)+(R20*$R$36),A1_Link!Q20)</f>
        <v>2.4789842574269891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15</v>
      </c>
      <c r="D21" s="3"/>
      <c r="E21" s="1190"/>
      <c r="F21" s="1185" t="s">
        <v>214</v>
      </c>
      <c r="G21" s="1186">
        <f t="shared" si="2"/>
        <v>9.9372767389752994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2.85</v>
      </c>
      <c r="D22" s="3"/>
      <c r="E22" s="1190"/>
      <c r="F22" s="1185" t="s">
        <v>786</v>
      </c>
      <c r="G22" s="1186">
        <f>SUM(G11:G21)*(0.0475/2)</f>
        <v>10.550491852887186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0.65</v>
      </c>
      <c r="Q22" s="1177">
        <f t="shared" si="0"/>
        <v>0.65</v>
      </c>
      <c r="R22" s="650">
        <v>0</v>
      </c>
      <c r="S22" s="1177">
        <f>IF(Irrigation!$B$2&lt;3,(Q22*$Q$36)+(R22*$R$36),A1_Link!Q22)</f>
        <v>0.34631762063614913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0.65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102.00000000000001</v>
      </c>
      <c r="L23" s="1251">
        <v>1</v>
      </c>
      <c r="M23" s="1190"/>
      <c r="N23" s="3"/>
      <c r="O23" s="648" t="s">
        <v>214</v>
      </c>
      <c r="P23" s="1181">
        <f>Budget!F33</f>
        <v>9.9372767389752994</v>
      </c>
      <c r="Q23" s="1177">
        <f t="shared" si="0"/>
        <v>9.9372767389752994</v>
      </c>
      <c r="R23" s="650">
        <v>11.817977438585899</v>
      </c>
      <c r="S23" s="1177">
        <f>IF(Irrigation!$B$2&lt;3,(Q23*$Q$36)+(R23*$R$36),A1_Link!Q23)</f>
        <v>10.815946990250694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9.9372767389752994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17.850000000000001</v>
      </c>
      <c r="H24" s="3"/>
      <c r="I24" s="1190"/>
      <c r="J24" s="1185" t="s">
        <v>224</v>
      </c>
      <c r="K24" s="1249">
        <f t="shared" ref="K24:K38" si="3">C9*L24</f>
        <v>56.05</v>
      </c>
      <c r="L24" s="1251">
        <v>1</v>
      </c>
      <c r="M24" s="1190"/>
      <c r="N24" s="3"/>
      <c r="O24" s="648" t="s">
        <v>23</v>
      </c>
      <c r="P24" s="1181">
        <f>Budget!F34</f>
        <v>5</v>
      </c>
      <c r="Q24" s="1177">
        <f t="shared" si="0"/>
        <v>5</v>
      </c>
      <c r="R24" s="650">
        <v>0</v>
      </c>
      <c r="S24" s="1177">
        <f>IF(Irrigation!$B$2&lt;3,(Q24*$Q$36)+(R24*$R$36),A1_Link!Q24)</f>
        <v>2.6639816972011472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5</v>
      </c>
      <c r="AI24" s="3"/>
    </row>
    <row r="25" spans="2:35" ht="13.9" x14ac:dyDescent="0.4">
      <c r="B25" s="648" t="s">
        <v>123</v>
      </c>
      <c r="C25" s="665">
        <f>Budget!F48</f>
        <v>75.770659411420127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119.22023437499999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28.139208550993843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62.5</v>
      </c>
      <c r="L26" s="1251">
        <v>1</v>
      </c>
      <c r="M26" s="1190"/>
      <c r="N26" s="3"/>
      <c r="O26" s="648" t="s">
        <v>1</v>
      </c>
      <c r="P26" s="1181">
        <f>Budget!F36</f>
        <v>16</v>
      </c>
      <c r="Q26" s="1177">
        <f t="shared" si="0"/>
        <v>16</v>
      </c>
      <c r="R26" s="650">
        <v>0</v>
      </c>
      <c r="S26" s="1177">
        <f>IF(Irrigation!$B$2&lt;3,(Q26*$Q$36)+(R26*$R$36),A1_Link!Q26)</f>
        <v>8.5247414310436707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19.990405615996774</v>
      </c>
      <c r="AI26" s="650">
        <f>SUM(AH3:AH26)</f>
        <v>448.22164152703624</v>
      </c>
    </row>
    <row r="27" spans="2:35" ht="13.9" x14ac:dyDescent="0.4">
      <c r="B27" s="648" t="s">
        <v>586</v>
      </c>
      <c r="C27" s="664">
        <f>Budget!F50</f>
        <v>3.7885329705710067</v>
      </c>
      <c r="D27" s="3"/>
      <c r="E27" s="1190"/>
      <c r="F27" s="648" t="s">
        <v>1004</v>
      </c>
      <c r="G27" s="1186">
        <f>C25+C26</f>
        <v>103.90986796241397</v>
      </c>
      <c r="H27" s="3"/>
      <c r="I27" s="1190"/>
      <c r="J27" s="1185" t="s">
        <v>422</v>
      </c>
      <c r="K27" s="1249">
        <f t="shared" si="3"/>
        <v>0.65</v>
      </c>
      <c r="L27" s="1251">
        <v>1</v>
      </c>
      <c r="M27" s="1190"/>
      <c r="N27" s="173"/>
      <c r="O27" s="648" t="s">
        <v>263</v>
      </c>
      <c r="P27" s="1181">
        <f>SUM(P6:P26)*((Budget!D37/100)/2)</f>
        <v>19.990405615996774</v>
      </c>
      <c r="Q27" s="1177">
        <f>P27</f>
        <v>19.990405615996774</v>
      </c>
      <c r="R27" s="650">
        <v>10.240138351206717</v>
      </c>
      <c r="S27" s="1177">
        <f>IF(Irrigation!$B$2&lt;3,(Q27*$Q$36)+(R27*$R$36),A1_Link!Q27)</f>
        <v>15.435045058450758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3.7885329705710067</v>
      </c>
      <c r="H28" s="3"/>
      <c r="I28" s="1190"/>
      <c r="J28" s="1185" t="s">
        <v>781</v>
      </c>
      <c r="K28" s="1249">
        <f t="shared" si="3"/>
        <v>14.662834633320225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19.529113011398408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15</v>
      </c>
      <c r="AI28" s="3"/>
    </row>
    <row r="29" spans="2:35" ht="13.9" x14ac:dyDescent="0.4">
      <c r="B29" s="652" t="s">
        <v>779</v>
      </c>
      <c r="C29" s="173">
        <f>SUM(C8:C14)</f>
        <v>394.76907321884653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39.686004210526313</v>
      </c>
      <c r="L29" s="1251">
        <v>1</v>
      </c>
      <c r="M29" s="1190"/>
      <c r="N29" s="3"/>
      <c r="O29" s="648" t="s">
        <v>490</v>
      </c>
      <c r="P29" s="1181">
        <f>Budget!F41</f>
        <v>15</v>
      </c>
      <c r="Q29" s="1177">
        <f>P29</f>
        <v>15</v>
      </c>
      <c r="R29" s="650">
        <v>55</v>
      </c>
      <c r="S29" s="1177">
        <f>IF(Irrigation!$B$2&lt;3,(Q29*$Q$36)+(R29*$R$36),A1_Link!Q29)</f>
        <v>33.688146422390822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2.85</v>
      </c>
      <c r="AI29" s="3"/>
    </row>
    <row r="30" spans="2:35" ht="13.9" x14ac:dyDescent="0.4">
      <c r="B30" s="652" t="s">
        <v>641</v>
      </c>
      <c r="C30" s="173">
        <f>SUM(C8:C18)</f>
        <v>444.23123591103939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2.85</v>
      </c>
      <c r="Q30" s="1177">
        <f>P30</f>
        <v>2.85</v>
      </c>
      <c r="R30" s="650">
        <v>2.2000000000000002</v>
      </c>
      <c r="S30" s="1177">
        <f>IF(Irrigation!$B$2&lt;3,(Q30*$Q$36)+(R30*$R$36),A1_Link!Q30)</f>
        <v>2.5463176206361489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482.07164152703621</v>
      </c>
      <c r="D31" s="3"/>
      <c r="E31" s="1190"/>
      <c r="F31" s="1308">
        <f>SUM(C8:C22)</f>
        <v>482.07164152703621</v>
      </c>
      <c r="G31" s="3"/>
      <c r="H31" s="3"/>
      <c r="I31" s="1190"/>
      <c r="J31" s="1185" t="s">
        <v>1</v>
      </c>
      <c r="K31" s="1249">
        <f t="shared" si="3"/>
        <v>16</v>
      </c>
      <c r="L31" s="1251">
        <v>1</v>
      </c>
      <c r="M31" s="1190"/>
      <c r="N31" s="534"/>
      <c r="O31" s="1309">
        <f>P31+IF(A2_Budget_Look_Up!B7&gt;0,P4,0)</f>
        <v>482.07164152703626</v>
      </c>
      <c r="P31" s="1178">
        <f>SUM(P6:P30)-IF(A2_Budget_Look_Up!B7&gt;0,P4,0)</f>
        <v>482.07164152703626</v>
      </c>
      <c r="Q31" s="1178">
        <f>SUM(Q6:Q30)-IF(A2_Budget_Look_Up!B7&gt;0,Q4,0)</f>
        <v>482.07164152703626</v>
      </c>
      <c r="R31" s="1178">
        <f>SUM(R6:R30)-IF(A2_Budget_Look_Up!B7&gt;0,R4,0)</f>
        <v>540.40385840201589</v>
      </c>
      <c r="S31" s="1179">
        <f>SUM(S6:S30)-IF(A2_Budget_Look_Up!B7&gt;0,S4,0)</f>
        <v>509.32466677959314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75.770659411420127</v>
      </c>
      <c r="AI31" s="3"/>
    </row>
    <row r="32" spans="2:35" ht="13.9" x14ac:dyDescent="0.4">
      <c r="B32" s="173" t="s">
        <v>249</v>
      </c>
      <c r="C32" s="173">
        <f>SUM(C25:C27)</f>
        <v>107.69840093298498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18.524885953217577</v>
      </c>
      <c r="L32" s="1251">
        <v>1</v>
      </c>
      <c r="M32" s="1190"/>
      <c r="N32" s="183"/>
      <c r="O32" s="648" t="s">
        <v>123</v>
      </c>
      <c r="P32" s="1181">
        <f>Budget!F48</f>
        <v>75.770659411420127</v>
      </c>
      <c r="Q32" s="1177">
        <f>P32</f>
        <v>75.770659411420127</v>
      </c>
      <c r="R32" s="650">
        <v>62.654368717931924</v>
      </c>
      <c r="S32" s="1177">
        <f>IF(Irrigation!$B$2&lt;3,(Q32*$Q$36)+(R32*$R$36),A1_Link!Q32)</f>
        <v>69.642680386456391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28.139208550993843</v>
      </c>
      <c r="AI32" s="3"/>
    </row>
    <row r="33" spans="2:35" ht="13.9" x14ac:dyDescent="0.4">
      <c r="B33" s="308" t="s">
        <v>651</v>
      </c>
      <c r="C33" s="173">
        <f>C31+C32</f>
        <v>589.77004246002116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9.9372767389752994</v>
      </c>
      <c r="L33" s="1251">
        <v>1</v>
      </c>
      <c r="M33" s="1190"/>
      <c r="N33" s="182"/>
      <c r="O33" s="648" t="s">
        <v>304</v>
      </c>
      <c r="P33" s="1181">
        <f>Budget!F49</f>
        <v>28.139208550993843</v>
      </c>
      <c r="Q33" s="1177">
        <f>P33</f>
        <v>28.139208550993843</v>
      </c>
      <c r="R33" s="650">
        <v>11.440610711903465</v>
      </c>
      <c r="S33" s="1177">
        <f>IF(Irrigation!$B$2&lt;3,(Q33*$Q$36)+(R33*$R$36),A1_Link!Q33)</f>
        <v>20.337562514355344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3.7885329705710067</v>
      </c>
      <c r="AI33" s="3"/>
    </row>
    <row r="34" spans="2:35" ht="13.9" x14ac:dyDescent="0.4">
      <c r="B34" s="308" t="s">
        <v>763</v>
      </c>
      <c r="C34" s="173">
        <f>(C3*C4*C5)-C23-C33</f>
        <v>-19.770042460021159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19.990405615996774</v>
      </c>
      <c r="L34" s="1251">
        <v>1</v>
      </c>
      <c r="M34" s="1190"/>
      <c r="N34" s="182"/>
      <c r="O34" s="648" t="s">
        <v>492</v>
      </c>
      <c r="P34" s="1181">
        <f>Budget!F50</f>
        <v>3.7885329705710067</v>
      </c>
      <c r="Q34" s="1177">
        <f>P34</f>
        <v>3.7885329705710067</v>
      </c>
      <c r="R34" s="650">
        <v>7.4094979429835393</v>
      </c>
      <c r="S34" s="1177">
        <f>IF(Irrigation!$B$2&lt;3,(Q34*$Q$36)+(R34*$R$36),A1_Link!Q34)</f>
        <v>5.480261060440851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107.69840093298498</v>
      </c>
      <c r="Q35" s="1178">
        <f>SUM(Q32:Q34)</f>
        <v>107.69840093298498</v>
      </c>
      <c r="R35" s="1178">
        <f>SUM(R32:R34)</f>
        <v>81.504477372818926</v>
      </c>
      <c r="S35" s="1179">
        <f>SUM(S32:S34)</f>
        <v>95.460503961252584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-3.7700424600212443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2.85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75.770659411420127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28.139208550993843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3.7885329705710067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18. 2025 Soybean Enterprise Budget, RR2XtendFlex, Flood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22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Soybeans, RR2XtendFlex, Flood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1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18. Details of Chemicals Applied, RR2XtendFlex Soybeans, Flood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18. Machinery Capital Recovery and Operating Costs, RR2XtendFlex Soybeans, Flood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18. 2025 Soybean Enterprise Budget, RR2XtendFlex, Flood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482.07164152703626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75.770659411420127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107.69840093298498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-19.770042460021273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1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>
        <f>IF(Y2&gt;0,A2_Budget_Look_Up!$C$4," ")</f>
        <v>22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60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60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9.5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9.5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90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90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100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5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2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2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12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0.65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0.65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5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5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16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16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0.25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4.7500000000000001E-2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26.95</v>
      </c>
      <c r="H39" s="1049">
        <f>(1+2.2)+(0.005*500*Budget!$E$3)</f>
        <v>26.95</v>
      </c>
      <c r="I39" s="1049">
        <f>(1+2.2)+(0.005*500*Budget!$E$3)</f>
        <v>26.95</v>
      </c>
      <c r="J39" s="1049">
        <f>(1+2.2)+(0.005*500*Budget!$E$3)</f>
        <v>26.95</v>
      </c>
      <c r="K39" s="1049">
        <f>(1+2.2)+(0.005*500*Budget!$E$3)</f>
        <v>26.95</v>
      </c>
      <c r="L39" s="1049">
        <f>(1+2.2)+(0.005*500*Budget!$E$3)</f>
        <v>26.95</v>
      </c>
      <c r="M39" s="1049">
        <f>(1+2.2)+(0.005*500*Budget!$E$3)</f>
        <v>26.95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4.7500000000000001E-2</v>
      </c>
      <c r="W39" s="1887">
        <f>(Budget!$E$3*(0.01/2))</f>
        <v>4.7500000000000001E-2</v>
      </c>
      <c r="X39" s="1887">
        <f>(Budget!$E$3*(0.01/2))</f>
        <v>4.7500000000000001E-2</v>
      </c>
      <c r="Y39" s="1887">
        <f>(Budget!$E$3*(0.01/2))</f>
        <v>4.7500000000000001E-2</v>
      </c>
      <c r="Z39" s="1887">
        <f>(Budget!$E$3*(0.01/2))</f>
        <v>4.7500000000000001E-2</v>
      </c>
      <c r="AA39" s="1887">
        <f>(Budget!$E$3*(0.01/2))</f>
        <v>4.7500000000000001E-2</v>
      </c>
      <c r="AB39" s="1887">
        <f>(Budget!$E$3*(0.01/2))</f>
        <v>4.7500000000000001E-2</v>
      </c>
      <c r="AC39" s="1887">
        <f>(Budget!$E$3*(0.01/2))</f>
        <v>4.7500000000000001E-2</v>
      </c>
      <c r="AD39" s="1887">
        <f>(Budget!$E$3*(0.01/2))</f>
        <v>4.7500000000000001E-2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4.7500000000000001E-2</v>
      </c>
      <c r="AM39" s="1887">
        <f>(Budget!$E$3*(0.01/2))</f>
        <v>4.7500000000000001E-2</v>
      </c>
      <c r="AN39" s="1887">
        <f>(Budget!$E$3*(0.01/2))</f>
        <v>4.7500000000000001E-2</v>
      </c>
      <c r="AO39" s="1049">
        <f>(1+2.2)+(0.005*500*Budget!$E$3)</f>
        <v>26.95</v>
      </c>
      <c r="AP39" s="1049">
        <f>(1+2.2)+(0.005*500*Budget!$E$3)</f>
        <v>26.95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4.7500000000000001E-2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0.68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0.68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150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1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1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1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2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2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1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1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2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2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2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2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1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1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1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1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/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802</v>
      </c>
      <c r="P2" s="1266">
        <f>17.5/4</f>
        <v>4.375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802</v>
      </c>
      <c r="P3" s="1266">
        <f>25/4</f>
        <v>6.25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802</v>
      </c>
      <c r="P6" s="1266">
        <f>51.5/4</f>
        <v>12.875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802</v>
      </c>
      <c r="P10" s="1266">
        <f>30/4</f>
        <v>7.5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414</v>
      </c>
      <c r="P15" s="1266">
        <f>7.66</f>
        <v>7.66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" zoomScaleNormal="100" workbookViewId="0">
      <selection activeCell="N1626" sqref="N162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22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qt</v>
      </c>
      <c r="D6" s="1165">
        <f>VLOOKUP(1,$I$6:$P$3099,5,FALSE)</f>
        <v>4.375</v>
      </c>
      <c r="E6" s="1165">
        <f>VLOOKUP(1,$I$6:$P$3099,6,FALSE)</f>
        <v>1</v>
      </c>
      <c r="F6" s="82">
        <f>D6*E6</f>
        <v>4.375</v>
      </c>
      <c r="G6" s="1166">
        <f>VLOOKUP(1,$I$6:$P$3099,8,FALSE)</f>
        <v>1</v>
      </c>
      <c r="H6" s="1073">
        <f>VLOOKUP(1,$I$6:$Q$3099,9,FALSE)</f>
        <v>22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qt</v>
      </c>
      <c r="D7" s="1165">
        <f>VLOOKUP(2,$I$6:$P$3099,5,FALSE)</f>
        <v>6.25</v>
      </c>
      <c r="E7" s="1165">
        <f>VLOOKUP(2,$I$6:$P$3099,6,FALSE)</f>
        <v>1</v>
      </c>
      <c r="F7" s="82">
        <f>D7*E7</f>
        <v>6.25</v>
      </c>
      <c r="G7" s="1166">
        <f>VLOOKUP(2,$I$6:$P$3099,8,FALSE)</f>
        <v>1</v>
      </c>
      <c r="H7" s="1073">
        <f>VLOOKUP(2,$I$6:$Q$3099,9,FALSE)</f>
        <v>22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Metribuzin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1.1399999999999999</v>
      </c>
      <c r="E8" s="1165">
        <f>VLOOKUP(3,$I$6:$P$3099,6,FALSE)</f>
        <v>8</v>
      </c>
      <c r="F8" s="82">
        <f t="shared" ref="F8:F19" si="2">D8*E8</f>
        <v>9.1199999999999992</v>
      </c>
      <c r="G8" s="1166">
        <f>VLOOKUP(3,$I$6:$P$3099,8,FALSE)</f>
        <v>8</v>
      </c>
      <c r="H8" s="1073">
        <f>VLOOKUP(3,$I$6:$Q$3099,9,FALSE)</f>
        <v>22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Tavium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0.41796875</v>
      </c>
      <c r="E9" s="1165">
        <f>VLOOKUP(4,$I$6:$P$3099,6,FALSE)</f>
        <v>56.5</v>
      </c>
      <c r="F9" s="82">
        <f t="shared" si="2"/>
        <v>23.615234375</v>
      </c>
      <c r="G9" s="1166">
        <f>VLOOKUP(4,$I$6:$P$3099,8,FALSE)</f>
        <v>56.5</v>
      </c>
      <c r="H9" s="1073">
        <f>VLOOKUP(4,$I$6:$Q$3099,9,FALSE)</f>
        <v>22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Xtendimax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0.48</v>
      </c>
      <c r="E10" s="1165">
        <f>VLOOKUP(5,$I$6:$P$3099,6,FALSE)</f>
        <v>22</v>
      </c>
      <c r="F10" s="82">
        <f t="shared" si="2"/>
        <v>10.559999999999999</v>
      </c>
      <c r="G10" s="1166">
        <f>VLOOKUP(5,$I$6:$P$3099,8,FALSE)</f>
        <v>352</v>
      </c>
      <c r="H10" s="1073">
        <f>VLOOKUP(5,$I$6:$Q$3099,9,FALSE)</f>
        <v>22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Glyphosate</v>
      </c>
      <c r="B11" s="1166" t="str">
        <f>VLOOKUP(6,$I$6:$P$3099,3,FALSE)</f>
        <v/>
      </c>
      <c r="C11" s="1166" t="str">
        <f>VLOOKUP(6,$I$6:$P$3099,4,FALSE)</f>
        <v>qt</v>
      </c>
      <c r="D11" s="1165">
        <f>VLOOKUP(6,$I$6:$P$3099,5,FALSE)</f>
        <v>4.375</v>
      </c>
      <c r="E11" s="1165">
        <f>VLOOKUP(6,$I$6:$P$3099,6,FALSE)</f>
        <v>1</v>
      </c>
      <c r="F11" s="82">
        <f t="shared" si="2"/>
        <v>4.375</v>
      </c>
      <c r="G11" s="1166">
        <f>VLOOKUP(6,$I$6:$P$3099,8,FALSE)</f>
        <v>1</v>
      </c>
      <c r="H11" s="1073">
        <f>VLOOKUP(6,$I$6:$Q$3099,9,FALSE)</f>
        <v>22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Liberty</v>
      </c>
      <c r="B12" s="1166" t="str">
        <f>VLOOKUP(7,$I$6:$P$3099,3,FALSE)</f>
        <v/>
      </c>
      <c r="C12" s="1166" t="str">
        <f>VLOOKUP(7,$I$6:$P$3099,4,FALSE)</f>
        <v>qt</v>
      </c>
      <c r="D12" s="1165">
        <f>VLOOKUP(7,$I$6:$P$3099,5,FALSE)</f>
        <v>12.875</v>
      </c>
      <c r="E12" s="1165">
        <f>VLOOKUP(7,$I$6:$P$3099,6,FALSE)</f>
        <v>1</v>
      </c>
      <c r="F12" s="82">
        <f t="shared" si="2"/>
        <v>12.875</v>
      </c>
      <c r="G12" s="1166">
        <f>VLOOKUP(7,$I$6:$P$3099,8,FALSE)</f>
        <v>16</v>
      </c>
      <c r="H12" s="1073">
        <f>VLOOKUP(7,$I$6:$Q$3099,9,FALSE)</f>
        <v>22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22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22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22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22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22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22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22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71.170234374999993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Besiege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2.75</v>
      </c>
      <c r="E24" s="1165">
        <f>VLOOKUP(15,$I$6:$P$3099,6,FALSE)</f>
        <v>9</v>
      </c>
      <c r="F24" s="82">
        <f t="shared" ref="F24:F33" si="4">D24*E24</f>
        <v>24.75</v>
      </c>
      <c r="G24" s="1166">
        <f>VLOOKUP(15,$I$6:$P$3099,8,FALSE)</f>
        <v>9</v>
      </c>
      <c r="H24" s="1073">
        <f>VLOOKUP(15,$I$6:$Q$3099,9,FALSE)</f>
        <v>22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22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22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22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22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22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22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22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22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22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24.75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Quadris Top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2.33</v>
      </c>
      <c r="E38" s="1165">
        <f>VLOOKUP(25,$I$6:$P$3099,6,FALSE)</f>
        <v>10</v>
      </c>
      <c r="F38" s="82">
        <f>D38*E38</f>
        <v>23.3</v>
      </c>
      <c r="G38" s="1166">
        <f>VLOOKUP(25,$I$6:$P$3099,8,FALSE)</f>
        <v>10</v>
      </c>
      <c r="H38" s="1073">
        <f>VLOOKUP(25,$I$6:$Q$3099,9,FALSE)</f>
        <v>22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22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23.3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22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22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22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22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22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22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22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22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22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22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22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22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22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22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qt</v>
      </c>
      <c r="M1122" s="159">
        <f>A4_Chem_Prices!P$2</f>
        <v>4.375</v>
      </c>
      <c r="N1122" s="157">
        <v>1</v>
      </c>
      <c r="O1122" s="82">
        <f t="shared" ref="O1122:O1135" si="227">M1122*N1122</f>
        <v>4.375</v>
      </c>
      <c r="P1122" s="1449">
        <f>N1122</f>
        <v>1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qt</v>
      </c>
      <c r="M1123" s="159">
        <f>A4_Chem_Prices!P$3</f>
        <v>6.25</v>
      </c>
      <c r="N1123" s="157">
        <v>1</v>
      </c>
      <c r="O1123" s="82">
        <f t="shared" si="227"/>
        <v>6.25</v>
      </c>
      <c r="P1123" s="1449">
        <f>N1123</f>
        <v>1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qt</v>
      </c>
      <c r="M1127" s="159">
        <f>A4_Chem_Prices!P$2</f>
        <v>4.375</v>
      </c>
      <c r="N1127" s="157">
        <v>1</v>
      </c>
      <c r="O1127" s="82">
        <f t="shared" si="227"/>
        <v>4.375</v>
      </c>
      <c r="P1127" s="1449">
        <f>N1127</f>
        <v>1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qt</v>
      </c>
      <c r="M1128" s="159">
        <f>A4_Chem_Prices!P$6</f>
        <v>12.875</v>
      </c>
      <c r="N1128" s="157">
        <v>1</v>
      </c>
      <c r="O1128" s="82">
        <f t="shared" si="227"/>
        <v>12.875</v>
      </c>
      <c r="P1128" s="160">
        <f>N1128*16</f>
        <v>16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qt</v>
      </c>
      <c r="M1184" s="159">
        <f>A4_Chem_Prices!P$2</f>
        <v>4.375</v>
      </c>
      <c r="N1184" s="157">
        <v>1</v>
      </c>
      <c r="O1184" s="82">
        <f t="shared" ref="O1184:O1197" si="239">M1184*N1184</f>
        <v>4.375</v>
      </c>
      <c r="P1184" s="1449">
        <f>N1184</f>
        <v>1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qt</v>
      </c>
      <c r="M1185" s="159">
        <f>A4_Chem_Prices!P$3</f>
        <v>6.25</v>
      </c>
      <c r="N1185" s="157">
        <v>1</v>
      </c>
      <c r="O1185" s="82">
        <f t="shared" si="239"/>
        <v>6.25</v>
      </c>
      <c r="P1185" s="1449">
        <f>N1185</f>
        <v>1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qt</v>
      </c>
      <c r="M1189" s="159">
        <f>A4_Chem_Prices!P$2</f>
        <v>4.375</v>
      </c>
      <c r="N1189" s="157">
        <v>1</v>
      </c>
      <c r="O1189" s="82">
        <f t="shared" si="239"/>
        <v>4.375</v>
      </c>
      <c r="P1189" s="1449">
        <f>N1189</f>
        <v>1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qt</v>
      </c>
      <c r="M1190" s="159">
        <f>A4_Chem_Prices!P$6</f>
        <v>12.875</v>
      </c>
      <c r="N1190" s="157">
        <v>1</v>
      </c>
      <c r="O1190" s="82">
        <f t="shared" si="239"/>
        <v>12.875</v>
      </c>
      <c r="P1190" s="160">
        <f>N1190*16</f>
        <v>16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qt</v>
      </c>
      <c r="M1246" s="159">
        <f>A4_Chem_Prices!P$2</f>
        <v>4.375</v>
      </c>
      <c r="N1246" s="157">
        <v>1</v>
      </c>
      <c r="O1246" s="82">
        <f t="shared" ref="O1246:O1259" si="251">M1246*N1246</f>
        <v>4.375</v>
      </c>
      <c r="P1246" s="1449">
        <f>N1246</f>
        <v>1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qt</v>
      </c>
      <c r="M1247" s="159">
        <f>A4_Chem_Prices!P$3</f>
        <v>6.25</v>
      </c>
      <c r="N1247" s="157">
        <v>1</v>
      </c>
      <c r="O1247" s="82">
        <f t="shared" si="251"/>
        <v>6.25</v>
      </c>
      <c r="P1247" s="1449">
        <f>N1247</f>
        <v>1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qt</v>
      </c>
      <c r="M1251" s="159">
        <f>A4_Chem_Prices!P$2</f>
        <v>4.375</v>
      </c>
      <c r="N1251" s="157">
        <v>1</v>
      </c>
      <c r="O1251" s="82">
        <f t="shared" si="251"/>
        <v>4.375</v>
      </c>
      <c r="P1251" s="1449">
        <f>N1251</f>
        <v>1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qt</v>
      </c>
      <c r="M1252" s="159">
        <f>A4_Chem_Prices!P$6</f>
        <v>12.875</v>
      </c>
      <c r="N1252" s="157">
        <v>1</v>
      </c>
      <c r="O1252" s="82">
        <f t="shared" si="251"/>
        <v>12.875</v>
      </c>
      <c r="P1252" s="160">
        <f>N1252*16</f>
        <v>16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1</v>
      </c>
      <c r="J1308" s="159" t="str">
        <f>A4_Chem_Prices!N$2</f>
        <v>Glyphosate</v>
      </c>
      <c r="K1308" s="1350" t="s">
        <v>842</v>
      </c>
      <c r="L1308" s="158" t="str">
        <f>A4_Chem_Prices!O$2</f>
        <v>qt</v>
      </c>
      <c r="M1308" s="159">
        <f>A4_Chem_Prices!P$2</f>
        <v>4.375</v>
      </c>
      <c r="N1308" s="157">
        <v>1</v>
      </c>
      <c r="O1308" s="82">
        <f t="shared" ref="O1308:O1321" si="263">M1308*N1308</f>
        <v>4.375</v>
      </c>
      <c r="P1308" s="1449">
        <f>N1308</f>
        <v>1</v>
      </c>
      <c r="Q1308" s="1171">
        <f>IF(SUM(I1308:I1363)=820,L1304,0)</f>
        <v>22</v>
      </c>
    </row>
    <row r="1309" spans="9:17" ht="13.9" x14ac:dyDescent="0.4">
      <c r="I1309" s="1073">
        <f t="shared" ref="I1309:I1321" si="264">IF($A$1=22,I1308+1,0)</f>
        <v>2</v>
      </c>
      <c r="J1309" s="159" t="str">
        <f>A4_Chem_Prices!N$3</f>
        <v>2,4-D</v>
      </c>
      <c r="K1309" s="1350" t="s">
        <v>842</v>
      </c>
      <c r="L1309" s="160" t="str">
        <f>A4_Chem_Prices!O$3</f>
        <v>qt</v>
      </c>
      <c r="M1309" s="159">
        <f>A4_Chem_Prices!P$3</f>
        <v>6.25</v>
      </c>
      <c r="N1309" s="157">
        <v>1</v>
      </c>
      <c r="O1309" s="82">
        <f t="shared" si="263"/>
        <v>6.25</v>
      </c>
      <c r="P1309" s="1449">
        <f>N1309</f>
        <v>1</v>
      </c>
      <c r="Q1309" s="1071">
        <f>Q1308</f>
        <v>22</v>
      </c>
    </row>
    <row r="1310" spans="9:17" ht="13.9" x14ac:dyDescent="0.4">
      <c r="I1310" s="1073">
        <f t="shared" si="264"/>
        <v>3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22</v>
      </c>
    </row>
    <row r="1311" spans="9:17" ht="13.9" x14ac:dyDescent="0.4">
      <c r="I1311" s="1073">
        <f t="shared" si="264"/>
        <v>4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22</v>
      </c>
    </row>
    <row r="1312" spans="9:17" ht="13.9" x14ac:dyDescent="0.4">
      <c r="I1312" s="1073">
        <f t="shared" si="264"/>
        <v>5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22</v>
      </c>
    </row>
    <row r="1313" spans="9:17" ht="13.9" x14ac:dyDescent="0.4">
      <c r="I1313" s="1073">
        <f t="shared" si="264"/>
        <v>6</v>
      </c>
      <c r="J1313" s="159" t="str">
        <f>A4_Chem_Prices!N$2</f>
        <v>Glyphosate</v>
      </c>
      <c r="K1313" s="1350" t="s">
        <v>842</v>
      </c>
      <c r="L1313" s="158" t="str">
        <f>A4_Chem_Prices!O$2</f>
        <v>qt</v>
      </c>
      <c r="M1313" s="159">
        <f>A4_Chem_Prices!P$2</f>
        <v>4.375</v>
      </c>
      <c r="N1313" s="157">
        <v>1</v>
      </c>
      <c r="O1313" s="82">
        <f t="shared" si="263"/>
        <v>4.375</v>
      </c>
      <c r="P1313" s="1449">
        <f>N1313</f>
        <v>1</v>
      </c>
      <c r="Q1313" s="1071">
        <f t="shared" si="265"/>
        <v>22</v>
      </c>
    </row>
    <row r="1314" spans="9:17" ht="13.9" x14ac:dyDescent="0.4">
      <c r="I1314" s="1073">
        <f t="shared" si="264"/>
        <v>7</v>
      </c>
      <c r="J1314" s="159" t="str">
        <f>A4_Chem_Prices!N$6</f>
        <v>Liberty</v>
      </c>
      <c r="K1314" s="1350" t="s">
        <v>842</v>
      </c>
      <c r="L1314" s="160" t="str">
        <f>A4_Chem_Prices!O$6</f>
        <v>qt</v>
      </c>
      <c r="M1314" s="159">
        <f>A4_Chem_Prices!P$6</f>
        <v>12.875</v>
      </c>
      <c r="N1314" s="157">
        <v>1</v>
      </c>
      <c r="O1314" s="82">
        <f t="shared" si="263"/>
        <v>12.875</v>
      </c>
      <c r="P1314" s="160">
        <f>N1314*16</f>
        <v>16</v>
      </c>
      <c r="Q1314" s="1071">
        <f t="shared" si="265"/>
        <v>22</v>
      </c>
    </row>
    <row r="1315" spans="9:17" ht="13.9" x14ac:dyDescent="0.4">
      <c r="I1315" s="1073">
        <f t="shared" si="264"/>
        <v>8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22</v>
      </c>
    </row>
    <row r="1316" spans="9:17" ht="13.9" x14ac:dyDescent="0.4">
      <c r="I1316" s="1073">
        <f t="shared" si="264"/>
        <v>9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22</v>
      </c>
    </row>
    <row r="1317" spans="9:17" ht="13.9" x14ac:dyDescent="0.4">
      <c r="I1317" s="1073">
        <f t="shared" si="264"/>
        <v>10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22</v>
      </c>
    </row>
    <row r="1318" spans="9:17" ht="13.9" x14ac:dyDescent="0.4">
      <c r="I1318" s="1073">
        <f t="shared" si="264"/>
        <v>11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22</v>
      </c>
    </row>
    <row r="1319" spans="9:17" ht="13.9" x14ac:dyDescent="0.4">
      <c r="I1319" s="1073">
        <f t="shared" si="264"/>
        <v>12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22</v>
      </c>
    </row>
    <row r="1320" spans="9:17" ht="13.9" x14ac:dyDescent="0.4">
      <c r="I1320" s="1073">
        <f t="shared" si="264"/>
        <v>13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22</v>
      </c>
    </row>
    <row r="1321" spans="9:17" ht="13.9" x14ac:dyDescent="0.4">
      <c r="I1321" s="1073">
        <f t="shared" si="264"/>
        <v>14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22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15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22</v>
      </c>
    </row>
    <row r="1327" spans="9:17" ht="13.9" x14ac:dyDescent="0.4">
      <c r="I1327" s="1073">
        <f t="shared" ref="I1327:I1335" si="267">IF($A$1=22,I1326+1,0)</f>
        <v>16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22</v>
      </c>
    </row>
    <row r="1328" spans="9:17" ht="13.9" x14ac:dyDescent="0.4">
      <c r="I1328" s="1073">
        <f t="shared" si="267"/>
        <v>17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22</v>
      </c>
    </row>
    <row r="1329" spans="9:17" ht="13.9" x14ac:dyDescent="0.4">
      <c r="I1329" s="1073">
        <f t="shared" si="267"/>
        <v>18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22</v>
      </c>
    </row>
    <row r="1330" spans="9:17" ht="13.9" x14ac:dyDescent="0.4">
      <c r="I1330" s="1073">
        <f t="shared" si="267"/>
        <v>19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22</v>
      </c>
    </row>
    <row r="1331" spans="9:17" ht="13.9" x14ac:dyDescent="0.4">
      <c r="I1331" s="1073">
        <f t="shared" si="267"/>
        <v>20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22</v>
      </c>
    </row>
    <row r="1332" spans="9:17" ht="13.9" x14ac:dyDescent="0.4">
      <c r="I1332" s="1073">
        <f t="shared" si="267"/>
        <v>21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22</v>
      </c>
    </row>
    <row r="1333" spans="9:17" ht="13.9" x14ac:dyDescent="0.4">
      <c r="I1333" s="1073">
        <f t="shared" si="267"/>
        <v>22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22</v>
      </c>
    </row>
    <row r="1334" spans="9:17" ht="13.9" x14ac:dyDescent="0.4">
      <c r="I1334" s="1073">
        <f t="shared" si="267"/>
        <v>23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22</v>
      </c>
    </row>
    <row r="1335" spans="9:17" ht="13.9" x14ac:dyDescent="0.4">
      <c r="I1335" s="1073">
        <f t="shared" si="267"/>
        <v>24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22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25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22</v>
      </c>
    </row>
    <row r="1341" spans="9:17" ht="13.9" x14ac:dyDescent="0.4">
      <c r="I1341" s="1073">
        <f>IF($A$1=22,I1340+1,0)</f>
        <v>26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22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27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22</v>
      </c>
    </row>
    <row r="1347" spans="9:17" ht="13.9" x14ac:dyDescent="0.4">
      <c r="I1347" s="1073">
        <f t="shared" ref="I1347:I1352" si="270">IF($A$1=22,I1346+1,0)</f>
        <v>28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22</v>
      </c>
    </row>
    <row r="1348" spans="9:17" ht="13.9" x14ac:dyDescent="0.4">
      <c r="I1348" s="1073">
        <f t="shared" si="270"/>
        <v>29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22</v>
      </c>
    </row>
    <row r="1349" spans="9:17" ht="13.9" x14ac:dyDescent="0.4">
      <c r="I1349" s="1073">
        <f t="shared" si="270"/>
        <v>30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22</v>
      </c>
    </row>
    <row r="1350" spans="9:17" ht="13.9" x14ac:dyDescent="0.4">
      <c r="I1350" s="1073">
        <f t="shared" si="270"/>
        <v>31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22</v>
      </c>
    </row>
    <row r="1351" spans="9:17" ht="13.9" x14ac:dyDescent="0.4">
      <c r="I1351" s="1073">
        <f t="shared" si="270"/>
        <v>32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22</v>
      </c>
    </row>
    <row r="1352" spans="9:17" ht="13.9" x14ac:dyDescent="0.4">
      <c r="I1352" s="1073">
        <f t="shared" si="270"/>
        <v>33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22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34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22</v>
      </c>
    </row>
    <row r="1358" spans="9:17" ht="13.9" x14ac:dyDescent="0.4">
      <c r="I1358" s="1073">
        <f t="shared" ref="I1358:I1363" si="273">IF($A$1=22,I1357+1,0)</f>
        <v>35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22</v>
      </c>
    </row>
    <row r="1359" spans="9:17" ht="13.9" x14ac:dyDescent="0.4">
      <c r="I1359" s="1073">
        <f t="shared" si="273"/>
        <v>36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22</v>
      </c>
    </row>
    <row r="1360" spans="9:17" ht="13.9" x14ac:dyDescent="0.4">
      <c r="I1360" s="1073">
        <f t="shared" si="273"/>
        <v>37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22</v>
      </c>
    </row>
    <row r="1361" spans="9:17" ht="13.9" x14ac:dyDescent="0.4">
      <c r="I1361" s="1073">
        <f t="shared" si="273"/>
        <v>38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22</v>
      </c>
    </row>
    <row r="1362" spans="9:17" ht="13.9" x14ac:dyDescent="0.4">
      <c r="I1362" s="1073">
        <f t="shared" si="273"/>
        <v>39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22</v>
      </c>
    </row>
    <row r="1363" spans="9:17" ht="13.9" x14ac:dyDescent="0.4">
      <c r="I1363" s="1073">
        <f t="shared" si="273"/>
        <v>40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22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qt</v>
      </c>
      <c r="M1370" s="159">
        <f>A4_Chem_Prices!P$2</f>
        <v>4.375</v>
      </c>
      <c r="N1370" s="157">
        <v>1</v>
      </c>
      <c r="O1370" s="82">
        <f t="shared" ref="O1370:O1383" si="275">M1370*N1370</f>
        <v>4.375</v>
      </c>
      <c r="P1370" s="1449">
        <f>N1370</f>
        <v>1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qt</v>
      </c>
      <c r="M1371" s="159">
        <f>A4_Chem_Prices!P$3</f>
        <v>6.25</v>
      </c>
      <c r="N1371" s="157">
        <v>1</v>
      </c>
      <c r="O1371" s="82">
        <f t="shared" si="275"/>
        <v>6.25</v>
      </c>
      <c r="P1371" s="1449">
        <f>N1371</f>
        <v>1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qt</v>
      </c>
      <c r="M1373" s="159">
        <f>A4_Chem_Prices!P$10</f>
        <v>7.5</v>
      </c>
      <c r="N1373" s="157">
        <v>1</v>
      </c>
      <c r="O1373" s="82">
        <f>M1373*N1373</f>
        <v>7.5</v>
      </c>
      <c r="P1373" s="1449">
        <f>N1373</f>
        <v>1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qt</v>
      </c>
      <c r="M1374" s="159">
        <f>A4_Chem_Prices!P$2</f>
        <v>4.375</v>
      </c>
      <c r="N1374" s="157">
        <v>1</v>
      </c>
      <c r="O1374" s="82">
        <f>M1374*N1374</f>
        <v>4.375</v>
      </c>
      <c r="P1374" s="160">
        <f>N1374*16</f>
        <v>16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pt</v>
      </c>
      <c r="M1375" s="159">
        <f>A4_Chem_Prices!P$15</f>
        <v>7.66</v>
      </c>
      <c r="N1375" s="157">
        <v>2</v>
      </c>
      <c r="O1375" s="82">
        <f>M1375*N1375</f>
        <v>15.32</v>
      </c>
      <c r="P1375" s="1449">
        <f>N1375</f>
        <v>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pt</v>
      </c>
      <c r="M1377" s="159">
        <f>A4_Chem_Prices!P$15</f>
        <v>7.66</v>
      </c>
      <c r="N1377" s="157">
        <v>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qt</v>
      </c>
      <c r="M1378" s="159">
        <f>A4_Chem_Prices!P$6</f>
        <v>12.875</v>
      </c>
      <c r="N1378" s="157">
        <v>1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qt</v>
      </c>
      <c r="M1432" s="159">
        <f>A4_Chem_Prices!P$2</f>
        <v>4.375</v>
      </c>
      <c r="N1432" s="157">
        <v>1</v>
      </c>
      <c r="O1432" s="82">
        <f t="shared" ref="O1432:O1445" si="287">M1432*N1432</f>
        <v>4.375</v>
      </c>
      <c r="P1432" s="1449">
        <f>N1432</f>
        <v>1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qt</v>
      </c>
      <c r="M1433" s="159">
        <f>A4_Chem_Prices!P$3</f>
        <v>6.25</v>
      </c>
      <c r="N1433" s="157">
        <v>1</v>
      </c>
      <c r="O1433" s="82">
        <f t="shared" si="287"/>
        <v>6.25</v>
      </c>
      <c r="P1433" s="1449">
        <f>N1433</f>
        <v>1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qt</v>
      </c>
      <c r="M1435" s="159">
        <f>A4_Chem_Prices!P$10</f>
        <v>7.5</v>
      </c>
      <c r="N1435" s="157">
        <v>1</v>
      </c>
      <c r="O1435" s="82">
        <f t="shared" si="287"/>
        <v>7.5</v>
      </c>
      <c r="P1435" s="1449">
        <f>N1435</f>
        <v>1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qt</v>
      </c>
      <c r="M1436" s="159">
        <f>A4_Chem_Prices!P$2</f>
        <v>4.375</v>
      </c>
      <c r="N1436" s="157">
        <v>1</v>
      </c>
      <c r="O1436" s="82">
        <f t="shared" si="287"/>
        <v>4.375</v>
      </c>
      <c r="P1436" s="160">
        <f>N1436*16</f>
        <v>16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pt</v>
      </c>
      <c r="M1437" s="159">
        <f>A4_Chem_Prices!P$15</f>
        <v>7.66</v>
      </c>
      <c r="N1437" s="157">
        <v>2</v>
      </c>
      <c r="O1437" s="82">
        <f t="shared" si="287"/>
        <v>15.32</v>
      </c>
      <c r="P1437" s="1449">
        <f>N1437</f>
        <v>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pt</v>
      </c>
      <c r="M1439" s="159">
        <f>A4_Chem_Prices!P$15</f>
        <v>7.66</v>
      </c>
      <c r="N1439" s="157">
        <v>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qt</v>
      </c>
      <c r="M1440" s="159">
        <f>A4_Chem_Prices!P$6</f>
        <v>12.875</v>
      </c>
      <c r="N1440" s="157">
        <v>1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qt</v>
      </c>
      <c r="M1494" s="159">
        <f>A4_Chem_Prices!P$2</f>
        <v>4.375</v>
      </c>
      <c r="N1494" s="157">
        <v>1</v>
      </c>
      <c r="O1494" s="82">
        <f t="shared" ref="O1494:O1507" si="299">M1494*N1494</f>
        <v>4.375</v>
      </c>
      <c r="P1494" s="1449">
        <f>N1494</f>
        <v>1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qt</v>
      </c>
      <c r="M1495" s="159">
        <f>A4_Chem_Prices!P$3</f>
        <v>6.25</v>
      </c>
      <c r="N1495" s="157">
        <v>1</v>
      </c>
      <c r="O1495" s="82">
        <f t="shared" si="299"/>
        <v>6.25</v>
      </c>
      <c r="P1495" s="1449">
        <f>N1495</f>
        <v>1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qt</v>
      </c>
      <c r="M1497" s="159">
        <f>A4_Chem_Prices!P$10</f>
        <v>7.5</v>
      </c>
      <c r="N1497" s="157">
        <v>1</v>
      </c>
      <c r="O1497" s="82">
        <f t="shared" si="299"/>
        <v>7.5</v>
      </c>
      <c r="P1497" s="1449">
        <f>N1497</f>
        <v>1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qt</v>
      </c>
      <c r="M1498" s="159">
        <f>A4_Chem_Prices!P$2</f>
        <v>4.375</v>
      </c>
      <c r="N1498" s="157">
        <v>1</v>
      </c>
      <c r="O1498" s="82">
        <f t="shared" si="299"/>
        <v>4.375</v>
      </c>
      <c r="P1498" s="160">
        <f>N1498*16</f>
        <v>16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pt</v>
      </c>
      <c r="M1499" s="159">
        <f>A4_Chem_Prices!P$15</f>
        <v>7.66</v>
      </c>
      <c r="N1499" s="157">
        <v>2</v>
      </c>
      <c r="O1499" s="82">
        <f t="shared" si="299"/>
        <v>15.32</v>
      </c>
      <c r="P1499" s="1449">
        <f>N1499</f>
        <v>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pt</v>
      </c>
      <c r="M1501" s="159">
        <f>A4_Chem_Prices!P$15</f>
        <v>7.66</v>
      </c>
      <c r="N1501" s="157">
        <v>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qt</v>
      </c>
      <c r="M1502" s="159">
        <f>A4_Chem_Prices!P$6</f>
        <v>12.875</v>
      </c>
      <c r="N1502" s="157">
        <v>1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qt</v>
      </c>
      <c r="M1556" s="159">
        <f>A4_Chem_Prices!P$2</f>
        <v>4.375</v>
      </c>
      <c r="N1556" s="157">
        <v>1</v>
      </c>
      <c r="O1556" s="82">
        <f t="shared" ref="O1556:O1569" si="311">M1556*N1556</f>
        <v>4.375</v>
      </c>
      <c r="P1556" s="1449">
        <f>N1556</f>
        <v>1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qt</v>
      </c>
      <c r="M1557" s="159">
        <f>A4_Chem_Prices!P$3</f>
        <v>6.25</v>
      </c>
      <c r="N1557" s="157">
        <v>1</v>
      </c>
      <c r="O1557" s="82">
        <f t="shared" si="311"/>
        <v>6.25</v>
      </c>
      <c r="P1557" s="1449">
        <f>N1557</f>
        <v>1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qt</v>
      </c>
      <c r="M1559" s="159">
        <f>A4_Chem_Prices!P$10</f>
        <v>7.5</v>
      </c>
      <c r="N1559" s="157">
        <v>1</v>
      </c>
      <c r="O1559" s="82">
        <f t="shared" si="311"/>
        <v>7.5</v>
      </c>
      <c r="P1559" s="1449">
        <f>N1559</f>
        <v>1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qt</v>
      </c>
      <c r="M1560" s="159">
        <f>A4_Chem_Prices!P$2</f>
        <v>4.375</v>
      </c>
      <c r="N1560" s="157">
        <v>1</v>
      </c>
      <c r="O1560" s="82">
        <f t="shared" si="311"/>
        <v>4.375</v>
      </c>
      <c r="P1560" s="160">
        <f>N1560*16</f>
        <v>16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pt</v>
      </c>
      <c r="M1561" s="159">
        <f>A4_Chem_Prices!P$15</f>
        <v>7.66</v>
      </c>
      <c r="N1561" s="157">
        <v>2</v>
      </c>
      <c r="O1561" s="82">
        <f t="shared" si="311"/>
        <v>15.32</v>
      </c>
      <c r="P1561" s="1449">
        <f>N1561</f>
        <v>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pt</v>
      </c>
      <c r="M1563" s="159">
        <f>A4_Chem_Prices!P$15</f>
        <v>7.66</v>
      </c>
      <c r="N1563" s="157">
        <v>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qt</v>
      </c>
      <c r="M1564" s="159">
        <f>A4_Chem_Prices!P$6</f>
        <v>12.875</v>
      </c>
      <c r="N1564" s="157">
        <v>1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qt</v>
      </c>
      <c r="M1618" s="159">
        <f>A4_Chem_Prices!P$2</f>
        <v>4.375</v>
      </c>
      <c r="N1618" s="159">
        <v>1</v>
      </c>
      <c r="O1618" s="82">
        <f t="shared" ref="O1618:O1631" si="323">M1618*N1618</f>
        <v>4.375</v>
      </c>
      <c r="P1618" s="1449">
        <f>N1618</f>
        <v>1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qt</v>
      </c>
      <c r="M1619" s="159">
        <f>A4_Chem_Prices!P$3</f>
        <v>6.25</v>
      </c>
      <c r="N1619" s="159">
        <v>1</v>
      </c>
      <c r="O1619" s="82">
        <f t="shared" si="323"/>
        <v>6.25</v>
      </c>
      <c r="P1619" s="1449">
        <f>N1619</f>
        <v>1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238</v>
      </c>
      <c r="M1621" s="159">
        <f>A4_Chem_Prices!P$8</f>
        <v>0.78125</v>
      </c>
      <c r="N1621" s="157">
        <v>16</v>
      </c>
      <c r="O1621" s="82">
        <f t="shared" si="323"/>
        <v>12.5</v>
      </c>
      <c r="P1621" s="1449">
        <f>N1621*16</f>
        <v>256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qt</v>
      </c>
      <c r="M1625" s="159">
        <f>A4_Chem_Prices!P$10</f>
        <v>7.5</v>
      </c>
      <c r="N1625" s="157">
        <v>1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98.640218750000003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qt</v>
      </c>
      <c r="M2114" s="159">
        <f>A4_Chem_Prices!P$2</f>
        <v>4.375</v>
      </c>
      <c r="N2114" s="159">
        <v>32</v>
      </c>
      <c r="O2114" s="82">
        <f t="shared" ref="O2114:O2127" si="419">M2114*N2114</f>
        <v>140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qt</v>
      </c>
      <c r="M2115" s="159">
        <f>A4_Chem_Prices!P$3</f>
        <v>6.25</v>
      </c>
      <c r="N2115" s="159">
        <v>32</v>
      </c>
      <c r="O2115" s="82">
        <f t="shared" si="419"/>
        <v>200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qt</v>
      </c>
      <c r="M2121" s="159">
        <f>A4_Chem_Prices!P$10</f>
        <v>7.5</v>
      </c>
      <c r="N2121" s="157">
        <v>32</v>
      </c>
      <c r="O2121" s="82">
        <f t="shared" si="419"/>
        <v>240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648.79646875000003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qt</v>
      </c>
      <c r="M2176" s="159">
        <f>A4_Chem_Prices!P$2</f>
        <v>4.375</v>
      </c>
      <c r="N2176" s="159">
        <v>32</v>
      </c>
      <c r="O2176" s="82">
        <f t="shared" ref="O2176:O2189" si="431">M2176*N2176</f>
        <v>140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qt</v>
      </c>
      <c r="M2177" s="159">
        <f>A4_Chem_Prices!P$3</f>
        <v>6.25</v>
      </c>
      <c r="N2177" s="159">
        <v>32</v>
      </c>
      <c r="O2177" s="82">
        <f t="shared" si="431"/>
        <v>200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qt</v>
      </c>
      <c r="M2183" s="159">
        <f>A4_Chem_Prices!P$10</f>
        <v>7.5</v>
      </c>
      <c r="N2183" s="157">
        <v>32</v>
      </c>
      <c r="O2183" s="82">
        <f t="shared" si="431"/>
        <v>240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648.79646875000003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qt</v>
      </c>
      <c r="M2238" s="159">
        <f>A4_Chem_Prices!P$2</f>
        <v>4.375</v>
      </c>
      <c r="N2238" s="159">
        <v>32</v>
      </c>
      <c r="O2238" s="82">
        <f t="shared" ref="O2238:O2251" si="443">M2238*N2238</f>
        <v>140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qt</v>
      </c>
      <c r="M2239" s="159">
        <f>A4_Chem_Prices!P$3</f>
        <v>6.25</v>
      </c>
      <c r="N2239" s="159">
        <v>32</v>
      </c>
      <c r="O2239" s="82">
        <f t="shared" si="443"/>
        <v>200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qt</v>
      </c>
      <c r="M2245" s="159">
        <f>A4_Chem_Prices!P$10</f>
        <v>7.5</v>
      </c>
      <c r="N2245" s="157">
        <v>32</v>
      </c>
      <c r="O2245" s="82">
        <f t="shared" si="443"/>
        <v>240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648.79646875000003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4.5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4.5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4.5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4.5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4.5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4.5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18. Details of Chemicals Applied, RR2XtendFlex Soybeans, Flood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71.170234374999993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Besiege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2.75</v>
      </c>
      <c r="E22" s="96">
        <f>Seed_Chemical!E30</f>
        <v>9</v>
      </c>
      <c r="F22" s="96">
        <f>Seed_Chemical!F30</f>
        <v>24.75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24.75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Quadris Top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2.33</v>
      </c>
      <c r="E36" s="96">
        <f>Seed_Chemical!E44</f>
        <v>10</v>
      </c>
      <c r="F36" s="96">
        <f>Seed_Chemical!F44</f>
        <v>23.3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23.3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18. Details of Chemicals Applied, RR2XtendFlex Soybeans, Flood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71.170234374999993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Besiege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2.75</v>
      </c>
      <c r="E18" s="96">
        <f>Seed_Chemical!E30</f>
        <v>9</v>
      </c>
      <c r="F18" s="96">
        <f>Seed_Chemical!F30</f>
        <v>24.75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24.75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23.3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18. Machinery Capital Recovery and Operating Costs, RR2XtendFlex Soybeans, Flood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2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1.3612217824726822</v>
      </c>
      <c r="G34" s="528">
        <f>IF(Machine!B43&gt;0,Machine!B43," ")</f>
        <v>2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2.1038595910931122</v>
      </c>
      <c r="C37" s="96">
        <f>IF(Trips!H36&gt;0,Trips!C36," ")</f>
        <v>0.19398385250409333</v>
      </c>
      <c r="D37" s="96">
        <f>IF(Trips!I36&gt;0,Trips!D36," ")</f>
        <v>0.81814447623876307</v>
      </c>
      <c r="E37" s="96">
        <f>IF(Trips!J36&gt;0,Trips!E36," ")</f>
        <v>1.7202891664201112</v>
      </c>
      <c r="F37" s="96">
        <f>IF(Trips!K36&gt;0,Trips!F36," ")</f>
        <v>4.8362770862560804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1.6015758583101072</v>
      </c>
      <c r="C38" s="96">
        <f>IF(Trips!H37&gt;0,Trips!C37," ")</f>
        <v>0.16786561762277438</v>
      </c>
      <c r="D38" s="96">
        <f>IF(Trips!I37&gt;0,Trips!D37," ")</f>
        <v>0.54542965082584205</v>
      </c>
      <c r="E38" s="96">
        <f>IF(Trips!J37&gt;0,Trips!E37," ")</f>
        <v>0.38228648142669136</v>
      </c>
      <c r="F38" s="96">
        <f>IF(Trips!K37&gt;0,Trips!F37," ")</f>
        <v>2.6971576081854152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22.088073610051488</v>
      </c>
      <c r="C60" s="96">
        <f>IF(Trips!H59&gt;0,Trips!H59," ")</f>
        <v>4.1339815608579276</v>
      </c>
      <c r="D60" s="96">
        <f>IF(Trips!I59&gt;0,Trips!I59," ")</f>
        <v>3.4955555555555549</v>
      </c>
      <c r="E60" s="96">
        <f>IF(Trips!J59&gt;0,Trips!J59," ")</f>
        <v>1.4080261904761906</v>
      </c>
      <c r="F60" s="96">
        <f>IF(Trips!K59&gt;0,Trips!K59," ")</f>
        <v>31.125636916941158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>
        <f>IF(Trips!G61&gt;0,Trips!G61," ")</f>
        <v>2.3385487650960965</v>
      </c>
      <c r="C62" s="96">
        <f>IF(Trips!H61&gt;0,Trips!H61," ")</f>
        <v>1.4320299821706386</v>
      </c>
      <c r="D62" s="118" t="str">
        <f>IF(Machine!B71&gt;0,"NA"," ")</f>
        <v>NA</v>
      </c>
      <c r="E62" s="118" t="str">
        <f>IF(Machine!B71&gt;0,"NA"," ")</f>
        <v>NA</v>
      </c>
      <c r="F62" s="96">
        <f>IF(Trips!K61&gt;0,Trips!K61," ")</f>
        <v>3.7705787472667351</v>
      </c>
      <c r="G62" s="528">
        <f>IF(Machine!B71&gt;0,Machine!B71," ")</f>
        <v>1</v>
      </c>
      <c r="H62" s="97">
        <f>IF(Machine!B71&gt;0,Machine!D71," ")</f>
        <v>30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8.2941650041768433</v>
      </c>
      <c r="C65" s="96">
        <f>IF(Trips!H64&gt;0,Trips!H64," ")</f>
        <v>1.7283607647400463</v>
      </c>
      <c r="D65" s="96">
        <f>IF(Trips!I64&gt;0,Trips!I64," ")</f>
        <v>2.0973333333333328</v>
      </c>
      <c r="E65" s="96">
        <f>IF(Trips!J64&gt;0,Trips!J64," ")</f>
        <v>1.4080261904761906</v>
      </c>
      <c r="F65" s="96">
        <f>IF(Trips!K64&gt;0,Trips!K64," ")</f>
        <v>13.527885292726413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18. Machinery Capital Recovery and Operating Costs, RR2XtendFlex Soybeans, Flood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2</v>
      </c>
      <c r="T28" s="89">
        <f t="shared" si="14"/>
        <v>3.9221420458805101</v>
      </c>
      <c r="U28" s="89">
        <f t="shared" si="6"/>
        <v>64.465190782457285</v>
      </c>
      <c r="V28" s="89">
        <f t="shared" si="15"/>
        <v>4.2564051537036622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9.3087781344581231</v>
      </c>
      <c r="AA28" s="227">
        <f>EquipmentSpecs!J28</f>
        <v>0.27</v>
      </c>
      <c r="AB28" s="228">
        <f>EquipmentSpecs!K28</f>
        <v>1.4</v>
      </c>
      <c r="AC28" s="89">
        <f t="shared" si="16"/>
        <v>1.1924441965383548</v>
      </c>
      <c r="AD28" s="84">
        <f t="shared" si="17"/>
        <v>3.0000000000000001E-3</v>
      </c>
      <c r="AE28" s="229">
        <v>2</v>
      </c>
      <c r="AF28" s="89">
        <f t="shared" si="9"/>
        <v>0.42288595438175264</v>
      </c>
      <c r="AG28" s="229">
        <f t="shared" si="18"/>
        <v>10.119999999999999</v>
      </c>
      <c r="AH28" s="89">
        <f t="shared" si="19"/>
        <v>1.8709243697478988</v>
      </c>
      <c r="AI28" s="89">
        <f t="shared" si="20"/>
        <v>0.18709243697478989</v>
      </c>
      <c r="AJ28" s="89">
        <f t="shared" si="10"/>
        <v>1.8709243697478988</v>
      </c>
      <c r="AK28" s="227">
        <f>EquipmentSpecs!L28</f>
        <v>1.04</v>
      </c>
      <c r="AL28" s="226">
        <f t="shared" si="21"/>
        <v>6.8667466986794712E-2</v>
      </c>
      <c r="AM28" s="230">
        <f t="shared" si="22"/>
        <v>0.99773829531812708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2</v>
      </c>
      <c r="T43" s="89">
        <f t="shared" si="14"/>
        <v>0.3475738397994646</v>
      </c>
      <c r="U43" s="89">
        <f t="shared" ref="U43:U51" si="24">(((P43-(AQ43*P43))*AS43)+(AR43*(AQ43*P43)))/AO43</f>
        <v>42.630206807754014</v>
      </c>
      <c r="V43" s="89">
        <f t="shared" si="15"/>
        <v>1.078468405092148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1.6236872802635922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5.6752907968625192E-2</v>
      </c>
      <c r="AD43" s="84">
        <f t="shared" si="17"/>
        <v>3.0000000000000001E-3</v>
      </c>
      <c r="AE43" s="229">
        <v>2</v>
      </c>
      <c r="AF43" s="89">
        <f t="shared" si="9"/>
        <v>0.11428724446061338</v>
      </c>
      <c r="AG43" s="229">
        <f t="shared" si="18"/>
        <v>7.6999999999999993</v>
      </c>
      <c r="AH43" s="89">
        <f t="shared" si="19"/>
        <v>0.54542965082584205</v>
      </c>
      <c r="AI43" s="89">
        <f t="shared" si="20"/>
        <v>5.4542965082584209E-2</v>
      </c>
      <c r="AJ43" s="89">
        <f t="shared" si="10"/>
        <v>0.54542965082584205</v>
      </c>
      <c r="AK43" s="227">
        <f>EquipmentSpecs!L43</f>
        <v>1.04</v>
      </c>
      <c r="AL43" s="226">
        <f t="shared" si="21"/>
        <v>2.6310150132600921E-2</v>
      </c>
      <c r="AM43" s="230">
        <f t="shared" si="22"/>
        <v>0.38228648142669136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2</v>
      </c>
      <c r="T46" s="89">
        <f t="shared" si="14"/>
        <v>0.22973202425101596</v>
      </c>
      <c r="U46" s="89">
        <f t="shared" si="24"/>
        <v>42.630206807754014</v>
      </c>
      <c r="V46" s="89">
        <f t="shared" si="15"/>
        <v>1.6177026076382219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2.1038595910931122</v>
      </c>
      <c r="AA46" s="227">
        <f>EquipmentSpecs!J46</f>
        <v>0.18</v>
      </c>
      <c r="AB46" s="228">
        <f>EquipmentSpecs!K46</f>
        <v>1.7</v>
      </c>
      <c r="AC46" s="89">
        <f t="shared" si="16"/>
        <v>2.2552985813173276E-2</v>
      </c>
      <c r="AD46" s="84">
        <f t="shared" si="17"/>
        <v>3.0000000000000001E-3</v>
      </c>
      <c r="AE46" s="229">
        <v>2</v>
      </c>
      <c r="AF46" s="89">
        <f t="shared" si="9"/>
        <v>0.17143086669092006</v>
      </c>
      <c r="AG46" s="229">
        <f t="shared" si="18"/>
        <v>7.6999999999999993</v>
      </c>
      <c r="AH46" s="89">
        <f t="shared" si="19"/>
        <v>0.81814447623876307</v>
      </c>
      <c r="AI46" s="89">
        <f t="shared" si="20"/>
        <v>8.181444762387631E-2</v>
      </c>
      <c r="AJ46" s="89">
        <f t="shared" si="10"/>
        <v>0.81814447623876307</v>
      </c>
      <c r="AK46" s="227">
        <f>EquipmentSpecs!L46</f>
        <v>3.12</v>
      </c>
      <c r="AL46" s="226">
        <f>O46*S46*AK46</f>
        <v>0.11839567559670415</v>
      </c>
      <c r="AM46" s="230">
        <f t="shared" si="22"/>
        <v>1.7202891664201112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2</v>
      </c>
      <c r="T47" s="89">
        <f t="shared" si="14"/>
        <v>0.32813192410291919</v>
      </c>
      <c r="U47" s="89">
        <f t="shared" si="24"/>
        <v>42.630206807754014</v>
      </c>
      <c r="V47" s="89">
        <f t="shared" si="15"/>
        <v>1.078468405092148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1.6015758583101072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5.3578373162161005E-2</v>
      </c>
      <c r="AD47" s="84">
        <f t="shared" si="17"/>
        <v>3.0000000000000001E-3</v>
      </c>
      <c r="AE47" s="229">
        <v>2</v>
      </c>
      <c r="AF47" s="89">
        <f t="shared" si="9"/>
        <v>0.11428724446061338</v>
      </c>
      <c r="AG47" s="229">
        <f t="shared" si="18"/>
        <v>7.6999999999999993</v>
      </c>
      <c r="AH47" s="89">
        <f t="shared" si="19"/>
        <v>0.54542965082584205</v>
      </c>
      <c r="AI47" s="89">
        <f t="shared" si="20"/>
        <v>5.4542965082584209E-2</v>
      </c>
      <c r="AJ47" s="89">
        <f t="shared" si="10"/>
        <v>0.54542965082584205</v>
      </c>
      <c r="AK47" s="227">
        <f>EquipmentSpecs!L47</f>
        <v>1.04</v>
      </c>
      <c r="AL47" s="226">
        <f t="shared" si="21"/>
        <v>2.6310150132600921E-2</v>
      </c>
      <c r="AM47" s="230">
        <f t="shared" si="22"/>
        <v>0.38228648142669136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17.740303183136543</v>
      </c>
      <c r="U56" s="17"/>
      <c r="V56" s="257">
        <f>SUM(V14:V54)</f>
        <v>19.964877640152533</v>
      </c>
      <c r="W56" s="1147"/>
      <c r="X56" s="1147">
        <f>Z56-(T56+V56)</f>
        <v>5.3446912088066227</v>
      </c>
      <c r="Y56" s="1148">
        <f>(Z56-(T56+V56))/(T56+V56)</f>
        <v>0.14174951802658925</v>
      </c>
      <c r="Z56" s="257">
        <f>SUM(Z14:Z54)</f>
        <v>43.049872032095699</v>
      </c>
      <c r="AA56" s="17"/>
      <c r="AB56" s="17"/>
      <c r="AC56" s="257">
        <f>SUM(AC14:AC54)</f>
        <v>6.0481429847899335</v>
      </c>
      <c r="AD56" s="258"/>
      <c r="AE56" s="17"/>
      <c r="AF56" s="257">
        <f>SUM(AF14:AF54)</f>
        <v>2.0129956606590298</v>
      </c>
      <c r="AG56" s="17"/>
      <c r="AH56" s="257">
        <f>SUM(AH14:AH54)</f>
        <v>9.0699457444313367</v>
      </c>
      <c r="AI56" s="257">
        <f>SUM(AI14:AI54)</f>
        <v>0.90699457444313381</v>
      </c>
      <c r="AJ56" s="257"/>
      <c r="AK56" s="17"/>
      <c r="AL56" s="259">
        <f>SUM(AL14:AL54)</f>
        <v>0.45050491108210039</v>
      </c>
      <c r="AM56" s="260">
        <f>SUM(AM14:AM54)</f>
        <v>6.5458363580229175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4.5</v>
      </c>
      <c r="M69" s="224">
        <f>EquipmentSpecs!C69</f>
        <v>0.7</v>
      </c>
      <c r="N69" s="89">
        <f t="shared" si="31"/>
        <v>11.454545454545455</v>
      </c>
      <c r="O69" s="226">
        <f t="shared" si="32"/>
        <v>8.7301587301587297E-2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19.61853633227371</v>
      </c>
      <c r="U69" s="269"/>
      <c r="V69" s="269"/>
      <c r="W69" s="1144">
        <f t="shared" si="34"/>
        <v>0.84573194444444433</v>
      </c>
      <c r="X69" s="1144">
        <f t="shared" si="34"/>
        <v>0.84573194444444433</v>
      </c>
      <c r="Y69" s="1144">
        <f t="shared" si="34"/>
        <v>0.77807338888888888</v>
      </c>
      <c r="Z69" s="1136">
        <f t="shared" si="35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6"/>
        <v>14.299999999999999</v>
      </c>
      <c r="AH69" s="89">
        <f t="shared" si="37"/>
        <v>3.4955555555555549</v>
      </c>
      <c r="AI69" s="89">
        <f t="shared" si="38"/>
        <v>0.34955555555555551</v>
      </c>
      <c r="AJ69" s="89">
        <f t="shared" si="39"/>
        <v>3.4955555555555549</v>
      </c>
      <c r="AK69" s="227">
        <f>EquipmentSpecs!L69</f>
        <v>1.1100000000000001</v>
      </c>
      <c r="AL69" s="226">
        <f t="shared" si="40"/>
        <v>9.690476190476191E-2</v>
      </c>
      <c r="AM69" s="230">
        <f t="shared" si="41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1</v>
      </c>
      <c r="T71" s="89">
        <f t="shared" si="33"/>
        <v>2.0770894158897475</v>
      </c>
      <c r="U71" s="269"/>
      <c r="V71" s="269"/>
      <c r="W71" s="1144">
        <f t="shared" si="34"/>
        <v>8.9540873015873004E-2</v>
      </c>
      <c r="X71" s="1144">
        <f t="shared" si="34"/>
        <v>8.9540873015873004E-2</v>
      </c>
      <c r="Y71" s="1144">
        <f t="shared" si="34"/>
        <v>8.2377603174603173E-2</v>
      </c>
      <c r="Z71" s="1136">
        <f t="shared" si="35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4.5</v>
      </c>
      <c r="M74" s="233">
        <f>EquipmentSpecs!C74</f>
        <v>0.7</v>
      </c>
      <c r="N74" s="235">
        <f t="shared" si="31"/>
        <v>11.454545454545455</v>
      </c>
      <c r="O74" s="236">
        <f t="shared" si="32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4"/>
        <v>0.35213822751322749</v>
      </c>
      <c r="X74" s="1146">
        <f t="shared" si="34"/>
        <v>0.35213822751322749</v>
      </c>
      <c r="Y74" s="1146">
        <f t="shared" si="34"/>
        <v>0.32396716931216929</v>
      </c>
      <c r="Z74" s="1139">
        <f t="shared" si="35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2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40"/>
        <v>9.690476190476191E-2</v>
      </c>
      <c r="AM74" s="241">
        <f t="shared" si="41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24.286748026841661</v>
      </c>
      <c r="U83" s="17"/>
      <c r="V83" s="257">
        <f>SUM(V64:V81)</f>
        <v>4.6747991011600174</v>
      </c>
      <c r="W83" s="1147"/>
      <c r="X83" s="1147">
        <f>Z83-(T83+V83)</f>
        <v>3.7592402513227512</v>
      </c>
      <c r="Y83" s="1148">
        <f>(Z83-(T83+V83))/(T83+V83)</f>
        <v>0.12980108537392684</v>
      </c>
      <c r="Z83" s="257">
        <f>SUM(Z64:Z81)</f>
        <v>32.720787379324427</v>
      </c>
      <c r="AA83" s="17"/>
      <c r="AB83" s="17"/>
      <c r="AC83" s="257">
        <f>SUM(AC64:AC81)</f>
        <v>6.8256675458638503</v>
      </c>
      <c r="AD83" s="258"/>
      <c r="AE83" s="17"/>
      <c r="AF83" s="257">
        <f>SUM(AF64:AF81)</f>
        <v>0.46870476190476185</v>
      </c>
      <c r="AG83" s="17"/>
      <c r="AH83" s="257">
        <f>SUM(AH64:AH81)</f>
        <v>5.5928888888888881</v>
      </c>
      <c r="AI83" s="257">
        <f>SUM(AI64:AI81)</f>
        <v>0.55928888888888884</v>
      </c>
      <c r="AJ83" s="257"/>
      <c r="AK83" s="17"/>
      <c r="AL83" s="259">
        <f>SUM(AL64:AL81)</f>
        <v>0.19380952380952382</v>
      </c>
      <c r="AM83" s="257">
        <f>SUM(AM64:AM81)</f>
        <v>2.8160523809523812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60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482.07164152703621</v>
      </c>
      <c r="C4" s="121">
        <f>SummaryReport_Verification!B32</f>
        <v>8.0345273587839365</v>
      </c>
      <c r="D4" s="121">
        <f>SummaryReport_Verification!B28</f>
        <v>87.928358472963794</v>
      </c>
      <c r="E4" s="121">
        <f>SummaryReport_Verification!B29</f>
        <v>107.69840093298498</v>
      </c>
      <c r="F4" s="121">
        <f>SummaryReport_Verification!B30</f>
        <v>589.77004246002116</v>
      </c>
      <c r="G4" s="121">
        <f>SummaryReport_Verification!B31</f>
        <v>-19.770042460021159</v>
      </c>
      <c r="H4" s="121">
        <f>SummaryReport_Verification!B33</f>
        <v>9.8295007076670196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482.07164152703621</v>
      </c>
      <c r="C9" s="122">
        <f t="shared" si="0"/>
        <v>8.0345273587839365</v>
      </c>
      <c r="D9" s="122">
        <f t="shared" si="0"/>
        <v>87.928358472963794</v>
      </c>
      <c r="E9" s="122">
        <f t="shared" si="0"/>
        <v>107.69840093298498</v>
      </c>
      <c r="F9" s="122">
        <f t="shared" si="0"/>
        <v>589.77004246002116</v>
      </c>
      <c r="G9" s="122">
        <f t="shared" si="0"/>
        <v>-19.770042460021159</v>
      </c>
      <c r="H9" s="122">
        <f t="shared" si="0"/>
        <v>9.8295007076670196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60</v>
      </c>
      <c r="C4" s="113"/>
      <c r="D4" s="113"/>
      <c r="E4" s="113"/>
      <c r="F4" s="113"/>
      <c r="G4" s="163">
        <f>AVERAGE(B4:F4)</f>
        <v>60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9.5</v>
      </c>
      <c r="C5" s="96"/>
      <c r="D5" s="96"/>
      <c r="E5" s="96"/>
      <c r="F5" s="96"/>
      <c r="G5" s="96">
        <f>AVERAGE(B5:F5)</f>
        <v>9.5</v>
      </c>
    </row>
    <row r="6" spans="1:8" ht="13.5" x14ac:dyDescent="0.35">
      <c r="A6" s="107" t="s">
        <v>231</v>
      </c>
      <c r="B6" s="114">
        <f>Budget!F3</f>
        <v>570</v>
      </c>
      <c r="C6" s="114"/>
      <c r="D6" s="114"/>
      <c r="E6" s="114"/>
      <c r="F6" s="114"/>
      <c r="G6" s="114">
        <f>AVERAGE(B6:F6)</f>
        <v>570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102.00000000000001</v>
      </c>
      <c r="C9" s="96"/>
      <c r="D9" s="96"/>
      <c r="E9" s="96"/>
      <c r="F9" s="96"/>
      <c r="G9" s="96">
        <f t="shared" ref="G9:G28" si="0">AVERAGE(B9:F9)</f>
        <v>102.00000000000001</v>
      </c>
      <c r="H9" s="1899">
        <f>G9/G$23</f>
        <v>0.22961014839673782</v>
      </c>
    </row>
    <row r="10" spans="1:8" ht="13.9" x14ac:dyDescent="0.4">
      <c r="A10" s="91" t="s">
        <v>224</v>
      </c>
      <c r="B10" s="96">
        <f>SUM(Budget!F7:F13)</f>
        <v>56.05</v>
      </c>
      <c r="C10" s="96"/>
      <c r="D10" s="96"/>
      <c r="E10" s="96"/>
      <c r="F10" s="96"/>
      <c r="G10" s="96">
        <f t="shared" si="0"/>
        <v>56.05</v>
      </c>
      <c r="H10" s="1899">
        <f>G10/G$23</f>
        <v>0.12617302762389365</v>
      </c>
    </row>
    <row r="11" spans="1:8" ht="13.9" x14ac:dyDescent="0.4">
      <c r="A11" s="91" t="str">
        <f>Budget!A14</f>
        <v>Herbicide</v>
      </c>
      <c r="B11" s="96">
        <f>Budget!F14</f>
        <v>71.170234374999993</v>
      </c>
      <c r="C11" s="96"/>
      <c r="D11" s="96"/>
      <c r="E11" s="96"/>
      <c r="F11" s="96"/>
      <c r="G11" s="96">
        <f t="shared" si="0"/>
        <v>71.170234374999993</v>
      </c>
      <c r="H11" s="1899">
        <f>SUM(G11:G14)/$G$23</f>
        <v>0.26837427163468242</v>
      </c>
    </row>
    <row r="12" spans="1:8" ht="15" customHeight="1" x14ac:dyDescent="0.4">
      <c r="A12" s="91" t="str">
        <f>Budget!A15</f>
        <v>Insecticide</v>
      </c>
      <c r="B12" s="96">
        <f>Budget!F15</f>
        <v>24.75</v>
      </c>
      <c r="C12" s="96"/>
      <c r="D12" s="96"/>
      <c r="E12" s="96"/>
      <c r="F12" s="96"/>
      <c r="G12" s="96">
        <f t="shared" si="0"/>
        <v>24.75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23.3</v>
      </c>
      <c r="C13" s="96"/>
      <c r="D13" s="96"/>
      <c r="E13" s="96"/>
      <c r="F13" s="96"/>
      <c r="G13" s="96">
        <f t="shared" si="0"/>
        <v>23.3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62.5</v>
      </c>
      <c r="C15" s="96"/>
      <c r="D15" s="96"/>
      <c r="E15" s="96"/>
      <c r="F15" s="96"/>
      <c r="G15" s="96">
        <f t="shared" si="0"/>
        <v>62.5</v>
      </c>
    </row>
    <row r="16" spans="1:8" ht="13.9" x14ac:dyDescent="0.4">
      <c r="A16" s="91" t="s">
        <v>422</v>
      </c>
      <c r="B16" s="96">
        <f>Budget!F31+Budget!F32</f>
        <v>0.65</v>
      </c>
      <c r="C16" s="96"/>
      <c r="D16" s="96"/>
      <c r="E16" s="96"/>
      <c r="F16" s="96"/>
      <c r="G16" s="96">
        <f>AVERAGE(B16:F16)</f>
        <v>0.65</v>
      </c>
    </row>
    <row r="17" spans="1:7" ht="13.9" x14ac:dyDescent="0.4">
      <c r="A17" s="91" t="s">
        <v>463</v>
      </c>
      <c r="B17" s="96">
        <f>Budget!F25+Budget!F27</f>
        <v>14.662834633320225</v>
      </c>
      <c r="C17" s="96"/>
      <c r="D17" s="96"/>
      <c r="E17" s="96"/>
      <c r="F17" s="96"/>
      <c r="G17" s="96">
        <f t="shared" si="0"/>
        <v>14.662834633320225</v>
      </c>
    </row>
    <row r="18" spans="1:7" ht="13.9" x14ac:dyDescent="0.4">
      <c r="A18" s="91" t="s">
        <v>227</v>
      </c>
      <c r="B18" s="96">
        <f>Budget!F29</f>
        <v>39.686004210526313</v>
      </c>
      <c r="C18" s="96"/>
      <c r="D18" s="96"/>
      <c r="E18" s="96"/>
      <c r="F18" s="96"/>
      <c r="G18" s="96">
        <f>AVERAGE(B18:F18)</f>
        <v>39.686004210526313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394.76907321884653</v>
      </c>
      <c r="C19" s="108"/>
      <c r="D19" s="108"/>
      <c r="E19" s="108"/>
      <c r="F19" s="108"/>
      <c r="G19" s="108">
        <f>AVERAGE(B19:F19)</f>
        <v>394.76907321884653</v>
      </c>
    </row>
    <row r="20" spans="1:7" ht="13.9" x14ac:dyDescent="0.4">
      <c r="A20" s="91" t="s">
        <v>780</v>
      </c>
      <c r="B20" s="96">
        <f>SUM(Budget!F34:F36)</f>
        <v>21</v>
      </c>
      <c r="C20" s="108"/>
      <c r="D20" s="108"/>
      <c r="E20" s="108"/>
      <c r="F20" s="108"/>
      <c r="G20" s="96">
        <f t="shared" si="0"/>
        <v>21</v>
      </c>
    </row>
    <row r="21" spans="1:7" ht="15.4" x14ac:dyDescent="0.4">
      <c r="A21" s="91" t="s">
        <v>756</v>
      </c>
      <c r="B21" s="96">
        <f>Budget!F26+Budget!F28+Budget!F30</f>
        <v>18.524885953217577</v>
      </c>
      <c r="C21" s="96"/>
      <c r="D21" s="96"/>
      <c r="E21" s="96"/>
      <c r="F21" s="96"/>
      <c r="G21" s="96">
        <f t="shared" si="0"/>
        <v>18.524885953217577</v>
      </c>
    </row>
    <row r="22" spans="1:7" ht="13.9" x14ac:dyDescent="0.4">
      <c r="A22" s="91" t="s">
        <v>214</v>
      </c>
      <c r="B22" s="96">
        <f>Budget!F33</f>
        <v>9.9372767389752994</v>
      </c>
      <c r="C22" s="96"/>
      <c r="D22" s="96"/>
      <c r="E22" s="96"/>
      <c r="F22" s="96"/>
      <c r="G22" s="96">
        <f t="shared" si="0"/>
        <v>9.9372767389752994</v>
      </c>
    </row>
    <row r="23" spans="1:7" ht="13.9" x14ac:dyDescent="0.4">
      <c r="A23" s="107" t="s">
        <v>641</v>
      </c>
      <c r="B23" s="108">
        <f>SUM(Budget!F6:F18)+SUM(Budget!F20:F23)+SUM(Budget!F25:F36)</f>
        <v>444.23123591103945</v>
      </c>
      <c r="C23" s="96"/>
      <c r="D23" s="96"/>
      <c r="E23" s="96"/>
      <c r="F23" s="96"/>
      <c r="G23" s="108">
        <f t="shared" si="0"/>
        <v>444.23123591103945</v>
      </c>
    </row>
    <row r="24" spans="1:7" ht="13.9" x14ac:dyDescent="0.4">
      <c r="A24" s="91" t="s">
        <v>28</v>
      </c>
      <c r="B24" s="96">
        <f>Budget!F37</f>
        <v>19.990405615996774</v>
      </c>
      <c r="C24" s="96"/>
      <c r="D24" s="96"/>
      <c r="E24" s="96"/>
      <c r="F24" s="96"/>
      <c r="G24" s="96">
        <f t="shared" si="0"/>
        <v>19.990405615996774</v>
      </c>
    </row>
    <row r="25" spans="1:7" ht="15" customHeight="1" x14ac:dyDescent="0.4">
      <c r="A25" s="91" t="s">
        <v>228</v>
      </c>
      <c r="B25" s="96">
        <f>SUM(Budget!F39:F43)</f>
        <v>17.850000000000001</v>
      </c>
      <c r="C25" s="96"/>
      <c r="D25" s="96"/>
      <c r="E25" s="96"/>
      <c r="F25" s="96"/>
      <c r="G25" s="96">
        <f t="shared" si="0"/>
        <v>17.850000000000001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482.07164152703621</v>
      </c>
      <c r="C27" s="108"/>
      <c r="D27" s="108"/>
      <c r="E27" s="108"/>
      <c r="F27" s="108"/>
      <c r="G27" s="108">
        <f t="shared" si="0"/>
        <v>482.07164152703621</v>
      </c>
    </row>
    <row r="28" spans="1:7" ht="13.5" x14ac:dyDescent="0.35">
      <c r="A28" s="107" t="s">
        <v>233</v>
      </c>
      <c r="B28" s="114">
        <f>B6-B27</f>
        <v>87.928358472963794</v>
      </c>
      <c r="C28" s="114"/>
      <c r="D28" s="114"/>
      <c r="E28" s="114"/>
      <c r="F28" s="114"/>
      <c r="G28" s="114">
        <f t="shared" si="0"/>
        <v>87.928358472963794</v>
      </c>
    </row>
    <row r="29" spans="1:7" ht="13.9" x14ac:dyDescent="0.4">
      <c r="A29" s="91" t="s">
        <v>230</v>
      </c>
      <c r="B29" s="96">
        <f>Budget!F51</f>
        <v>107.69840093298498</v>
      </c>
      <c r="C29" s="96"/>
      <c r="D29" s="96"/>
      <c r="E29" s="96"/>
      <c r="F29" s="96"/>
      <c r="G29" s="96">
        <f>AVERAGE(B29:F29)</f>
        <v>107.69840093298498</v>
      </c>
    </row>
    <row r="30" spans="1:7" ht="15.4" x14ac:dyDescent="0.35">
      <c r="A30" s="107" t="s">
        <v>755</v>
      </c>
      <c r="B30" s="108">
        <f>B27+B29</f>
        <v>589.77004246002116</v>
      </c>
      <c r="C30" s="108"/>
      <c r="D30" s="108"/>
      <c r="E30" s="108"/>
      <c r="F30" s="108"/>
      <c r="G30" s="108">
        <f>AVERAGE(B30:F30)</f>
        <v>589.77004246002116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-19.770042460021159</v>
      </c>
      <c r="C31" s="114"/>
      <c r="D31" s="114"/>
      <c r="E31" s="114"/>
      <c r="F31" s="114"/>
      <c r="G31" s="114">
        <f>AVERAGE(B31:F31)</f>
        <v>-19.770042460021159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8.0345273587839365</v>
      </c>
      <c r="C32" s="96"/>
      <c r="D32" s="96"/>
      <c r="E32" s="96"/>
      <c r="F32" s="96"/>
      <c r="G32" s="96">
        <f>AVERAGE(B32:F32)</f>
        <v>8.0345273587839365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9.8295007076670196</v>
      </c>
      <c r="C33" s="98"/>
      <c r="D33" s="98"/>
      <c r="E33" s="98"/>
      <c r="F33" s="98"/>
      <c r="G33" s="98">
        <f>AVERAGE(B33:F33)</f>
        <v>9.8295007076670196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18. 2025 Soybean Enterprise Budget, RR2XtendFlex, Flood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60</v>
      </c>
      <c r="E3" s="307">
        <f>Budget!E3</f>
        <v>9.5</v>
      </c>
      <c r="F3" s="307">
        <f>Budget!F3</f>
        <v>570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150</v>
      </c>
      <c r="E6" s="307">
        <f>Budget!E6</f>
        <v>0.68</v>
      </c>
      <c r="F6" s="307">
        <f>Budget!F6</f>
        <v>102.00000000000001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90</v>
      </c>
      <c r="E8" s="307">
        <f>Budget!E8</f>
        <v>0.34499999999999997</v>
      </c>
      <c r="F8" s="307">
        <f>Budget!F8</f>
        <v>31.049999999999997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71.170234374999993</v>
      </c>
      <c r="F13" s="307">
        <f>Budget!F14</f>
        <v>71.170234374999993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24.75</v>
      </c>
      <c r="F14" s="307">
        <f>Budget!F15</f>
        <v>24.75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23.3</v>
      </c>
      <c r="F15" s="307">
        <f>Budget!F16</f>
        <v>23.3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2</v>
      </c>
      <c r="E20" s="307">
        <f>Budget!E21</f>
        <v>10</v>
      </c>
      <c r="F20" s="307">
        <f>Budget!F21</f>
        <v>20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3.2392663372969062</v>
      </c>
      <c r="E24" s="307">
        <f>Budget!E25</f>
        <v>2.8</v>
      </c>
      <c r="F24" s="307">
        <f>Budget!F25</f>
        <v>9.0699457444313367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8.0611386454489633</v>
      </c>
      <c r="F25" s="307">
        <f>Budget!F26</f>
        <v>8.0611386454489633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1.9974603174603174</v>
      </c>
      <c r="E26" s="307">
        <f>Budget!E27</f>
        <v>2.8</v>
      </c>
      <c r="F26" s="307">
        <f>Budget!F27</f>
        <v>5.5928888888888881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7.2943723077686125</v>
      </c>
      <c r="F27" s="307">
        <f>Budget!F28</f>
        <v>7.2943723077686125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3.3071670175438594</v>
      </c>
      <c r="F28" s="307">
        <f>Budget!F29</f>
        <v>39.686004210526313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0.26411458333333337</v>
      </c>
      <c r="F29" s="307">
        <f>Budget!F30</f>
        <v>3.1693750000000005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0.65</v>
      </c>
      <c r="F31" s="307">
        <f>Budget!F32</f>
        <v>0.65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0.68391443489162418</v>
      </c>
      <c r="E32" s="307">
        <f>Budget!E33</f>
        <v>14.53</v>
      </c>
      <c r="F32" s="307">
        <f>Budget!F33</f>
        <v>9.9372767389752994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5</v>
      </c>
      <c r="F33" s="307">
        <f>Budget!F34</f>
        <v>5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16</v>
      </c>
      <c r="F35" s="307">
        <f>Budget!F36</f>
        <v>16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444.23123591103945</v>
      </c>
      <c r="F36" s="307">
        <f>Budget!F37</f>
        <v>19.990405615996774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60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60</v>
      </c>
      <c r="E40" s="307">
        <f>Budget!E41</f>
        <v>0.25</v>
      </c>
      <c r="F40" s="307">
        <f>Budget!F41</f>
        <v>15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60</v>
      </c>
      <c r="E41" s="307">
        <f>Budget!E42</f>
        <v>4.7500000000000001E-2</v>
      </c>
      <c r="F41" s="307">
        <f>Budget!F42</f>
        <v>2.85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482.07164152703626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87.928358472963737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75.770659411420127</v>
      </c>
      <c r="F47" s="311">
        <f>Budget!F48</f>
        <v>75.770659411420127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28.139208550993843</v>
      </c>
      <c r="F48" s="311">
        <f>Budget!F49</f>
        <v>28.139208550993843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3.7885329705710067</v>
      </c>
      <c r="F49" s="311">
        <f>Budget!F50</f>
        <v>3.7885329705710067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107.69840093298498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589.77004246002127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-19.770042460021273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Soybeans, RR2XtendFlex, Flood</v>
      </c>
      <c r="H1" s="1246"/>
      <c r="I1" s="1442"/>
    </row>
    <row r="2" spans="1:9" ht="15" customHeight="1" x14ac:dyDescent="0.4">
      <c r="A2" s="1807" t="str">
        <f>Print_Summary!G1</f>
        <v>Soybeans, RR2XtendFlex, Flood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444231.23591103946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60</v>
      </c>
      <c r="C6" s="1821"/>
      <c r="D6" s="1822">
        <f>B6*Print_Summary!$I$2</f>
        <v>60000</v>
      </c>
      <c r="E6" s="1097" t="s">
        <v>799</v>
      </c>
      <c r="F6" s="1541">
        <f>B6*0.9</f>
        <v>54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/>
      <c r="D7" s="1824">
        <f>B7</f>
        <v>9.5</v>
      </c>
      <c r="E7" s="1097" t="s">
        <v>793</v>
      </c>
      <c r="F7" s="1542">
        <f>B7</f>
        <v>9.5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570</v>
      </c>
      <c r="C9" s="1827"/>
      <c r="D9" s="1828">
        <f>B9*Print_Summary!$I$2</f>
        <v>570000</v>
      </c>
      <c r="E9" s="667" t="s">
        <v>13</v>
      </c>
      <c r="F9" s="1829">
        <f>F6*F7</f>
        <v>513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36">
        <f>B13/$B$6</f>
        <v>1.7000000000000002</v>
      </c>
      <c r="D13" s="1822">
        <f>B13*Print_Summary!$I$2</f>
        <v>102000.00000000001</v>
      </c>
      <c r="E13" s="4"/>
      <c r="F13" s="1825">
        <f>B13/$F$9</f>
        <v>0.19883040935672516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56.05</v>
      </c>
      <c r="C14" s="1836">
        <f t="shared" ref="C14:C34" si="0">B14/$B$6</f>
        <v>0.93416666666666659</v>
      </c>
      <c r="D14" s="1822">
        <f>B14*Print_Summary!$I$2</f>
        <v>56050</v>
      </c>
      <c r="E14" s="4"/>
      <c r="F14" s="1825">
        <f t="shared" ref="F14:F19" si="1">B14/$F$9</f>
        <v>0.10925925925925925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119.22023437499999</v>
      </c>
      <c r="C15" s="1836">
        <f t="shared" si="0"/>
        <v>1.9870039062499998</v>
      </c>
      <c r="D15" s="1822">
        <f>B15*Print_Summary!$I$2</f>
        <v>119220.23437499999</v>
      </c>
      <c r="E15" s="4"/>
      <c r="F15" s="1825">
        <f t="shared" si="1"/>
        <v>0.23239811769005847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62.5</v>
      </c>
      <c r="C16" s="1836">
        <f t="shared" si="0"/>
        <v>1.0416666666666667</v>
      </c>
      <c r="D16" s="1822">
        <f>B16*Print_Summary!$I$2</f>
        <v>62500</v>
      </c>
      <c r="E16" s="4"/>
      <c r="F16" s="1825">
        <f t="shared" si="1"/>
        <v>0.12183235867446393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14.662834633320225</v>
      </c>
      <c r="C17" s="1836">
        <f t="shared" si="0"/>
        <v>0.24438057722200374</v>
      </c>
      <c r="D17" s="1822">
        <f>B17*Print_Summary!$I$2</f>
        <v>14662.834633320224</v>
      </c>
      <c r="E17" s="4"/>
      <c r="F17" s="1825">
        <f t="shared" si="1"/>
        <v>2.8582523651696345E-2</v>
      </c>
    </row>
    <row r="18" spans="1:6" ht="13.9" x14ac:dyDescent="0.4">
      <c r="A18" s="1835" t="s">
        <v>227</v>
      </c>
      <c r="B18" s="1836">
        <f>Budget!F29</f>
        <v>39.686004210526313</v>
      </c>
      <c r="C18" s="1836">
        <f t="shared" si="0"/>
        <v>0.66143340350877189</v>
      </c>
      <c r="D18" s="1822">
        <f>B18*Print_Summary!$I$2</f>
        <v>39686.004210526313</v>
      </c>
      <c r="E18" s="4"/>
      <c r="F18" s="1825">
        <f t="shared" si="1"/>
        <v>7.7360631989330048E-2</v>
      </c>
    </row>
    <row r="19" spans="1:6" ht="13.9" x14ac:dyDescent="0.4">
      <c r="A19" s="1835" t="s">
        <v>422</v>
      </c>
      <c r="B19" s="1836">
        <f>Budget!F31+Budget!F32</f>
        <v>0.65</v>
      </c>
      <c r="C19" s="1836">
        <f t="shared" si="0"/>
        <v>1.0833333333333334E-2</v>
      </c>
      <c r="D19" s="1822">
        <f>B19*Print_Summary!$I$2</f>
        <v>650</v>
      </c>
      <c r="E19" s="4"/>
      <c r="F19" s="1825">
        <f t="shared" si="1"/>
        <v>1.267056530214425E-3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394.76907321884653</v>
      </c>
      <c r="C20" s="1837">
        <f t="shared" si="0"/>
        <v>6.5794845536474424</v>
      </c>
      <c r="D20" s="1828">
        <f>B20*Print_Summary!$I$2</f>
        <v>394769.07321884652</v>
      </c>
      <c r="E20" s="308"/>
      <c r="F20" s="1838">
        <f t="shared" ref="F20:F28" si="2">B20/$F$9</f>
        <v>0.76953035715174767</v>
      </c>
    </row>
    <row r="21" spans="1:6" ht="13.9" x14ac:dyDescent="0.4">
      <c r="A21" s="1835" t="s">
        <v>780</v>
      </c>
      <c r="B21" s="1836">
        <f>Budget!F34+Budget!F35</f>
        <v>5</v>
      </c>
      <c r="C21" s="1836">
        <f t="shared" si="0"/>
        <v>8.3333333333333329E-2</v>
      </c>
      <c r="D21" s="1822">
        <f>B21*Print_Summary!$I$2</f>
        <v>5000</v>
      </c>
      <c r="E21" s="4"/>
      <c r="F21" s="1825">
        <f t="shared" si="2"/>
        <v>9.7465886939571145E-3</v>
      </c>
    </row>
    <row r="22" spans="1:6" ht="13.9" x14ac:dyDescent="0.4">
      <c r="A22" s="1835" t="s">
        <v>1</v>
      </c>
      <c r="B22" s="1836">
        <f>Budget!F36</f>
        <v>16</v>
      </c>
      <c r="C22" s="1836">
        <f t="shared" si="0"/>
        <v>0.26666666666666666</v>
      </c>
      <c r="D22" s="1822">
        <f>B22*Print_Summary!$I$2</f>
        <v>16000</v>
      </c>
      <c r="E22" s="4"/>
      <c r="F22" s="1825">
        <f t="shared" si="2"/>
        <v>3.1189083820662766E-2</v>
      </c>
    </row>
    <row r="23" spans="1:6" ht="13.9" x14ac:dyDescent="0.4">
      <c r="A23" s="1835" t="s">
        <v>751</v>
      </c>
      <c r="B23" s="1836">
        <f>Budget!F26+Budget!F28+Budget!F30</f>
        <v>18.524885953217577</v>
      </c>
      <c r="C23" s="1836">
        <f t="shared" si="0"/>
        <v>0.30874809922029295</v>
      </c>
      <c r="D23" s="1822">
        <f>B23*Print_Summary!$I$2</f>
        <v>18524.885953217577</v>
      </c>
      <c r="E23" s="4"/>
      <c r="F23" s="1825">
        <f t="shared" si="2"/>
        <v>3.6110888797695084E-2</v>
      </c>
    </row>
    <row r="24" spans="1:6" ht="13.9" x14ac:dyDescent="0.4">
      <c r="A24" s="1835" t="s">
        <v>214</v>
      </c>
      <c r="B24" s="1836">
        <f>Budget!F33</f>
        <v>9.9372767389752994</v>
      </c>
      <c r="C24" s="1836">
        <f t="shared" si="0"/>
        <v>0.16562127898292164</v>
      </c>
      <c r="D24" s="1822">
        <f>B24*Print_Summary!$I$2</f>
        <v>9937.2767389752989</v>
      </c>
      <c r="E24" s="4"/>
      <c r="F24" s="1825">
        <f t="shared" si="2"/>
        <v>1.9370909822563936E-2</v>
      </c>
    </row>
    <row r="25" spans="1:6" ht="13.5" x14ac:dyDescent="0.35">
      <c r="A25" s="1826" t="s">
        <v>641</v>
      </c>
      <c r="B25" s="1837">
        <f>SUM(Budget!F6:F18)+SUM(Budget!F20:F23)+SUM(Budget!F25:F36)</f>
        <v>444.23123591103945</v>
      </c>
      <c r="C25" s="1837">
        <f t="shared" si="0"/>
        <v>7.4038539318506578</v>
      </c>
      <c r="D25" s="1828">
        <f>B25*Print_Summary!$I$2</f>
        <v>444231.23591103946</v>
      </c>
      <c r="E25" s="308"/>
      <c r="F25" s="1838">
        <f t="shared" si="2"/>
        <v>0.86594782828662664</v>
      </c>
    </row>
    <row r="26" spans="1:6" ht="13.9" x14ac:dyDescent="0.4">
      <c r="A26" s="1835" t="s">
        <v>28</v>
      </c>
      <c r="B26" s="1836">
        <f>Budget!F37</f>
        <v>19.990405615996774</v>
      </c>
      <c r="C26" s="1836">
        <f t="shared" si="0"/>
        <v>0.33317342693327956</v>
      </c>
      <c r="D26" s="1822">
        <f>B26*Print_Summary!$I$2</f>
        <v>19990.405615996773</v>
      </c>
      <c r="E26" s="4"/>
      <c r="F26" s="1825">
        <f t="shared" si="2"/>
        <v>3.8967652272898196E-2</v>
      </c>
    </row>
    <row r="27" spans="1:6" ht="13.9" x14ac:dyDescent="0.4">
      <c r="A27" s="1835" t="s">
        <v>228</v>
      </c>
      <c r="B27" s="1836">
        <f>SUM(Budget!F39:F43)</f>
        <v>17.850000000000001</v>
      </c>
      <c r="C27" s="1836">
        <f t="shared" si="0"/>
        <v>0.29750000000000004</v>
      </c>
      <c r="D27" s="1822">
        <f>B27*Print_Summary!$I$2</f>
        <v>17850</v>
      </c>
      <c r="E27" s="4"/>
      <c r="F27" s="1825">
        <f t="shared" si="2"/>
        <v>3.47953216374269E-2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482.07164152703615</v>
      </c>
      <c r="C29" s="1837">
        <f t="shared" si="0"/>
        <v>8.0345273587839365</v>
      </c>
      <c r="D29" s="1828">
        <f>B29*Print_Summary!$I$2</f>
        <v>482071.64152703615</v>
      </c>
      <c r="E29" s="308"/>
      <c r="F29" s="1825"/>
    </row>
    <row r="30" spans="1:6" ht="13.5" x14ac:dyDescent="0.35">
      <c r="A30" s="1826" t="s">
        <v>233</v>
      </c>
      <c r="B30" s="1827">
        <f>B9-B29-B31</f>
        <v>87.928358472963851</v>
      </c>
      <c r="C30" s="1827">
        <f t="shared" si="0"/>
        <v>1.4654726412160641</v>
      </c>
      <c r="D30" s="1828">
        <f>B30*Print_Summary!$I$2</f>
        <v>87928.358472963853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107.69840093298498</v>
      </c>
      <c r="C32" s="1836">
        <f t="shared" si="0"/>
        <v>1.794973348883083</v>
      </c>
      <c r="D32" s="1822">
        <f>B32*Print_Summary!$I$2</f>
        <v>107698.40093298498</v>
      </c>
      <c r="E32" s="4"/>
      <c r="F32" s="1825">
        <f>B32/$F$9</f>
        <v>0.20993840337813838</v>
      </c>
    </row>
    <row r="33" spans="1:6" ht="13.5" x14ac:dyDescent="0.35">
      <c r="A33" s="1826" t="s">
        <v>651</v>
      </c>
      <c r="B33" s="1837">
        <f>B29+B32</f>
        <v>589.77004246002116</v>
      </c>
      <c r="C33" s="1837">
        <f t="shared" si="0"/>
        <v>9.8295007076670196</v>
      </c>
      <c r="D33" s="1828">
        <f>B33*Print_Summary!$I$2</f>
        <v>589770.04246002121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-19.770042460021159</v>
      </c>
      <c r="C34" s="1827">
        <f t="shared" si="0"/>
        <v>-0.32950070766701933</v>
      </c>
      <c r="D34" s="1828">
        <f>B34*Print_Summary!$I$2</f>
        <v>-19770.042460021159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8.0345273587839365</v>
      </c>
      <c r="C36" s="1097"/>
      <c r="D36" s="1824">
        <f>D29/D6</f>
        <v>8.0345273587839365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9.8295007076670196</v>
      </c>
      <c r="C37" s="1097"/>
      <c r="D37" s="1824">
        <f>D33/D6</f>
        <v>9.8295007076670196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4.4999999999999998E-2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60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60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60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60</v>
      </c>
      <c r="J30" s="900"/>
    </row>
    <row r="31" spans="2:10" ht="12.75" customHeight="1" x14ac:dyDescent="0.4">
      <c r="B31" s="901">
        <f>IF(A2_Budget_Look_Up!B13&gt;0,Budget!D3*Budget!B41,I31)</f>
        <v>60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60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10.846586593208205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9.9878984879125561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27.759364800993843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39.686004210526313</v>
      </c>
      <c r="C27" s="696">
        <f>C26*Budget!D29</f>
        <v>28.451907055900623</v>
      </c>
      <c r="D27" s="696">
        <f>D26*Budget!D29</f>
        <v>31.161612489795921</v>
      </c>
      <c r="E27" s="696">
        <f>E26*Budget!D29</f>
        <v>18.879199145864664</v>
      </c>
      <c r="F27" s="696">
        <f>F26*Budget!D29</f>
        <v>48.705550622009575</v>
      </c>
      <c r="G27" s="696">
        <f>G26*Budget!D29</f>
        <v>55.276934436090237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3.1693750000000005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3.1693750000000005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3.3E-3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3.3E-3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3.9599999999999996E-2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39.686004210526313</v>
      </c>
      <c r="C70" s="696">
        <f>C69*Budget!D29</f>
        <v>28.451907055900623</v>
      </c>
      <c r="D70" s="696">
        <f>D69*Budget!D29</f>
        <v>31.161612489795921</v>
      </c>
      <c r="E70" s="696">
        <f>E69*Budget!D29</f>
        <v>18.879199145864664</v>
      </c>
      <c r="F70" s="696">
        <f>F69*Budget!D29</f>
        <v>48.705550622009575</v>
      </c>
      <c r="G70" s="696">
        <f>G69*Budget!D29</f>
        <v>55.276934436090237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3.3E-3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3.3E-3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3.9599999999999996E-2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Soybeans, RR2XtendFlex, Flood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60</v>
      </c>
      <c r="C6" s="1823">
        <f>B6*Print_Summary!$I$2</f>
        <v>60000</v>
      </c>
      <c r="D6" s="1846"/>
      <c r="E6" s="1096">
        <f t="shared" si="0"/>
        <v>60</v>
      </c>
      <c r="F6" s="1822">
        <f t="shared" si="0"/>
        <v>60000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>
        <f>B7</f>
        <v>9.5</v>
      </c>
      <c r="D7" s="1847"/>
      <c r="E7" s="1097">
        <f t="shared" si="0"/>
        <v>9.5</v>
      </c>
      <c r="F7" s="1848">
        <f t="shared" si="0"/>
        <v>9.5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570</v>
      </c>
      <c r="C9" s="1830">
        <f>B9*Print_Summary!$I$2</f>
        <v>570000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23">
        <f>B13*Print_Summary!$I$2</f>
        <v>102000.00000000001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-18.174999999999997</v>
      </c>
    </row>
    <row r="14" spans="1:9" ht="13.9" x14ac:dyDescent="0.4">
      <c r="A14" s="1835" t="s">
        <v>224</v>
      </c>
      <c r="B14" s="1836">
        <f>SUM(Budget!F7:F13)</f>
        <v>56.05</v>
      </c>
      <c r="C14" s="1823">
        <f>B14*Print_Summary!$I$2</f>
        <v>56050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-34.738799999999998</v>
      </c>
    </row>
    <row r="15" spans="1:9" ht="13.9" x14ac:dyDescent="0.4">
      <c r="A15" s="1835" t="s">
        <v>495</v>
      </c>
      <c r="B15" s="1836">
        <f>SUM(Budget!F14:F18)</f>
        <v>119.22023437499999</v>
      </c>
      <c r="C15" s="1823">
        <f>B15*Print_Summary!$I$2</f>
        <v>119220.23437499999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-89.832265624999991</v>
      </c>
    </row>
    <row r="16" spans="1:9" ht="13.9" x14ac:dyDescent="0.4">
      <c r="A16" s="1835" t="s">
        <v>225</v>
      </c>
      <c r="B16" s="1836">
        <f>SUM(Budget!F20:F23)</f>
        <v>62.5</v>
      </c>
      <c r="C16" s="1823">
        <f>B16*Print_Summary!$I$2</f>
        <v>62500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48.5</v>
      </c>
    </row>
    <row r="17" spans="1:9" ht="13.9" x14ac:dyDescent="0.4">
      <c r="A17" s="1835" t="s">
        <v>463</v>
      </c>
      <c r="B17" s="1836">
        <f>Budget!F25+Budget!F27</f>
        <v>14.662834633320225</v>
      </c>
      <c r="C17" s="1823">
        <f>B17*Print_Summary!$I$2</f>
        <v>14662.834633320224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-13.404029115576796</v>
      </c>
    </row>
    <row r="18" spans="1:9" ht="13.9" x14ac:dyDescent="0.4">
      <c r="A18" s="1835" t="s">
        <v>227</v>
      </c>
      <c r="B18" s="1836">
        <f>Budget!F29</f>
        <v>39.686004210526313</v>
      </c>
      <c r="C18" s="1823">
        <f>B18*Print_Summary!$I$2</f>
        <v>39686.004210526313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4.5355433383458603</v>
      </c>
    </row>
    <row r="19" spans="1:9" ht="13.9" x14ac:dyDescent="0.4">
      <c r="A19" s="1835" t="s">
        <v>782</v>
      </c>
      <c r="B19" s="1836">
        <f>Budget!F31+Budget!F32</f>
        <v>0.65</v>
      </c>
      <c r="C19" s="1823">
        <f>B19*Print_Summary!$I$2</f>
        <v>650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-2.8000000000000003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394.76907321884653</v>
      </c>
      <c r="C20" s="1828">
        <f>B20*Print_Summary!$I$2</f>
        <v>394769.07321884652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-105.91455140223093</v>
      </c>
    </row>
    <row r="21" spans="1:9" ht="13.9" x14ac:dyDescent="0.4">
      <c r="A21" s="1835" t="s">
        <v>780</v>
      </c>
      <c r="B21" s="1836">
        <f>Budget!F34+Budget!F35</f>
        <v>5</v>
      </c>
      <c r="C21" s="1823">
        <f>B21*Print_Summary!$I$2</f>
        <v>5000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-19</v>
      </c>
    </row>
    <row r="22" spans="1:9" ht="13.9" x14ac:dyDescent="0.4">
      <c r="A22" s="1835" t="s">
        <v>1</v>
      </c>
      <c r="B22" s="1836">
        <f>Budget!F36</f>
        <v>16</v>
      </c>
      <c r="C22" s="1823">
        <f>B22*Print_Summary!$I$2</f>
        <v>16000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16</v>
      </c>
    </row>
    <row r="23" spans="1:9" ht="15.4" x14ac:dyDescent="0.4">
      <c r="A23" s="1835" t="s">
        <v>752</v>
      </c>
      <c r="B23" s="1836">
        <f>Budget!F26+Budget!F28+Budget!F30</f>
        <v>18.524885953217577</v>
      </c>
      <c r="C23" s="1823">
        <f>B23*Print_Summary!$I$2</f>
        <v>18524.885953217577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-14.499357850835899</v>
      </c>
    </row>
    <row r="24" spans="1:9" ht="15" customHeight="1" x14ac:dyDescent="0.4">
      <c r="A24" s="1835" t="s">
        <v>214</v>
      </c>
      <c r="B24" s="1836">
        <f>Budget!F33</f>
        <v>9.9372767389752994</v>
      </c>
      <c r="C24" s="1823">
        <f>B24*Print_Summary!$I$2</f>
        <v>9937.2767389752989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-13.390569085503689</v>
      </c>
    </row>
    <row r="25" spans="1:9" ht="15" customHeight="1" x14ac:dyDescent="0.4">
      <c r="A25" s="1826" t="s">
        <v>641</v>
      </c>
      <c r="B25" s="1837">
        <f>SUM(Budget!F6:F18)+SUM(Budget!F20:F23)+SUM(Budget!F25:F36)</f>
        <v>444.23123591103945</v>
      </c>
      <c r="C25" s="1830">
        <f>B25*Print_Summary!$I$2</f>
        <v>444231.23591103946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-136.80447833857045</v>
      </c>
    </row>
    <row r="26" spans="1:9" ht="13.9" x14ac:dyDescent="0.4">
      <c r="A26" s="1835" t="s">
        <v>28</v>
      </c>
      <c r="B26" s="1836">
        <f>Budget!F37</f>
        <v>19.990405615996774</v>
      </c>
      <c r="C26" s="1823">
        <f>B26*Print_Summary!$I$2</f>
        <v>19990.405615996773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6.1908074025685362</v>
      </c>
    </row>
    <row r="27" spans="1:9" ht="13.9" x14ac:dyDescent="0.4">
      <c r="A27" s="1835" t="s">
        <v>228</v>
      </c>
      <c r="B27" s="1836">
        <f>SUM(Budget!F39:F43)</f>
        <v>17.850000000000001</v>
      </c>
      <c r="C27" s="1823">
        <f>B27*Print_Summary!$I$2</f>
        <v>17850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-126.93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482.07164152703615</v>
      </c>
      <c r="C29" s="1830">
        <f>B29*Print_Summary!$I$2</f>
        <v>482071.64152703615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-112.76367093600209</v>
      </c>
    </row>
    <row r="30" spans="1:9" ht="13.9" x14ac:dyDescent="0.4">
      <c r="A30" s="1826" t="s">
        <v>233</v>
      </c>
      <c r="B30" s="1827">
        <f>B9-B29-B31</f>
        <v>87.928358472963851</v>
      </c>
      <c r="C30" s="1830">
        <f>B30*Print_Summary!$I$2</f>
        <v>87928.358472963853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-97.236329063997914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107.69840093298498</v>
      </c>
      <c r="C32" s="1823">
        <f>B32*Print_Summary!$I$2</f>
        <v>107698.40093298498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-70.896589005139049</v>
      </c>
    </row>
    <row r="33" spans="1:9" ht="13.9" x14ac:dyDescent="0.4">
      <c r="A33" s="1826" t="s">
        <v>651</v>
      </c>
      <c r="B33" s="1837">
        <f>B29+B32</f>
        <v>589.77004246002116</v>
      </c>
      <c r="C33" s="1830">
        <f>B33*Print_Summary!$I$2</f>
        <v>589770.04246002121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-183.66025994114113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-19.770042460021159</v>
      </c>
      <c r="C34" s="1830">
        <f>B34*Print_Summary!$I$2</f>
        <v>-19770.042460021159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-26.339740058858865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8.0345273587839365</v>
      </c>
      <c r="C36" s="1097">
        <f>C29/C6</f>
        <v>8.0345273587839365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9.8295007076670196</v>
      </c>
      <c r="C37" s="1840">
        <f>C33/C6</f>
        <v>9.8295007076670196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-4.3933427688935909E-3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18. 2025 Soybean Enterprise Budget, RR2XtendFlex, Flood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60</v>
      </c>
      <c r="E3" s="1258">
        <f>A3_Production_Look_Up!B5</f>
        <v>9.5</v>
      </c>
      <c r="F3" s="9">
        <f>IF('C1_Messages_Indicators'!B3=1,(D3*E3*B3),"Error")</f>
        <v>570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150</v>
      </c>
      <c r="E6" s="10">
        <f>Seed_Chemical!D4</f>
        <v>0.68</v>
      </c>
      <c r="F6" s="9">
        <f t="shared" ref="F6:F11" si="0">D6*E6*B6</f>
        <v>102.00000000000001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90</v>
      </c>
      <c r="E8" s="10">
        <f>Fertilizer!E4</f>
        <v>0.34499999999999997</v>
      </c>
      <c r="F8" s="9">
        <f t="shared" si="0"/>
        <v>31.049999999999997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71.170234374999993</v>
      </c>
      <c r="F14" s="9">
        <f t="shared" si="1"/>
        <v>71.170234374999993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24.75</v>
      </c>
      <c r="F15" s="9">
        <f t="shared" si="1"/>
        <v>24.75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23.3</v>
      </c>
      <c r="F16" s="9">
        <f t="shared" si="1"/>
        <v>23.3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2</v>
      </c>
      <c r="E21" s="2">
        <v>10</v>
      </c>
      <c r="F21" s="9">
        <f>D21*E21*B21</f>
        <v>20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3.2392663372969062</v>
      </c>
      <c r="E25" s="18">
        <f>Irrigation!B14</f>
        <v>2.8</v>
      </c>
      <c r="F25" s="9">
        <f t="shared" ref="F25:F36" si="2">D25*E25*B25</f>
        <v>9.0699457444313367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8.0611386454489633</v>
      </c>
      <c r="F26" s="9">
        <f t="shared" si="2"/>
        <v>8.0611386454489633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1.9974603174603174</v>
      </c>
      <c r="E27" s="18">
        <f>Irrigation!B14</f>
        <v>2.8</v>
      </c>
      <c r="F27" s="9">
        <f t="shared" si="2"/>
        <v>5.5928888888888881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7.2943723077686125</v>
      </c>
      <c r="F28" s="9">
        <f t="shared" si="2"/>
        <v>7.2943723077686125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3.3071670175438594</v>
      </c>
      <c r="F29" s="9">
        <f t="shared" si="2"/>
        <v>39.686004210526313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0.26411458333333337</v>
      </c>
      <c r="F30" s="9">
        <f>D30*E30</f>
        <v>3.1693750000000005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0.65</v>
      </c>
      <c r="F32" s="9">
        <f t="shared" si="2"/>
        <v>0.65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0.68391443489162418</v>
      </c>
      <c r="E33" s="316">
        <v>14.53</v>
      </c>
      <c r="F33" s="9">
        <f t="shared" si="2"/>
        <v>9.9372767389752994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5</v>
      </c>
      <c r="F34" s="9">
        <f t="shared" si="2"/>
        <v>5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16</v>
      </c>
      <c r="F36" s="9">
        <f t="shared" si="2"/>
        <v>16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444.23123591103945</v>
      </c>
      <c r="F37" s="9">
        <f>((D37/100)*Program_Variables!D34)*SUM(F6:F36)*B37</f>
        <v>19.990405615996774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60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60</v>
      </c>
      <c r="E41" s="2">
        <f>A3_Production_Look_Up!B38</f>
        <v>0.25</v>
      </c>
      <c r="F41" s="9">
        <f>D41*E41*B41</f>
        <v>15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60</v>
      </c>
      <c r="E42" s="1964">
        <f>A3_Production_Look_Up!B39</f>
        <v>4.7500000000000001E-2</v>
      </c>
      <c r="F42" s="9">
        <f>D42*E42*B42</f>
        <v>2.85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482.07164152703626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87.928358472963737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75.770659411420127</v>
      </c>
      <c r="F48" s="9">
        <f>D48*E48</f>
        <v>75.770659411420127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28.139208550993843</v>
      </c>
      <c r="F49" s="9">
        <f>D49*E49</f>
        <v>28.139208550993843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3.7885329705710067</v>
      </c>
      <c r="F50" s="9">
        <f>D50*E50</f>
        <v>3.7885329705710067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107.69840093298498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589.77004246002127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-19.770042460021273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90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D12" sqref="D12:D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0.68</v>
      </c>
      <c r="E4" s="1586">
        <f>A3_Production_Look_Up!B45</f>
        <v>150</v>
      </c>
      <c r="F4" s="1587">
        <f>D4*E4</f>
        <v>102.00000000000001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102.00000000000001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qt</v>
      </c>
      <c r="D12" s="1601">
        <f>IF(A5_Chem_Look_Up!$F6&gt;0,A5_Chem_Look_Up!D6,0)</f>
        <v>4.375</v>
      </c>
      <c r="E12" s="1586">
        <f>IF(A5_Chem_Look_Up!$F6&gt;0,A5_Chem_Look_Up!E6,0)</f>
        <v>1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qt</v>
      </c>
      <c r="D13" s="1601">
        <f>IF(A5_Chem_Look_Up!$F7&gt;0,A5_Chem_Look_Up!D7,0)</f>
        <v>6.25</v>
      </c>
      <c r="E13" s="1586">
        <f>IF(A5_Chem_Look_Up!$F7&gt;0,A5_Chem_Look_Up!E7,0)</f>
        <v>1</v>
      </c>
      <c r="F13" s="1587">
        <f t="shared" ref="F13:F25" si="0">D13*E13</f>
        <v>6.25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Metribuzin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1.1399999999999999</v>
      </c>
      <c r="E14" s="1586">
        <f>IF(A5_Chem_Look_Up!$F8&gt;0,A5_Chem_Look_Up!E8,0)</f>
        <v>8</v>
      </c>
      <c r="F14" s="1587">
        <f t="shared" si="0"/>
        <v>9.1199999999999992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Tavium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0.41796875</v>
      </c>
      <c r="E15" s="1586">
        <f>IF(A5_Chem_Look_Up!$F9&gt;0,A5_Chem_Look_Up!E9,0)</f>
        <v>56.5</v>
      </c>
      <c r="F15" s="1587">
        <f t="shared" si="0"/>
        <v>23.615234375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Xtendimax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0.48</v>
      </c>
      <c r="E16" s="1586">
        <f>IF(A5_Chem_Look_Up!$F10&gt;0,A5_Chem_Look_Up!E10,0)</f>
        <v>22</v>
      </c>
      <c r="F16" s="1587">
        <f t="shared" si="0"/>
        <v>10.559999999999999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Glyphosate</v>
      </c>
      <c r="B17" s="1602" t="str">
        <f>IF(A5_Chem_Look_Up!$F11&gt;0,A5_Chem_Look_Up!B11," ")</f>
        <v/>
      </c>
      <c r="C17" s="1603" t="str">
        <f>IF(A5_Chem_Look_Up!$F11&gt;0,A5_Chem_Look_Up!C11," ")</f>
        <v>qt</v>
      </c>
      <c r="D17" s="1601">
        <f>IF(A5_Chem_Look_Up!$F11&gt;0,A5_Chem_Look_Up!D11,0)</f>
        <v>4.375</v>
      </c>
      <c r="E17" s="1586">
        <f>IF(A5_Chem_Look_Up!$F11&gt;0,A5_Chem_Look_Up!E11,0)</f>
        <v>1</v>
      </c>
      <c r="F17" s="1587">
        <f t="shared" si="0"/>
        <v>4.375</v>
      </c>
      <c r="G17" s="20"/>
    </row>
    <row r="18" spans="1:7" ht="12.95" customHeight="1" x14ac:dyDescent="0.35">
      <c r="A18" s="1601" t="str">
        <f>IF(A5_Chem_Look_Up!$F12&gt;0,A5_Chem_Look_Up!A12," ")</f>
        <v>Liberty</v>
      </c>
      <c r="B18" s="1602" t="str">
        <f>IF(A5_Chem_Look_Up!$F12&gt;0,A5_Chem_Look_Up!B12," ")</f>
        <v/>
      </c>
      <c r="C18" s="1603" t="str">
        <f>IF(A5_Chem_Look_Up!$F12&gt;0,A5_Chem_Look_Up!C12," ")</f>
        <v>qt</v>
      </c>
      <c r="D18" s="1601">
        <f>IF(A5_Chem_Look_Up!$F12&gt;0,A5_Chem_Look_Up!D12,0)</f>
        <v>12.875</v>
      </c>
      <c r="E18" s="1586">
        <f>IF(A5_Chem_Look_Up!$F12&gt;0,A5_Chem_Look_Up!E12,0)</f>
        <v>1</v>
      </c>
      <c r="F18" s="1587">
        <f t="shared" si="0"/>
        <v>12.875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71.170234374999993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Besiege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2.75</v>
      </c>
      <c r="E30" s="1586">
        <f>IF(A5_Chem_Look_Up!$F24&gt;0,A5_Chem_Look_Up!E24,0)</f>
        <v>9</v>
      </c>
      <c r="F30" s="1587">
        <f t="shared" ref="F30:F39" si="1">D30*E30</f>
        <v>24.75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24.75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Quadris Top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2.33</v>
      </c>
      <c r="E44" s="1586">
        <f>IF(A5_Chem_Look_Up!$F38&gt;0,A5_Chem_Look_Up!E38,0)</f>
        <v>10</v>
      </c>
      <c r="F44" s="1587">
        <f>D44*E44</f>
        <v>23.3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23.3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" sqref="B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10.846586593208205</v>
      </c>
      <c r="L6" s="1517">
        <f>IF(AND(Budget!$B$3=1,Budget!$E$44=0),1,0)</f>
        <v>1</v>
      </c>
      <c r="M6" s="560">
        <v>1</v>
      </c>
      <c r="N6" s="869">
        <f>'C2_Irrigation_Calculations'!K6*Budget!D$30</f>
        <v>1.6500000000000001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9.9878984879125561</v>
      </c>
      <c r="L7" s="1517">
        <v>1</v>
      </c>
      <c r="M7" s="560">
        <v>1</v>
      </c>
      <c r="N7" s="869">
        <f>'C2_Irrigation_Calculations'!K7*Budget!D$30</f>
        <v>1.5193750000000001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27.759364800993843</v>
      </c>
      <c r="L10" s="1384"/>
      <c r="M10" s="1329" t="s">
        <v>768</v>
      </c>
      <c r="N10" s="870">
        <f>SUM(N4:N9)</f>
        <v>3.1693750000000005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4502.2733681590144</v>
      </c>
      <c r="F38" s="926">
        <f>(SUM(Trips!B30:B31)+SUM(Trips!B33:B37))*IF(B2=2,I15,I14)</f>
        <v>852.65963674668978</v>
      </c>
      <c r="G38" s="927">
        <f t="shared" ref="G38:G43" si="0">SUM(E38:F38)</f>
        <v>5354.9330049057044</v>
      </c>
    </row>
    <row r="39" spans="4:7" ht="13.9" x14ac:dyDescent="0.4">
      <c r="D39" s="863" t="s">
        <v>243</v>
      </c>
      <c r="E39" s="926">
        <f>Trips!C76*IF(B2=2,I15,I14)</f>
        <v>507.10000000000008</v>
      </c>
      <c r="F39" s="926">
        <f>(SUM(Trips!C30:C31)+SUM(Trips!C33:C37))*IF(B2=2,I15,I14)</f>
        <v>85.262339608977001</v>
      </c>
      <c r="G39" s="927">
        <f t="shared" si="0"/>
        <v>592.36233960897709</v>
      </c>
    </row>
    <row r="40" spans="4:7" ht="13.9" x14ac:dyDescent="0.4">
      <c r="D40" s="863" t="s">
        <v>616</v>
      </c>
      <c r="E40" s="926">
        <f>Trips!D76*IF(B2=2,I15,I14)</f>
        <v>6349.7606736842099</v>
      </c>
      <c r="F40" s="926">
        <f>(SUM(Trips!D30:D31)+SUM(Trips!D33:D37))*IF(B2=2,I15,I14)</f>
        <v>305.44060446247153</v>
      </c>
      <c r="G40" s="927">
        <f t="shared" si="0"/>
        <v>6655.201278146681</v>
      </c>
    </row>
    <row r="41" spans="4:7" ht="13.9" x14ac:dyDescent="0.4">
      <c r="D41" s="863" t="s">
        <v>55</v>
      </c>
      <c r="E41" s="926">
        <f>Trips!E76*IF(B2=2,I15,I14)</f>
        <v>92.06207999999998</v>
      </c>
      <c r="F41" s="926">
        <f>(SUM(Trips!E30:E31)+SUM(Trips!E33:E37))*IF(B2=2,I15,I14)</f>
        <v>397.5779406837591</v>
      </c>
      <c r="G41" s="927">
        <f t="shared" si="0"/>
        <v>489.64002068375908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42.632981837334491</v>
      </c>
      <c r="G43" s="927">
        <f t="shared" si="0"/>
        <v>42.632981837334491</v>
      </c>
    </row>
    <row r="44" spans="4:7" ht="13.9" thickBot="1" x14ac:dyDescent="0.4">
      <c r="D44" s="504" t="s">
        <v>22</v>
      </c>
      <c r="E44" s="928">
        <f>SUM(E38:E43)</f>
        <v>11451.196121843224</v>
      </c>
      <c r="F44" s="928">
        <f>SUM(F38:F43)</f>
        <v>1683.5735033392318</v>
      </c>
      <c r="G44" s="929">
        <f>SUM(G38:G43)</f>
        <v>13134.769625182455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28.139208550993839</v>
      </c>
      <c r="F48" s="82">
        <f t="shared" si="1"/>
        <v>5.3291227296668113</v>
      </c>
      <c r="G48" s="934">
        <f t="shared" si="1"/>
        <v>33.468331280660649</v>
      </c>
    </row>
    <row r="49" spans="4:7" ht="13.9" x14ac:dyDescent="0.4">
      <c r="D49" s="863" t="s">
        <v>243</v>
      </c>
      <c r="E49" s="82">
        <f t="shared" si="1"/>
        <v>3.1693750000000005</v>
      </c>
      <c r="F49" s="82">
        <f t="shared" si="1"/>
        <v>0.53288962255610628</v>
      </c>
      <c r="G49" s="934">
        <f t="shared" si="1"/>
        <v>3.7022646225561067</v>
      </c>
    </row>
    <row r="50" spans="4:7" ht="13.9" x14ac:dyDescent="0.4">
      <c r="D50" s="863" t="s">
        <v>616</v>
      </c>
      <c r="E50" s="82">
        <f t="shared" si="1"/>
        <v>39.686004210526313</v>
      </c>
      <c r="F50" s="82">
        <f t="shared" si="1"/>
        <v>1.909003777890447</v>
      </c>
      <c r="G50" s="934">
        <f t="shared" si="1"/>
        <v>41.595007988416754</v>
      </c>
    </row>
    <row r="51" spans="4:7" ht="13.9" x14ac:dyDescent="0.4">
      <c r="D51" s="863" t="s">
        <v>55</v>
      </c>
      <c r="E51" s="82">
        <f t="shared" si="1"/>
        <v>0.5753879999999999</v>
      </c>
      <c r="F51" s="82">
        <f t="shared" si="1"/>
        <v>2.4848621292734943</v>
      </c>
      <c r="G51" s="934">
        <f t="shared" si="1"/>
        <v>3.060250129273494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0.26645613648334054</v>
      </c>
      <c r="G53" s="934">
        <f t="shared" si="1"/>
        <v>0.26645613648334054</v>
      </c>
    </row>
    <row r="54" spans="4:7" ht="13.9" thickBot="1" x14ac:dyDescent="0.4">
      <c r="D54" s="504" t="s">
        <v>22</v>
      </c>
      <c r="E54" s="864">
        <f t="shared" si="1"/>
        <v>71.569975761520155</v>
      </c>
      <c r="F54" s="864">
        <f t="shared" si="1"/>
        <v>10.5223343958702</v>
      </c>
      <c r="G54" s="870">
        <f t="shared" si="1"/>
        <v>82.092310157390344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375.18944734658453</v>
      </c>
      <c r="F58" s="82">
        <f>IF(Budget!$D$29&gt;0,F38/Budget!$D$29,)</f>
        <v>71.054969728890811</v>
      </c>
      <c r="G58" s="934">
        <f>IF(Budget!$D$29&gt;0,G38/Budget!$D$29,)</f>
        <v>446.24441707547538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7.1051949674147501</v>
      </c>
      <c r="G59" s="934">
        <f>IF(Budget!$D$29&gt;0,G39/Budget!$D$29,)</f>
        <v>49.363528300748094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25.453383705205962</v>
      </c>
      <c r="G60" s="934">
        <f>IF(Budget!$D$29&gt;0,G40/Budget!$D$29,)</f>
        <v>554.60010651222342</v>
      </c>
    </row>
    <row r="61" spans="4:7" ht="13.9" x14ac:dyDescent="0.4">
      <c r="D61" s="863" t="s">
        <v>55</v>
      </c>
      <c r="E61" s="82">
        <f>IF(Budget!$D$29&gt;0,E41/Budget!$D$29,)</f>
        <v>7.6718399999999987</v>
      </c>
      <c r="F61" s="82">
        <f>IF(Budget!$D$29&gt;0,F41/Budget!$D$29,)</f>
        <v>33.131495056979922</v>
      </c>
      <c r="G61" s="934">
        <f>IF(Budget!$D$29&gt;0,G41/Budget!$D$29,)</f>
        <v>40.803335056979925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3.5527484864445409</v>
      </c>
      <c r="G63" s="934">
        <f>IF(Budget!$D$29&gt;0,G43/Budget!$D$29,)</f>
        <v>3.5527484864445409</v>
      </c>
    </row>
    <row r="64" spans="4:7" ht="13.9" thickBot="1" x14ac:dyDescent="0.4">
      <c r="D64" s="504" t="s">
        <v>22</v>
      </c>
      <c r="E64" s="864">
        <f>IF(Budget!$D$29&gt;0,E44/Budget!$D$29,)</f>
        <v>954.2663434869354</v>
      </c>
      <c r="F64" s="864">
        <f>IF(Budget!$D$29&gt;0,F44/Budget!$D$29,)</f>
        <v>140.29779194493599</v>
      </c>
      <c r="G64" s="870">
        <f>IF(Budget!$D$29&gt;0,G44/Budget!$D$29,)</f>
        <v>1094.5641354318711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25265.230374817547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157.90768984260967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2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2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2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2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4.5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1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4.5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I71" sqref="I71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9.3087781344581231</v>
      </c>
      <c r="C18" s="48">
        <f>Z1_Equipment_Calculations!AC28+Z1_Equipment_Calculations!AF28</f>
        <v>1.6153301509201075</v>
      </c>
      <c r="D18" s="48">
        <f>Z1_Equipment_Calculations!AJ28</f>
        <v>1.8709243697478988</v>
      </c>
      <c r="E18" s="48">
        <f>Z1_Equipment_Calculations!AM28</f>
        <v>0.99773829531812708</v>
      </c>
      <c r="F18" s="53">
        <f t="shared" si="0"/>
        <v>13.792770950444256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1.6236872802635922</v>
      </c>
      <c r="C33" s="48">
        <f>Z1_Equipment_Calculations!AC43+Z1_Equipment_Calculations!AF43</f>
        <v>0.17104015242923856</v>
      </c>
      <c r="D33" s="48">
        <f>Z1_Equipment_Calculations!AJ43</f>
        <v>0.54542965082584205</v>
      </c>
      <c r="E33" s="48">
        <f>Z1_Equipment_Calculations!AM43</f>
        <v>0.38228648142669136</v>
      </c>
      <c r="F33" s="53">
        <f t="shared" si="1"/>
        <v>2.7224435649453644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2.1038595910931122</v>
      </c>
      <c r="C36" s="48">
        <f>Z1_Equipment_Calculations!AC46+Z1_Equipment_Calculations!AF46</f>
        <v>0.19398385250409333</v>
      </c>
      <c r="D36" s="48">
        <f>Z1_Equipment_Calculations!AJ46</f>
        <v>0.81814447623876307</v>
      </c>
      <c r="E36" s="48">
        <f>Z1_Equipment_Calculations!AM46</f>
        <v>1.7202891664201112</v>
      </c>
      <c r="F36" s="53">
        <f t="shared" si="1"/>
        <v>4.8362770862560804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1.6015758583101072</v>
      </c>
      <c r="C37" s="48">
        <f>Z1_Equipment_Calculations!AC47+Z1_Equipment_Calculations!AF47</f>
        <v>0.16786561762277438</v>
      </c>
      <c r="D37" s="48">
        <f>Z1_Equipment_Calculations!AJ47</f>
        <v>0.54542965082584205</v>
      </c>
      <c r="E37" s="48">
        <f>Z1_Equipment_Calculations!AM47</f>
        <v>0.38228648142669136</v>
      </c>
      <c r="F37" s="53">
        <f t="shared" si="1"/>
        <v>2.6971576081854152</v>
      </c>
      <c r="G37" s="62">
        <f>IF(Machine!$B47&gt;0,B37/Machine!$B47," ")</f>
        <v>0.80078792915505359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43.049872032095699</v>
      </c>
      <c r="C45" s="77">
        <f>SUM(C4:C44)</f>
        <v>8.0611386454489633</v>
      </c>
      <c r="D45" s="77">
        <f>SUM(D4:D44)</f>
        <v>9.0699457444313367</v>
      </c>
      <c r="E45" s="77">
        <f>SUM(E4:E44)</f>
        <v>6.5458363580229175</v>
      </c>
      <c r="F45" s="77">
        <f>SUM(F4:F44)</f>
        <v>66.726792779998917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22.088073610051488</v>
      </c>
      <c r="C59" s="75">
        <f>Z1_Equipment_Calculations!AC69+Z1_Equipment_Calculations!AF69</f>
        <v>4.1339815608579276</v>
      </c>
      <c r="D59" s="75">
        <f>Z1_Equipment_Calculations!AJ69</f>
        <v>3.4955555555555549</v>
      </c>
      <c r="E59" s="75">
        <f>Z1_Equipment_Calculations!AM69</f>
        <v>1.4080261904761906</v>
      </c>
      <c r="F59" s="75">
        <f t="shared" si="2"/>
        <v>31.125636916941158</v>
      </c>
      <c r="G59" s="74">
        <f>IF(Machine!$B69&gt;0,B59/Machine!$B69," ")</f>
        <v>22.088073610051488</v>
      </c>
      <c r="H59" s="75">
        <f>IF(Machine!$B69&gt;0,C59/Machine!$B69," ")</f>
        <v>4.1339815608579276</v>
      </c>
      <c r="I59" s="75">
        <f>IF(Machine!$B69&gt;0,D59/Machine!$B69," ")</f>
        <v>3.4955555555555549</v>
      </c>
      <c r="J59" s="75">
        <f>IF(Machine!$B69&gt;0,E59/Machine!$B69," ")</f>
        <v>1.4080261904761906</v>
      </c>
      <c r="K59" s="76">
        <f>IF(Machine!$B69&gt;0,F59/Machine!$B69," ")</f>
        <v>31.125636916941158</v>
      </c>
      <c r="L59" s="638">
        <f>Z1_Equipment_Calculations!N69</f>
        <v>11.454545454545455</v>
      </c>
      <c r="M59" s="639">
        <f>Z1_Equipment_Calculations!O69</f>
        <v>8.7301587301587297E-2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2.3385487650960965</v>
      </c>
      <c r="C61" s="48">
        <f>Z1_Equipment_Calculations!AC71+Z1_Equipment_Calculations!AF71</f>
        <v>1.4320299821706386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3.7705787472667351</v>
      </c>
      <c r="G61" s="62">
        <f>IF(Machine!$B71&gt;0,B61/Machine!$B71," ")</f>
        <v>2.3385487650960965</v>
      </c>
      <c r="H61" s="48">
        <f>IF(Machine!$B71&gt;0,C61/Machine!$B71," ")</f>
        <v>1.4320299821706386</v>
      </c>
      <c r="I61" s="48">
        <f>IF(Machine!$B71&gt;0,D61/Machine!$B71," ")</f>
        <v>0</v>
      </c>
      <c r="J61" s="48">
        <f>IF(Machine!$B71&gt;0,E61/Machine!$B71," ")</f>
        <v>0</v>
      </c>
      <c r="K61" s="53">
        <f>IF(Machine!$B71&gt;0,F61/Machine!$B71," ")</f>
        <v>3.7705787472667351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8.2941650041768433</v>
      </c>
      <c r="C64" s="72">
        <f>Z1_Equipment_Calculations!AC74+Z1_Equipment_Calculations!AF74</f>
        <v>1.7283607647400463</v>
      </c>
      <c r="D64" s="72">
        <f>Z1_Equipment_Calculations!AJ74</f>
        <v>2.0973333333333328</v>
      </c>
      <c r="E64" s="72">
        <f>Z1_Equipment_Calculations!AM74</f>
        <v>1.4080261904761906</v>
      </c>
      <c r="F64" s="72">
        <f t="shared" si="2"/>
        <v>13.527885292726413</v>
      </c>
      <c r="G64" s="71">
        <f>IF(Machine!$B74&gt;0,B64/Machine!$B74," ")</f>
        <v>8.2941650041768433</v>
      </c>
      <c r="H64" s="72">
        <f>IF(Machine!$B74&gt;0,C64/Machine!$B74," ")</f>
        <v>1.7283607647400463</v>
      </c>
      <c r="I64" s="72">
        <f>IF(Machine!$B74&gt;0,D64/Machine!$B74," ")</f>
        <v>2.0973333333333328</v>
      </c>
      <c r="J64" s="72">
        <f>IF(Machine!$B74&gt;0,E64/Machine!$B74," ")</f>
        <v>1.4080261904761906</v>
      </c>
      <c r="K64" s="73">
        <f>IF(Machine!$B74&gt;0,F64/Machine!$B74," ")</f>
        <v>13.527885292726413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32.720787379324427</v>
      </c>
      <c r="C72" s="77">
        <f>SUM(C54:C71)</f>
        <v>7.2943723077686116</v>
      </c>
      <c r="D72" s="77">
        <f>SUM(D54:D71)</f>
        <v>5.5928888888888881</v>
      </c>
      <c r="E72" s="77">
        <f>SUM(E54:E71)</f>
        <v>2.8160523809523812</v>
      </c>
      <c r="F72" s="77">
        <f>SUM(F54:F71)</f>
        <v>48.424100956934311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75.770659411420127</v>
      </c>
      <c r="C74" s="77">
        <f>C45+C51+C72</f>
        <v>15.355510953217575</v>
      </c>
      <c r="D74" s="77">
        <f>D45+D51+D72</f>
        <v>14.662834633320225</v>
      </c>
      <c r="E74" s="77">
        <f>E45+E51+E72</f>
        <v>9.3618887389752992</v>
      </c>
      <c r="F74" s="77">
        <f>F45+F51+F72</f>
        <v>115.15089373693323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28.139208550993843</v>
      </c>
      <c r="C76" s="77">
        <f>Budget!F30</f>
        <v>3.1693750000000005</v>
      </c>
      <c r="D76" s="77">
        <f>Budget!F29</f>
        <v>39.686004210526313</v>
      </c>
      <c r="E76" s="77">
        <f>'C2_Irrigation_Calculations'!M41*Budget!E33</f>
        <v>0.5753879999999999</v>
      </c>
      <c r="F76" s="77">
        <f>SUM(B76:E76)</f>
        <v>71.569975761520169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4502.2733681590144</v>
      </c>
      <c r="C7" s="1224">
        <f>Irrigation!F38</f>
        <v>852.65963674668978</v>
      </c>
      <c r="D7" s="1225">
        <f>Irrigation!G38</f>
        <v>5354.9330049057044</v>
      </c>
    </row>
    <row r="8" spans="1:4" ht="13.9" x14ac:dyDescent="0.4">
      <c r="A8" s="1222" t="str">
        <f>Irrigation!D39</f>
        <v>Repairs</v>
      </c>
      <c r="B8" s="1224">
        <f>Irrigation!E39</f>
        <v>507.10000000000008</v>
      </c>
      <c r="C8" s="1224">
        <f>Irrigation!F39</f>
        <v>85.262339608977001</v>
      </c>
      <c r="D8" s="1225">
        <f>Irrigation!G39</f>
        <v>592.36233960897709</v>
      </c>
    </row>
    <row r="9" spans="1:4" ht="13.9" x14ac:dyDescent="0.4">
      <c r="A9" s="1222" t="str">
        <f>Irrigation!D40</f>
        <v>Fuel, Energy</v>
      </c>
      <c r="B9" s="1224">
        <f>Irrigation!E40</f>
        <v>6349.7606736842099</v>
      </c>
      <c r="C9" s="1224">
        <f>Irrigation!F40</f>
        <v>305.44060446247153</v>
      </c>
      <c r="D9" s="1225">
        <f>Irrigation!G40</f>
        <v>6655.201278146681</v>
      </c>
    </row>
    <row r="10" spans="1:4" ht="13.9" x14ac:dyDescent="0.4">
      <c r="A10" s="1222" t="str">
        <f>Irrigation!D41</f>
        <v>Labor</v>
      </c>
      <c r="B10" s="1224">
        <f>Irrigation!E41</f>
        <v>92.06207999999998</v>
      </c>
      <c r="C10" s="1224">
        <f>Irrigation!F41</f>
        <v>397.5779406837591</v>
      </c>
      <c r="D10" s="1225">
        <f>Irrigation!G41</f>
        <v>489.64002068375908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42.632981837334491</v>
      </c>
      <c r="D12" s="1225">
        <f>Irrigation!G43</f>
        <v>42.632981837334491</v>
      </c>
    </row>
    <row r="13" spans="1:4" ht="13.9" thickBot="1" x14ac:dyDescent="0.4">
      <c r="A13" s="1226" t="str">
        <f>Irrigation!D44</f>
        <v>Total</v>
      </c>
      <c r="B13" s="1227">
        <f>Irrigation!E44</f>
        <v>11451.196121843224</v>
      </c>
      <c r="C13" s="1227">
        <f>Irrigation!F44</f>
        <v>1683.5735033392318</v>
      </c>
      <c r="D13" s="1228">
        <f>Irrigation!G44</f>
        <v>13134.769625182455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28.139208550993839</v>
      </c>
      <c r="C17" s="1230">
        <f>Irrigation!F48</f>
        <v>5.3291227296668113</v>
      </c>
      <c r="D17" s="1231">
        <f>Irrigation!G48</f>
        <v>33.468331280660649</v>
      </c>
    </row>
    <row r="18" spans="1:4" ht="13.9" x14ac:dyDescent="0.4">
      <c r="A18" s="1222" t="str">
        <f>Irrigation!D49</f>
        <v>Repairs</v>
      </c>
      <c r="B18" s="1230">
        <f>Irrigation!E49</f>
        <v>3.1693750000000005</v>
      </c>
      <c r="C18" s="1230">
        <f>Irrigation!F49</f>
        <v>0.53288962255610628</v>
      </c>
      <c r="D18" s="1231">
        <f>Irrigation!G49</f>
        <v>3.7022646225561067</v>
      </c>
    </row>
    <row r="19" spans="1:4" ht="13.9" x14ac:dyDescent="0.4">
      <c r="A19" s="1222" t="str">
        <f>Irrigation!D50</f>
        <v>Fuel, Energy</v>
      </c>
      <c r="B19" s="1230">
        <f>Irrigation!E50</f>
        <v>39.686004210526313</v>
      </c>
      <c r="C19" s="1230">
        <f>Irrigation!F50</f>
        <v>1.909003777890447</v>
      </c>
      <c r="D19" s="1231">
        <f>Irrigation!G50</f>
        <v>41.595007988416754</v>
      </c>
    </row>
    <row r="20" spans="1:4" ht="13.9" x14ac:dyDescent="0.4">
      <c r="A20" s="1222" t="str">
        <f>Irrigation!D51</f>
        <v>Labor</v>
      </c>
      <c r="B20" s="1230">
        <f>Irrigation!E51</f>
        <v>0.5753879999999999</v>
      </c>
      <c r="C20" s="1230">
        <f>Irrigation!F51</f>
        <v>2.4848621292734943</v>
      </c>
      <c r="D20" s="1231">
        <f>Irrigation!G51</f>
        <v>3.060250129273494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0.26645613648334054</v>
      </c>
      <c r="D22" s="1231">
        <f>Irrigation!G53</f>
        <v>0.26645613648334054</v>
      </c>
    </row>
    <row r="23" spans="1:4" ht="13.9" thickBot="1" x14ac:dyDescent="0.4">
      <c r="A23" s="1226" t="str">
        <f>Irrigation!D54</f>
        <v>Total</v>
      </c>
      <c r="B23" s="1232">
        <f>Irrigation!E54</f>
        <v>71.569975761520155</v>
      </c>
      <c r="C23" s="1232">
        <f>Irrigation!F54</f>
        <v>10.5223343958702</v>
      </c>
      <c r="D23" s="1233">
        <f>Irrigation!G54</f>
        <v>82.092310157390344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375.18944734658453</v>
      </c>
      <c r="C27" s="1230">
        <f>Irrigation!F58</f>
        <v>71.054969728890811</v>
      </c>
      <c r="D27" s="1231">
        <f>Irrigation!G58</f>
        <v>446.24441707547538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7.1051949674147501</v>
      </c>
      <c r="D28" s="1231">
        <f>Irrigation!G59</f>
        <v>49.363528300748094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25.453383705205962</v>
      </c>
      <c r="D29" s="1231">
        <f>Irrigation!G60</f>
        <v>554.60010651222342</v>
      </c>
    </row>
    <row r="30" spans="1:4" ht="13.9" x14ac:dyDescent="0.4">
      <c r="A30" s="1222" t="str">
        <f>Irrigation!D61</f>
        <v>Labor</v>
      </c>
      <c r="B30" s="1230">
        <f>Irrigation!E61</f>
        <v>7.6718399999999987</v>
      </c>
      <c r="C30" s="1230">
        <f>Irrigation!F61</f>
        <v>33.131495056979922</v>
      </c>
      <c r="D30" s="1231">
        <f>Irrigation!G61</f>
        <v>40.803335056979925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3.5527484864445409</v>
      </c>
      <c r="D32" s="1231">
        <f>Irrigation!G63</f>
        <v>3.5527484864445409</v>
      </c>
    </row>
    <row r="33" spans="1:4" ht="13.9" thickBot="1" x14ac:dyDescent="0.4">
      <c r="A33" s="1226" t="str">
        <f>Irrigation!D64</f>
        <v>Total</v>
      </c>
      <c r="B33" s="1232">
        <f>Irrigation!E64</f>
        <v>954.2663434869354</v>
      </c>
      <c r="C33" s="1232">
        <f>Irrigation!F64</f>
        <v>140.29779194493599</v>
      </c>
      <c r="D33" s="1233">
        <f>Irrigation!G64</f>
        <v>1094.5641354318711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60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60</v>
      </c>
    </row>
    <row r="5" spans="2:14" ht="13.9" x14ac:dyDescent="0.4">
      <c r="B5" s="4" t="s">
        <v>21</v>
      </c>
      <c r="C5" s="1793">
        <f>Print_Budget!E3</f>
        <v>9.5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9.5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570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102.00000000000001</v>
      </c>
      <c r="D9" s="3"/>
      <c r="E9" s="1190"/>
      <c r="F9" s="3"/>
      <c r="G9" s="1185" t="s">
        <v>223</v>
      </c>
      <c r="H9" s="1801">
        <f>C9</f>
        <v>102.00000000000001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56.05</v>
      </c>
      <c r="D10" s="3"/>
      <c r="E10" s="1190"/>
      <c r="F10" s="3"/>
      <c r="G10" s="1185" t="s">
        <v>421</v>
      </c>
      <c r="H10" s="1795">
        <f t="shared" ref="H10:H21" si="0">C10</f>
        <v>56.05</v>
      </c>
      <c r="I10" s="3"/>
      <c r="J10" s="3"/>
      <c r="K10" s="1190"/>
      <c r="L10" s="3"/>
      <c r="M10" s="648" t="s">
        <v>779</v>
      </c>
      <c r="N10" s="1542">
        <f>Print_Summary!B20</f>
        <v>394.76907321884653</v>
      </c>
    </row>
    <row r="11" spans="2:14" ht="13.9" x14ac:dyDescent="0.4">
      <c r="B11" s="1185" t="s">
        <v>495</v>
      </c>
      <c r="C11" s="1795">
        <f>SUM(Print_Budget!F13:F17)</f>
        <v>119.22023437499999</v>
      </c>
      <c r="D11" s="3"/>
      <c r="E11" s="1190"/>
      <c r="F11" s="3"/>
      <c r="G11" s="1185" t="s">
        <v>495</v>
      </c>
      <c r="H11" s="1795">
        <f t="shared" si="0"/>
        <v>119.22023437499999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69.452568308189655</v>
      </c>
    </row>
    <row r="12" spans="2:14" ht="13.9" x14ac:dyDescent="0.4">
      <c r="B12" s="1185" t="s">
        <v>225</v>
      </c>
      <c r="C12" s="1795">
        <f>SUM(Print_Budget!F19:F22)</f>
        <v>62.5</v>
      </c>
      <c r="D12" s="3"/>
      <c r="E12" s="1190"/>
      <c r="F12" s="3"/>
      <c r="G12" s="1185" t="s">
        <v>225</v>
      </c>
      <c r="H12" s="1795">
        <f t="shared" si="0"/>
        <v>62.5</v>
      </c>
      <c r="I12" s="3"/>
      <c r="J12" s="3"/>
      <c r="K12" s="1190"/>
      <c r="L12" s="3"/>
      <c r="M12" s="648" t="s">
        <v>168</v>
      </c>
      <c r="N12" s="182">
        <f>SUM(N10:N11)</f>
        <v>464.22164152703618</v>
      </c>
    </row>
    <row r="13" spans="2:14" ht="13.9" x14ac:dyDescent="0.4">
      <c r="B13" s="1185" t="s">
        <v>422</v>
      </c>
      <c r="C13" s="1795">
        <f>Print_Budget!F30+Print_Budget!F31</f>
        <v>0.65</v>
      </c>
      <c r="D13" s="3"/>
      <c r="E13" s="1190"/>
      <c r="F13" s="3"/>
      <c r="G13" s="1185" t="s">
        <v>782</v>
      </c>
      <c r="H13" s="1795">
        <f t="shared" si="0"/>
        <v>0.65</v>
      </c>
      <c r="I13" s="3"/>
      <c r="J13" s="3"/>
      <c r="K13" s="1190"/>
      <c r="L13" s="3"/>
      <c r="M13" s="648" t="s">
        <v>792</v>
      </c>
      <c r="N13" s="1805">
        <f>Print_Summary!B27</f>
        <v>17.850000000000001</v>
      </c>
    </row>
    <row r="14" spans="2:14" ht="13.9" x14ac:dyDescent="0.4">
      <c r="B14" s="1185" t="s">
        <v>781</v>
      </c>
      <c r="C14" s="1795">
        <f>Print_Budget!F24+Print_Budget!F26</f>
        <v>14.662834633320225</v>
      </c>
      <c r="D14" s="3"/>
      <c r="E14" s="1190"/>
      <c r="F14" s="3"/>
      <c r="G14" s="1185" t="s">
        <v>781</v>
      </c>
      <c r="H14" s="1795">
        <f t="shared" si="0"/>
        <v>14.662834633320225</v>
      </c>
      <c r="I14" s="3"/>
      <c r="J14" s="3"/>
      <c r="K14" s="1190"/>
      <c r="L14" s="3"/>
      <c r="M14" s="652" t="s">
        <v>1014</v>
      </c>
      <c r="N14" s="173">
        <f>SUM(N12:N13)-N8</f>
        <v>482.07164152703621</v>
      </c>
    </row>
    <row r="15" spans="2:14" ht="13.9" x14ac:dyDescent="0.4">
      <c r="B15" s="1185" t="s">
        <v>423</v>
      </c>
      <c r="C15" s="1795">
        <f>Print_Budget!F28</f>
        <v>39.686004210526313</v>
      </c>
      <c r="D15" s="3"/>
      <c r="E15" s="1190"/>
      <c r="F15" s="3"/>
      <c r="G15" s="1185" t="s">
        <v>423</v>
      </c>
      <c r="H15" s="1795">
        <f t="shared" si="0"/>
        <v>39.686004210526313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5</v>
      </c>
      <c r="D16" s="3"/>
      <c r="E16" s="1190"/>
      <c r="F16" s="3"/>
      <c r="G16" s="1185" t="s">
        <v>780</v>
      </c>
      <c r="H16" s="1795">
        <f t="shared" si="0"/>
        <v>5</v>
      </c>
      <c r="I16" s="3"/>
      <c r="J16" s="3"/>
      <c r="K16" s="1190"/>
      <c r="L16" s="3"/>
      <c r="M16" s="652" t="s">
        <v>233</v>
      </c>
      <c r="N16" s="173">
        <f>N7-N14-N15</f>
        <v>87.928358472963794</v>
      </c>
    </row>
    <row r="17" spans="2:14" ht="13.9" x14ac:dyDescent="0.4">
      <c r="B17" s="1185" t="s">
        <v>1</v>
      </c>
      <c r="C17" s="1795">
        <f>Print_Budget!F35</f>
        <v>16</v>
      </c>
      <c r="D17" s="3"/>
      <c r="E17" s="1190"/>
      <c r="F17" s="3"/>
      <c r="G17" s="1185" t="s">
        <v>1</v>
      </c>
      <c r="H17" s="1795">
        <f t="shared" si="0"/>
        <v>16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18.524885953217577</v>
      </c>
      <c r="D18" s="3"/>
      <c r="E18" s="1190"/>
      <c r="F18" s="3"/>
      <c r="G18" s="1185" t="s">
        <v>205</v>
      </c>
      <c r="H18" s="1795">
        <f t="shared" si="0"/>
        <v>18.524885953217577</v>
      </c>
      <c r="I18" s="3"/>
      <c r="J18" s="3"/>
      <c r="K18" s="1190"/>
      <c r="L18" s="3"/>
      <c r="M18" s="648" t="s">
        <v>249</v>
      </c>
      <c r="N18" s="1804">
        <f>Print_Summary!B32</f>
        <v>107.69840093298498</v>
      </c>
    </row>
    <row r="19" spans="2:14" ht="13.9" x14ac:dyDescent="0.4">
      <c r="B19" s="1185" t="s">
        <v>214</v>
      </c>
      <c r="C19" s="1795">
        <f>Trips!E45+Trips!E51+Trips!E72+Trips!E76</f>
        <v>9.9372767389752994</v>
      </c>
      <c r="D19" s="3"/>
      <c r="E19" s="1190"/>
      <c r="F19" s="3"/>
      <c r="G19" s="1185" t="s">
        <v>214</v>
      </c>
      <c r="H19" s="1795">
        <f t="shared" si="0"/>
        <v>9.9372767389752994</v>
      </c>
      <c r="I19" s="3"/>
      <c r="J19" s="3"/>
      <c r="K19" s="1190"/>
      <c r="L19" s="3"/>
      <c r="M19" s="308" t="s">
        <v>651</v>
      </c>
      <c r="N19" s="173">
        <f>N14+N18</f>
        <v>589.77004246002116</v>
      </c>
    </row>
    <row r="20" spans="2:14" ht="13.9" x14ac:dyDescent="0.4">
      <c r="B20" s="1185" t="s">
        <v>28</v>
      </c>
      <c r="C20" s="1795">
        <f>Print_Budget!F36</f>
        <v>19.990405615996774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-19.770042460021159</v>
      </c>
    </row>
    <row r="22" spans="2:14" ht="13.9" x14ac:dyDescent="0.4">
      <c r="B22" s="1185" t="s">
        <v>792</v>
      </c>
      <c r="C22" s="1795">
        <f>Print_Budget!F39+Print_Budget!F40</f>
        <v>15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2.85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103.90986796241397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75.770659411420127</v>
      </c>
      <c r="D26" s="3"/>
      <c r="E26" s="1190"/>
      <c r="F26" s="3"/>
      <c r="G26" s="648" t="s">
        <v>648</v>
      </c>
      <c r="H26" s="1802">
        <f>C28</f>
        <v>3.7885329705710067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28.139208550993843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3.7885329705710067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394.76907321884653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444.23123591103939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482.07164152703621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107.69840093298498</v>
      </c>
    </row>
    <row r="34" spans="2:3" ht="13.5" x14ac:dyDescent="0.35">
      <c r="B34" s="308" t="s">
        <v>651</v>
      </c>
      <c r="C34" s="173">
        <f>C32+C33</f>
        <v>589.77004246002116</v>
      </c>
    </row>
    <row r="35" spans="2:3" ht="13.5" x14ac:dyDescent="0.35">
      <c r="B35" s="308" t="s">
        <v>763</v>
      </c>
      <c r="C35" s="173">
        <f>(C4*C5*C6)-C24-C34</f>
        <v>-19.770042460021159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2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2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2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2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>
        <f>IF(Machine!B71&gt;0,Machine!B71," ")</f>
        <v>1</v>
      </c>
      <c r="E62" s="1525"/>
      <c r="F62" s="1354">
        <f>IF(Machine!$B71&gt;0,E62*Trips!$M$59*$D62," ")</f>
        <v>0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435.5</v>
      </c>
      <c r="C4" s="182">
        <f>SUM(A5_Chem_Look_Up!G24:G33)+SUM(A5_Chem_Look_Up!G38:G39)</f>
        <v>19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435.5</v>
      </c>
      <c r="C6" s="182">
        <f>C4+C5</f>
        <v>19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12.879280771278168</v>
      </c>
      <c r="C7" s="1456">
        <f>C6/$E$6</f>
        <v>0.5618974389306205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82.942568167031411</v>
      </c>
      <c r="C9" s="1459">
        <f>C7*C8</f>
        <v>3.0567220677825757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90</v>
      </c>
      <c r="D16" s="1456">
        <f>C16/$B$12</f>
        <v>40.823269263480185</v>
      </c>
      <c r="E16" s="1456">
        <v>0.2</v>
      </c>
      <c r="F16" s="1456">
        <f>D16*E16</f>
        <v>8.1646538526960377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15.422123943981404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5.2367266547572235</v>
      </c>
      <c r="D28" s="1456">
        <f>C28/$B$25</f>
        <v>19.823320796294897</v>
      </c>
      <c r="E28" s="1456">
        <v>0.84</v>
      </c>
      <c r="F28" s="1456">
        <f>D28*E28</f>
        <v>16.651589468887714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14.173572932330828</v>
      </c>
      <c r="D29" s="1450">
        <f>C29/$B$25</f>
        <v>53.653226832459502</v>
      </c>
      <c r="E29" s="1450">
        <v>0.84</v>
      </c>
      <c r="F29" s="1450">
        <f>D29*E29</f>
        <v>45.068710539265979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61.720300008153693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163.14171418694909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403.13948992736988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403.13948992736988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2024-11-14T16:01:09Z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