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0" documentId="8_{CBF4B905-A758-4794-8962-500C5D15395B}" xr6:coauthVersionLast="47" xr6:coauthVersionMax="47" xr10:uidLastSave="{00000000-0000-0000-0000-000000000000}"/>
  <bookViews>
    <workbookView xWindow="-28425" yWindow="435" windowWidth="14910" windowHeight="12780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2 (fall) -</t>
        </r>
        <r>
          <rPr>
            <sz val="9"/>
            <color indexed="81"/>
            <rFont val="Tahoma"/>
            <family val="2"/>
          </rPr>
          <t xml:space="preserve">
3 oz Zidua SC, 40 oz Gramoxone
</t>
        </r>
        <r>
          <rPr>
            <i/>
            <u/>
            <sz val="9"/>
            <color indexed="81"/>
            <rFont val="Tahoma"/>
            <family val="2"/>
          </rPr>
          <t xml:space="preserve">Custom Ground App 4 (spring) - </t>
        </r>
        <r>
          <rPr>
            <sz val="9"/>
            <color indexed="81"/>
            <rFont val="Tahoma"/>
            <family val="2"/>
          </rPr>
          <t xml:space="preserve">
15 oz Axial XL, 0.9 oz Harmony Extra XP, 3.2 oz surfactant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14 oz Quilt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 xml:space="preserve">Custom Ground App 1 - </t>
        </r>
        <r>
          <rPr>
            <sz val="9"/>
            <color indexed="81"/>
            <rFont val="Tahoma"/>
            <family val="2"/>
          </rPr>
          <t xml:space="preserve">
110 lbs of Triple Super Phosphate and 100 lbs of Potash pre-plant.
</t>
        </r>
        <r>
          <rPr>
            <i/>
            <u/>
            <sz val="9"/>
            <color indexed="81"/>
            <rFont val="Tahoma"/>
            <family val="2"/>
          </rPr>
          <t xml:space="preserve">Custom Ground App 3 - 
</t>
        </r>
        <r>
          <rPr>
            <sz val="9"/>
            <color indexed="81"/>
            <rFont val="Tahoma"/>
            <family val="2"/>
          </rPr>
          <t>140 lbs Urea and 50 lbs Ammonium Sulfate</t>
        </r>
      </text>
    </comment>
    <comment ref="F22" authorId="0" shapeId="0" xr:uid="{D680E18D-184D-4222-8B4D-B626BC794767}">
      <text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100 lbs Urea
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Field Cultivator x 1
Land Plane x 1
Ditcher x 1
Plant Grain Drill x 1
Combine x 1
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<sst xmlns="http://schemas.openxmlformats.org/spreadsheetml/2006/main" count="8688" uniqueCount="1248">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</sst>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None</v>
      </c>
      <c r="Q1" s="1180" t="str">
        <f>IF(Irrigation!B2&lt;3,"Diesel","None")</f>
        <v>None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70</v>
      </c>
      <c r="Q2" s="1177">
        <f>P2</f>
        <v>70</v>
      </c>
      <c r="R2" s="650">
        <v>220</v>
      </c>
      <c r="S2" s="1177">
        <f>IF(Irrigation!$B$2&lt;3,(Q2*$Q$36)+(R2*$R$36),A1_Link!Q2)</f>
        <v>70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70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70</v>
      </c>
      <c r="L3" s="182"/>
      <c r="M3" s="1190"/>
      <c r="N3" s="3"/>
      <c r="O3" s="648" t="s">
        <v>21</v>
      </c>
      <c r="P3" s="1181">
        <f>Budget!E3</f>
        <v>5.7</v>
      </c>
      <c r="Q3" s="1177">
        <f>P3</f>
        <v>5.7</v>
      </c>
      <c r="R3" s="650">
        <v>4</v>
      </c>
      <c r="S3" s="1177">
        <f>IF(Irrigation!$B$2&lt;3,(Q3*$Q$36)+(R3*$R$36),A1_Link!Q3)</f>
        <v>5.7</v>
      </c>
      <c r="T3" s="650"/>
      <c r="U3" s="1190"/>
      <c r="V3" s="3"/>
      <c r="W3" s="3"/>
      <c r="X3" s="648" t="s">
        <v>21</v>
      </c>
      <c r="Y3" s="650">
        <f>Budget!E3</f>
        <v>5.7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20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5.7</v>
      </c>
      <c r="D4" s="3"/>
      <c r="E4" s="1190"/>
      <c r="F4" s="4" t="s">
        <v>788</v>
      </c>
      <c r="G4" s="1189">
        <f>C3</f>
        <v>70</v>
      </c>
      <c r="H4" s="3"/>
      <c r="I4" s="1190"/>
      <c r="J4" s="651" t="s">
        <v>494</v>
      </c>
      <c r="K4" s="1245">
        <f>C4</f>
        <v>5.7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 t="str">
        <f>IF(Irrigation!$B$2&lt;3,(IF(A2_Budget_Look_Up!B7&gt;0,Q4,0)*$Q$36)+(IF(A2_Budget_Look_Up!B7&gt;0,R4,0)*$R$36),A1_Link!Q4)</f>
        <v xml:space="preserve"> </v>
      </c>
      <c r="T4" s="650"/>
      <c r="U4" s="1190"/>
      <c r="V4" s="3"/>
      <c r="W4" s="3"/>
      <c r="X4" s="648" t="s">
        <v>15</v>
      </c>
      <c r="Y4" s="650">
        <f>Budget!D3</f>
        <v>70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20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5.7</v>
      </c>
      <c r="H6" s="3"/>
      <c r="I6" s="1190"/>
      <c r="J6" s="652" t="s">
        <v>231</v>
      </c>
      <c r="K6" s="173">
        <f>K3*K4*(K5)</f>
        <v>399</v>
      </c>
      <c r="L6" s="182"/>
      <c r="M6" s="1190"/>
      <c r="N6" s="3"/>
      <c r="O6" s="648" t="s">
        <v>482</v>
      </c>
      <c r="P6" s="1181">
        <f>Budget!F6</f>
        <v>40</v>
      </c>
      <c r="Q6" s="1177">
        <f t="shared" ref="Q6:Q26" si="0">P6</f>
        <v>40</v>
      </c>
      <c r="R6" s="650">
        <v>125.73</v>
      </c>
      <c r="S6" s="1177">
        <f>IF(Irrigation!$B$2&lt;3,(Q6*$Q$36)+(R6*$R$36),A1_Link!Q6)</f>
        <v>40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61.800000000000004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61.800000000000004</v>
      </c>
      <c r="Q7" s="1177">
        <f t="shared" si="0"/>
        <v>61.800000000000004</v>
      </c>
      <c r="R7" s="650">
        <v>104.82639999999999</v>
      </c>
      <c r="S7" s="1177">
        <f>IF(Irrigation!$B$2&lt;3,(Q7*$Q$36)+(R7*$R$36),A1_Link!Q7)</f>
        <v>61.800000000000004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323.94719154717637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37.949999999999996</v>
      </c>
      <c r="AI7" s="3"/>
    </row>
    <row r="8" spans="2:35" ht="13.9" x14ac:dyDescent="0.4">
      <c r="B8" s="1185" t="s">
        <v>223</v>
      </c>
      <c r="C8" s="1186">
        <f>Budget!F6</f>
        <v>40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37.949999999999996</v>
      </c>
      <c r="Q8" s="1177">
        <f t="shared" si="0"/>
        <v>37.949999999999996</v>
      </c>
      <c r="R8" s="650">
        <v>30</v>
      </c>
      <c r="S8" s="1177">
        <f>IF(Irrigation!$B$2&lt;3,(Q8*$Q$36)+(R8*$R$36),A1_Link!Q8)</f>
        <v>37.949999999999996</v>
      </c>
      <c r="T8" s="650"/>
      <c r="U8" s="1190"/>
      <c r="V8" s="3"/>
      <c r="W8" s="3"/>
      <c r="X8" s="648" t="s">
        <v>1</v>
      </c>
      <c r="Y8" s="650">
        <f>Budget!F36</f>
        <v>27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137.75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294.92539942452413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25</v>
      </c>
      <c r="T9" s="650"/>
      <c r="U9" s="1190"/>
      <c r="V9" s="3"/>
      <c r="W9" s="3"/>
      <c r="X9" s="648" t="s">
        <v>55</v>
      </c>
      <c r="Y9" s="650">
        <f>Trips!E45+Trips!E51+(Trips!E72*(1-W10))+Trips!E76</f>
        <v>7.182743856600565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13</v>
      </c>
      <c r="AI9" s="3"/>
    </row>
    <row r="10" spans="2:35" ht="13.9" x14ac:dyDescent="0.4">
      <c r="B10" s="1185" t="s">
        <v>495</v>
      </c>
      <c r="C10" s="1186">
        <f>SUM(Budget!F14:F18)</f>
        <v>49.759062499999999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27</v>
      </c>
      <c r="L10" s="182">
        <v>0</v>
      </c>
      <c r="M10" s="1190"/>
      <c r="N10" s="3"/>
      <c r="O10" s="648" t="s">
        <v>485</v>
      </c>
      <c r="P10" s="1181">
        <f>SUM(Budget!F10:F13)</f>
        <v>13</v>
      </c>
      <c r="Q10" s="1177">
        <f t="shared" si="0"/>
        <v>13</v>
      </c>
      <c r="R10" s="650">
        <v>22.159999999999997</v>
      </c>
      <c r="S10" s="1177">
        <f>IF(Irrigation!$B$2&lt;3,(Q10*$Q$36)+(R10*$R$36),A1_Link!Q10)</f>
        <v>13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70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46.259062499999999</v>
      </c>
      <c r="AI10" s="3"/>
    </row>
    <row r="11" spans="2:35" ht="13.9" x14ac:dyDescent="0.4">
      <c r="B11" s="1185" t="s">
        <v>225</v>
      </c>
      <c r="C11" s="1186">
        <f>SUM(Budget!F20:F23)</f>
        <v>54</v>
      </c>
      <c r="D11" s="3"/>
      <c r="E11" s="1190"/>
      <c r="F11" s="1185" t="s">
        <v>223</v>
      </c>
      <c r="G11" s="1186">
        <f>C8</f>
        <v>40</v>
      </c>
      <c r="H11" s="3"/>
      <c r="I11" s="1190"/>
      <c r="J11" s="648" t="s">
        <v>791</v>
      </c>
      <c r="K11" s="665">
        <f>K30+SUM(K32:K35)</f>
        <v>43.395393122109937</v>
      </c>
      <c r="L11" s="182">
        <v>58.670258247720405</v>
      </c>
      <c r="M11" s="1190"/>
      <c r="N11" s="3"/>
      <c r="O11" s="648" t="s">
        <v>183</v>
      </c>
      <c r="P11" s="1181">
        <f>Budget!F14</f>
        <v>46.259062499999999</v>
      </c>
      <c r="Q11" s="1177">
        <f t="shared" si="0"/>
        <v>46.259062499999999</v>
      </c>
      <c r="R11" s="650">
        <v>23.8</v>
      </c>
      <c r="S11" s="1177">
        <f>IF(Irrigation!$B$2&lt;3,(Q11*$Q$36)+(R11*$R$36),A1_Link!Q11)</f>
        <v>46.259062499999999</v>
      </c>
      <c r="T11" s="650"/>
      <c r="U11" s="1190"/>
      <c r="V11" s="3"/>
      <c r="W11" s="3"/>
      <c r="X11" s="648" t="s">
        <v>814</v>
      </c>
      <c r="Y11" s="650">
        <f>Budget!F27</f>
        <v>7.1908571428571424</v>
      </c>
      <c r="Z11" s="650">
        <f>Budget!D$3</f>
        <v>70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0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137.75</v>
      </c>
      <c r="H12" s="3"/>
      <c r="I12" s="1190"/>
      <c r="J12" s="648" t="s">
        <v>792</v>
      </c>
      <c r="K12" s="664">
        <f>SUM(K36:K37)</f>
        <v>18.2</v>
      </c>
      <c r="L12" s="182">
        <v>105.03</v>
      </c>
      <c r="M12" s="1190"/>
      <c r="N12" s="3"/>
      <c r="O12" s="648" t="s">
        <v>184</v>
      </c>
      <c r="P12" s="1181">
        <f>Budget!F15</f>
        <v>0</v>
      </c>
      <c r="Q12" s="1177">
        <f t="shared" si="0"/>
        <v>0</v>
      </c>
      <c r="R12" s="650">
        <v>0</v>
      </c>
      <c r="S12" s="1177">
        <f>IF(Irrigation!$B$2&lt;3,(Q12*$Q$36)+(R12*$R$36),A1_Link!Q12)</f>
        <v>0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70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3.5</v>
      </c>
      <c r="AI12" s="3"/>
    </row>
    <row r="13" spans="2:35" ht="13.9" x14ac:dyDescent="0.4">
      <c r="B13" s="1185" t="s">
        <v>781</v>
      </c>
      <c r="C13" s="1186">
        <f>Budget!F25+Budget!F27</f>
        <v>13.416336924524085</v>
      </c>
      <c r="D13" s="3"/>
      <c r="E13" s="1190"/>
      <c r="F13" s="1185" t="s">
        <v>495</v>
      </c>
      <c r="G13" s="1186">
        <f t="shared" si="2"/>
        <v>49.759062499999999</v>
      </c>
      <c r="H13" s="3"/>
      <c r="I13" s="1190"/>
      <c r="J13" s="652" t="s">
        <v>168</v>
      </c>
      <c r="K13" s="173">
        <f>SUM(K9:K12)-K7</f>
        <v>383.52079254663403</v>
      </c>
      <c r="L13" s="182"/>
      <c r="M13" s="1190"/>
      <c r="N13" s="3"/>
      <c r="O13" s="648" t="s">
        <v>91</v>
      </c>
      <c r="P13" s="1181">
        <f>SUM(Budget!F16:F18)</f>
        <v>3.5</v>
      </c>
      <c r="Q13" s="1177">
        <f t="shared" si="0"/>
        <v>3.5</v>
      </c>
      <c r="R13" s="650">
        <v>0</v>
      </c>
      <c r="S13" s="1177">
        <f>IF(Irrigation!$B$2&lt;3,(Q13*$Q$36)+(R13*$R$36),A1_Link!Q13)</f>
        <v>3.5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18.2</v>
      </c>
      <c r="Z13" s="650">
        <f>SUM(Y7:Y13)-Y5</f>
        <v>383.52079254663408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54</v>
      </c>
      <c r="AI13" s="3"/>
    </row>
    <row r="14" spans="2:35" ht="13.9" x14ac:dyDescent="0.4">
      <c r="B14" s="1185" t="s">
        <v>423</v>
      </c>
      <c r="C14" s="1186">
        <f>Budget!F29</f>
        <v>0</v>
      </c>
      <c r="D14" s="3"/>
      <c r="E14" s="1190"/>
      <c r="F14" s="1185" t="s">
        <v>225</v>
      </c>
      <c r="G14" s="1186">
        <f t="shared" si="2"/>
        <v>54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54</v>
      </c>
      <c r="Q14" s="1177">
        <f t="shared" si="0"/>
        <v>54</v>
      </c>
      <c r="R14" s="650">
        <v>7.0000000000000009</v>
      </c>
      <c r="S14" s="1177">
        <f>IF(Irrigation!$B$2&lt;3,(Q14*$Q$36)+(R14*$R$36),A1_Link!Q14)</f>
        <v>54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6.2254797816669418</v>
      </c>
      <c r="AI14" s="3"/>
    </row>
    <row r="15" spans="2:35" ht="13.9" x14ac:dyDescent="0.4">
      <c r="B15" s="1185" t="s">
        <v>780</v>
      </c>
      <c r="C15" s="1186">
        <f>Budget!F34+Budget!F35</f>
        <v>5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15.479207453365973</v>
      </c>
      <c r="L15" s="182"/>
      <c r="M15" s="1190"/>
      <c r="N15" s="3"/>
      <c r="O15" s="648" t="s">
        <v>425</v>
      </c>
      <c r="P15" s="1181">
        <f>Budget!F25</f>
        <v>6.2254797816669418</v>
      </c>
      <c r="Q15" s="1177">
        <f t="shared" si="0"/>
        <v>6.2254797816669418</v>
      </c>
      <c r="R15" s="650">
        <v>10.547472063880164</v>
      </c>
      <c r="S15" s="1177">
        <f>IF(Irrigation!$B$2&lt;3,(Q15*$Q$36)+(R15*$R$36),A1_Link!Q15)</f>
        <v>6.2254797816669418</v>
      </c>
      <c r="T15" s="650"/>
      <c r="U15" s="1190"/>
      <c r="V15" s="3"/>
      <c r="W15" s="3"/>
      <c r="X15" s="648" t="s">
        <v>585</v>
      </c>
      <c r="Y15" s="650">
        <f>Budget!F48</f>
        <v>74.126844199020695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6.7205839474328037</v>
      </c>
      <c r="AI15" s="3"/>
    </row>
    <row r="16" spans="2:35" ht="13.9" x14ac:dyDescent="0.4">
      <c r="B16" s="1185" t="s">
        <v>1</v>
      </c>
      <c r="C16" s="1186">
        <f>Budget!F36</f>
        <v>27</v>
      </c>
      <c r="D16" s="3"/>
      <c r="E16" s="1190"/>
      <c r="F16" s="1185" t="s">
        <v>781</v>
      </c>
      <c r="G16" s="1186">
        <f t="shared" si="2"/>
        <v>13.416336924524085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6.7205839474328037</v>
      </c>
      <c r="Q16" s="1177">
        <f t="shared" si="0"/>
        <v>6.7205839474328037</v>
      </c>
      <c r="R16" s="650">
        <v>9.3388892486480266</v>
      </c>
      <c r="S16" s="1177">
        <f>IF(Irrigation!$B$2&lt;3,(Q16*$Q$36)+(R16*$R$36),A1_Link!Q16)</f>
        <v>6.7205839474328037</v>
      </c>
      <c r="T16" s="650"/>
      <c r="U16" s="1190"/>
      <c r="V16" s="3"/>
      <c r="W16" s="3"/>
      <c r="X16" s="648" t="s">
        <v>304</v>
      </c>
      <c r="Y16" s="650">
        <f>Budget!F49</f>
        <v>0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7.1908571428571424</v>
      </c>
      <c r="AI16" s="3"/>
    </row>
    <row r="17" spans="2:35" ht="13.9" x14ac:dyDescent="0.4">
      <c r="B17" s="1185" t="s">
        <v>226</v>
      </c>
      <c r="C17" s="1186">
        <f>Budget!F26+Budget!F28+Budget!F30</f>
        <v>15.481131883118428</v>
      </c>
      <c r="D17" s="3"/>
      <c r="E17" s="1190"/>
      <c r="F17" s="1185" t="s">
        <v>423</v>
      </c>
      <c r="G17" s="1186">
        <f t="shared" si="2"/>
        <v>0</v>
      </c>
      <c r="H17" s="3"/>
      <c r="I17" s="1190"/>
      <c r="J17" s="648" t="s">
        <v>249</v>
      </c>
      <c r="K17" s="978">
        <f>SUM(K40:K42)</f>
        <v>77.833186408971727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7.1908571428571424</v>
      </c>
      <c r="Q17" s="1177">
        <f t="shared" si="0"/>
        <v>7.1908571428571424</v>
      </c>
      <c r="R17" s="650">
        <v>7.4958759183673482</v>
      </c>
      <c r="S17" s="1177">
        <f>IF(Irrigation!$B$2&lt;3,(Q17*$Q$36)+(R17*$R$36),A1_Link!Q17)</f>
        <v>7.1908571428571424</v>
      </c>
      <c r="T17" s="650"/>
      <c r="U17" s="1190"/>
      <c r="V17" s="3"/>
      <c r="W17" s="3"/>
      <c r="X17" s="648" t="s">
        <v>586</v>
      </c>
      <c r="Y17" s="650">
        <f>Budget!F50</f>
        <v>3.706342209951035</v>
      </c>
      <c r="Z17" s="650">
        <f>SUM(Y15:Y17)</f>
        <v>77.833186408971727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8.760547935685624</v>
      </c>
      <c r="AI17" s="3"/>
    </row>
    <row r="18" spans="2:35" ht="13.9" x14ac:dyDescent="0.4">
      <c r="B18" s="1185" t="s">
        <v>214</v>
      </c>
      <c r="C18" s="1186">
        <f>Trips!E45+Trips!E51+Trips!E72+Trips!E76</f>
        <v>7.182743856600565</v>
      </c>
      <c r="D18" s="3"/>
      <c r="E18" s="1190"/>
      <c r="F18" s="1185" t="s">
        <v>780</v>
      </c>
      <c r="G18" s="1186">
        <f t="shared" si="2"/>
        <v>5</v>
      </c>
      <c r="H18" s="3"/>
      <c r="I18" s="1190"/>
      <c r="J18" s="308" t="s">
        <v>651</v>
      </c>
      <c r="K18" s="173">
        <f>K13+K17</f>
        <v>461.35397895560573</v>
      </c>
      <c r="L18" s="182"/>
      <c r="M18" s="1190"/>
      <c r="N18" s="3"/>
      <c r="O18" s="648" t="s">
        <v>17</v>
      </c>
      <c r="P18" s="1181">
        <f>(Budget!F28/Budget!D3)*P2</f>
        <v>8.760547935685624</v>
      </c>
      <c r="Q18" s="1177">
        <f t="shared" si="0"/>
        <v>8.760547935685624</v>
      </c>
      <c r="R18" s="650">
        <v>12.958564105965449</v>
      </c>
      <c r="S18" s="1177">
        <f>IF(Irrigation!$B$2&lt;3,(Q18*$Q$36)+(R18*$R$36),A1_Link!Q18)</f>
        <v>8.760547935685624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0</v>
      </c>
      <c r="AI18" s="3"/>
    </row>
    <row r="19" spans="2:35" ht="13.9" x14ac:dyDescent="0.4">
      <c r="B19" s="1185" t="s">
        <v>28</v>
      </c>
      <c r="C19" s="1186">
        <f>Budget!F37</f>
        <v>15.73151738239094</v>
      </c>
      <c r="D19" s="3"/>
      <c r="E19" s="1190"/>
      <c r="F19" s="1185" t="s">
        <v>1</v>
      </c>
      <c r="G19" s="1186">
        <f t="shared" si="2"/>
        <v>27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0</v>
      </c>
      <c r="Q19" s="1177">
        <f t="shared" si="0"/>
        <v>0</v>
      </c>
      <c r="R19" s="650">
        <v>27.046874608695653</v>
      </c>
      <c r="S19" s="1177">
        <f>IF(Irrigation!$B$2&lt;3,(Q19*$Q$36)+(R19*$R$36),A1_Link!Q19)</f>
        <v>0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0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15.481131883118428</v>
      </c>
      <c r="H20" s="3"/>
      <c r="I20" s="1190"/>
      <c r="J20" s="308" t="s">
        <v>763</v>
      </c>
      <c r="K20" s="173">
        <f>(K3*K4*K5)-K14-K18</f>
        <v>-62.353978955605726</v>
      </c>
      <c r="L20" s="182"/>
      <c r="M20" s="1190"/>
      <c r="N20" s="3"/>
      <c r="O20" s="648" t="s">
        <v>296</v>
      </c>
      <c r="P20" s="1181">
        <f>Budget!F30</f>
        <v>0</v>
      </c>
      <c r="Q20" s="1177">
        <f t="shared" si="0"/>
        <v>0</v>
      </c>
      <c r="R20" s="650">
        <v>1.6916666666666667</v>
      </c>
      <c r="S20" s="1177">
        <f>IF(Irrigation!$B$2&lt;3,(Q20*$Q$36)+(R20*$R$36),A1_Link!Q20)</f>
        <v>0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17.5</v>
      </c>
      <c r="D21" s="3"/>
      <c r="E21" s="1190"/>
      <c r="F21" s="1185" t="s">
        <v>214</v>
      </c>
      <c r="G21" s="1186">
        <f t="shared" si="2"/>
        <v>7.182743856600565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0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0.70000000000000007</v>
      </c>
      <c r="D22" s="3"/>
      <c r="E22" s="1190"/>
      <c r="F22" s="1185" t="s">
        <v>786</v>
      </c>
      <c r="G22" s="1186">
        <f>SUM(G11:G21)*(0.0475/2)</f>
        <v>8.3027452851507739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40</v>
      </c>
      <c r="L23" s="1251">
        <v>1</v>
      </c>
      <c r="M23" s="1190"/>
      <c r="N23" s="3"/>
      <c r="O23" s="648" t="s">
        <v>214</v>
      </c>
      <c r="P23" s="1181">
        <f>Budget!F33</f>
        <v>7.1827438566005659</v>
      </c>
      <c r="Q23" s="1177">
        <f t="shared" si="0"/>
        <v>7.1827438566005659</v>
      </c>
      <c r="R23" s="650">
        <v>11.817977438585899</v>
      </c>
      <c r="S23" s="1177">
        <f>IF(Irrigation!$B$2&lt;3,(Q23*$Q$36)+(R23*$R$36),A1_Link!Q23)</f>
        <v>7.1827438566005659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7.1827438566005659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18.2</v>
      </c>
      <c r="H24" s="3"/>
      <c r="I24" s="1190"/>
      <c r="J24" s="1185" t="s">
        <v>224</v>
      </c>
      <c r="K24" s="1249">
        <f t="shared" ref="K24:K38" si="3">C9*L24</f>
        <v>137.75</v>
      </c>
      <c r="L24" s="1251">
        <v>1</v>
      </c>
      <c r="M24" s="1190"/>
      <c r="N24" s="3"/>
      <c r="O24" s="648" t="s">
        <v>23</v>
      </c>
      <c r="P24" s="1181">
        <f>Budget!F34</f>
        <v>5</v>
      </c>
      <c r="Q24" s="1177">
        <f t="shared" si="0"/>
        <v>5</v>
      </c>
      <c r="R24" s="650">
        <v>0</v>
      </c>
      <c r="S24" s="1177">
        <f>IF(Irrigation!$B$2&lt;3,(Q24*$Q$36)+(R24*$R$36),A1_Link!Q24)</f>
        <v>5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5</v>
      </c>
      <c r="AI24" s="3"/>
    </row>
    <row r="25" spans="2:35" ht="13.9" x14ac:dyDescent="0.4">
      <c r="B25" s="648" t="s">
        <v>123</v>
      </c>
      <c r="C25" s="665">
        <f>Budget!F48</f>
        <v>74.126844199020695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49.759062499999999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0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54</v>
      </c>
      <c r="L26" s="1251">
        <v>1</v>
      </c>
      <c r="M26" s="1190"/>
      <c r="N26" s="3"/>
      <c r="O26" s="648" t="s">
        <v>1</v>
      </c>
      <c r="P26" s="1181">
        <f>Budget!F36</f>
        <v>27</v>
      </c>
      <c r="Q26" s="1177">
        <f t="shared" si="0"/>
        <v>27</v>
      </c>
      <c r="R26" s="650">
        <v>0</v>
      </c>
      <c r="S26" s="1177">
        <f>IF(Irrigation!$B$2&lt;3,(Q26*$Q$36)+(R26*$R$36),A1_Link!Q26)</f>
        <v>27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15.73151738239094</v>
      </c>
      <c r="AI26" s="650">
        <f>SUM(AH3:AH26)</f>
        <v>338.3207925466341</v>
      </c>
    </row>
    <row r="27" spans="2:35" ht="13.9" x14ac:dyDescent="0.4">
      <c r="B27" s="648" t="s">
        <v>586</v>
      </c>
      <c r="C27" s="664">
        <f>Budget!F50</f>
        <v>3.706342209951035</v>
      </c>
      <c r="D27" s="3"/>
      <c r="E27" s="1190"/>
      <c r="F27" s="648" t="s">
        <v>1004</v>
      </c>
      <c r="G27" s="1186">
        <f>C25+C26</f>
        <v>74.126844199020695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15.73151738239094</v>
      </c>
      <c r="Q27" s="1177">
        <f>P27</f>
        <v>15.73151738239094</v>
      </c>
      <c r="R27" s="650">
        <v>10.240138351206717</v>
      </c>
      <c r="S27" s="1177">
        <f>IF(Irrigation!$B$2&lt;3,(Q27*$Q$36)+(R27*$R$36),A1_Link!Q27)</f>
        <v>15.73151738239094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3.706342209951035</v>
      </c>
      <c r="H28" s="3"/>
      <c r="I28" s="1190"/>
      <c r="J28" s="1185" t="s">
        <v>781</v>
      </c>
      <c r="K28" s="1249">
        <f t="shared" si="3"/>
        <v>13.416336924524085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0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17.5</v>
      </c>
      <c r="AI28" s="3"/>
    </row>
    <row r="29" spans="2:35" ht="13.9" x14ac:dyDescent="0.4">
      <c r="B29" s="652" t="s">
        <v>779</v>
      </c>
      <c r="C29" s="173">
        <f>SUM(C8:C14)</f>
        <v>294.92539942452413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0</v>
      </c>
      <c r="L29" s="1251">
        <v>1</v>
      </c>
      <c r="M29" s="1190"/>
      <c r="N29" s="3"/>
      <c r="O29" s="648" t="s">
        <v>490</v>
      </c>
      <c r="P29" s="1181">
        <f>Budget!F41</f>
        <v>17.5</v>
      </c>
      <c r="Q29" s="1177">
        <f>P29</f>
        <v>17.5</v>
      </c>
      <c r="R29" s="650">
        <v>55</v>
      </c>
      <c r="S29" s="1177">
        <f>IF(Irrigation!$B$2&lt;3,(Q29*$Q$36)+(R29*$R$36),A1_Link!Q29)</f>
        <v>17.5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0.70000000000000007</v>
      </c>
      <c r="AI29" s="3"/>
    </row>
    <row r="30" spans="2:35" ht="13.9" x14ac:dyDescent="0.4">
      <c r="B30" s="652" t="s">
        <v>641</v>
      </c>
      <c r="C30" s="173">
        <f>SUM(C8:C18)</f>
        <v>349.58927516424313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0.70000000000000007</v>
      </c>
      <c r="Q30" s="1177">
        <f>P30</f>
        <v>0.70000000000000007</v>
      </c>
      <c r="R30" s="650">
        <v>2.2000000000000002</v>
      </c>
      <c r="S30" s="1177">
        <f>IF(Irrigation!$B$2&lt;3,(Q30*$Q$36)+(R30*$R$36),A1_Link!Q30)</f>
        <v>0.70000000000000007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383.52079254663408</v>
      </c>
      <c r="D31" s="3"/>
      <c r="E31" s="1190"/>
      <c r="F31" s="1308">
        <f>SUM(C8:C22)</f>
        <v>383.52079254663408</v>
      </c>
      <c r="G31" s="3"/>
      <c r="H31" s="3"/>
      <c r="I31" s="1190"/>
      <c r="J31" s="1185" t="s">
        <v>1</v>
      </c>
      <c r="K31" s="1249">
        <f t="shared" si="3"/>
        <v>27</v>
      </c>
      <c r="L31" s="1251">
        <v>1</v>
      </c>
      <c r="M31" s="1190"/>
      <c r="N31" s="534"/>
      <c r="O31" s="1309">
        <f>P31+IF(A2_Budget_Look_Up!B7&gt;0,P4,0)</f>
        <v>383.52079254663408</v>
      </c>
      <c r="P31" s="1178">
        <f>SUM(P6:P30)-IF(A2_Budget_Look_Up!B7&gt;0,P4,0)</f>
        <v>383.52079254663408</v>
      </c>
      <c r="Q31" s="1178">
        <f>SUM(Q6:Q30)-IF(A2_Budget_Look_Up!B7&gt;0,Q4,0)</f>
        <v>383.52079254663408</v>
      </c>
      <c r="R31" s="1178">
        <f>SUM(R6:R30)-IF(A2_Budget_Look_Up!B7&gt;0,R4,0)</f>
        <v>540.40385840201589</v>
      </c>
      <c r="S31" s="1179">
        <f>SUM(S6:S30)-IF(A2_Budget_Look_Up!B7&gt;0,S4,0)</f>
        <v>383.52079254663408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74.126844199020695</v>
      </c>
      <c r="AI31" s="3"/>
    </row>
    <row r="32" spans="2:35" ht="13.9" x14ac:dyDescent="0.4">
      <c r="B32" s="173" t="s">
        <v>249</v>
      </c>
      <c r="C32" s="173">
        <f>SUM(C25:C27)</f>
        <v>77.833186408971727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15.481131883118428</v>
      </c>
      <c r="L32" s="1251">
        <v>1</v>
      </c>
      <c r="M32" s="1190"/>
      <c r="N32" s="183"/>
      <c r="O32" s="648" t="s">
        <v>123</v>
      </c>
      <c r="P32" s="1181">
        <f>Budget!F48</f>
        <v>74.126844199020695</v>
      </c>
      <c r="Q32" s="1177">
        <f>P32</f>
        <v>74.126844199020695</v>
      </c>
      <c r="R32" s="650">
        <v>62.654368717931924</v>
      </c>
      <c r="S32" s="1177">
        <f>IF(Irrigation!$B$2&lt;3,(Q32*$Q$36)+(R32*$R$36),A1_Link!Q32)</f>
        <v>74.126844199020695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0</v>
      </c>
      <c r="AI32" s="3"/>
    </row>
    <row r="33" spans="2:35" ht="13.9" x14ac:dyDescent="0.4">
      <c r="B33" s="308" t="s">
        <v>651</v>
      </c>
      <c r="C33" s="173">
        <f>C31+C32</f>
        <v>461.35397895560584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7.182743856600565</v>
      </c>
      <c r="L33" s="1251">
        <v>1</v>
      </c>
      <c r="M33" s="1190"/>
      <c r="N33" s="182"/>
      <c r="O33" s="648" t="s">
        <v>304</v>
      </c>
      <c r="P33" s="1181">
        <f>Budget!F49</f>
        <v>0</v>
      </c>
      <c r="Q33" s="1177">
        <f>P33</f>
        <v>0</v>
      </c>
      <c r="R33" s="650">
        <v>11.440610711903465</v>
      </c>
      <c r="S33" s="1177">
        <f>IF(Irrigation!$B$2&lt;3,(Q33*$Q$36)+(R33*$R$36),A1_Link!Q33)</f>
        <v>0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3.706342209951035</v>
      </c>
      <c r="AI33" s="3"/>
    </row>
    <row r="34" spans="2:35" ht="13.9" x14ac:dyDescent="0.4">
      <c r="B34" s="308" t="s">
        <v>763</v>
      </c>
      <c r="C34" s="173">
        <f>(C3*C4*C5)-C23-C33</f>
        <v>-62.353978955605839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15.73151738239094</v>
      </c>
      <c r="L34" s="1251">
        <v>1</v>
      </c>
      <c r="M34" s="1190"/>
      <c r="N34" s="182"/>
      <c r="O34" s="648" t="s">
        <v>492</v>
      </c>
      <c r="P34" s="1181">
        <f>Budget!F50</f>
        <v>3.706342209951035</v>
      </c>
      <c r="Q34" s="1177">
        <f>P34</f>
        <v>3.706342209951035</v>
      </c>
      <c r="R34" s="650">
        <v>7.4094979429835393</v>
      </c>
      <c r="S34" s="1177">
        <f>IF(Irrigation!$B$2&lt;3,(Q34*$Q$36)+(R34*$R$36),A1_Link!Q34)</f>
        <v>3.706342209951035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77.833186408971727</v>
      </c>
      <c r="Q35" s="1178">
        <f>SUM(Q32:Q34)</f>
        <v>77.833186408971727</v>
      </c>
      <c r="R35" s="1178">
        <f>SUM(R32:R34)</f>
        <v>81.504477372818926</v>
      </c>
      <c r="S35" s="1179">
        <f>SUM(S32:S34)</f>
        <v>77.833186408971727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17.5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-35.353978955605811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0.70000000000000007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74.126844199020695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0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3.706342209951035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30. 2025 Wheat Enterprise Budget</v>
      </c>
      <c r="E3" s="4"/>
      <c r="F3" s="436">
        <v>1</v>
      </c>
      <c r="G3" s="1343" t="s">
        <v>1059</v>
      </c>
      <c r="H3" s="668" t="s">
        <v>657</v>
      </c>
      <c r="I3" s="1244" t="s">
        <v>1231</v>
      </c>
      <c r="J3" s="1244" t="s">
        <v>1231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28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1231</v>
      </c>
      <c r="J4" s="1244" t="s">
        <v>1231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1231</v>
      </c>
      <c r="J5" s="1244" t="s">
        <v>1231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1241</v>
      </c>
      <c r="I6" s="1244" t="s">
        <v>1231</v>
      </c>
      <c r="J6" s="1244" t="s">
        <v>1231</v>
      </c>
      <c r="K6" s="4" t="s">
        <v>1194</v>
      </c>
      <c r="L6" s="4" t="s">
        <v>1200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Wheat</v>
      </c>
      <c r="E7" s="4"/>
      <c r="F7" s="436">
        <f t="shared" si="0"/>
        <v>5</v>
      </c>
      <c r="G7" s="1345" t="s">
        <v>1085</v>
      </c>
      <c r="H7" s="668" t="s">
        <v>1242</v>
      </c>
      <c r="I7" s="1244" t="s">
        <v>1231</v>
      </c>
      <c r="J7" s="1244" t="s">
        <v>1231</v>
      </c>
      <c r="K7" s="4" t="s">
        <v>1195</v>
      </c>
      <c r="L7" s="4" t="s">
        <v>1201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1243</v>
      </c>
      <c r="I8" s="1244" t="s">
        <v>1231</v>
      </c>
      <c r="J8" s="1244" t="s">
        <v>1231</v>
      </c>
      <c r="K8" s="4" t="s">
        <v>1196</v>
      </c>
      <c r="L8" s="4" t="s">
        <v>1202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1244</v>
      </c>
      <c r="I9" s="1244" t="s">
        <v>1231</v>
      </c>
      <c r="J9" s="1244" t="s">
        <v>1231</v>
      </c>
      <c r="K9" s="4" t="s">
        <v>1197</v>
      </c>
      <c r="L9" s="4" t="s">
        <v>1203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1245</v>
      </c>
      <c r="I10" s="1244" t="s">
        <v>1231</v>
      </c>
      <c r="J10" s="1244" t="s">
        <v>1231</v>
      </c>
      <c r="K10" s="4" t="s">
        <v>1198</v>
      </c>
      <c r="L10" s="4" t="s">
        <v>1204</v>
      </c>
    </row>
    <row r="11" spans="1:12" ht="13.9" x14ac:dyDescent="0.4">
      <c r="A11" s="505" t="s">
        <v>181</v>
      </c>
      <c r="B11" s="401">
        <v>1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1246</v>
      </c>
      <c r="I11" s="1244" t="s">
        <v>1231</v>
      </c>
      <c r="J11" s="1244" t="s">
        <v>1231</v>
      </c>
      <c r="K11" s="4" t="s">
        <v>1199</v>
      </c>
      <c r="L11" s="4" t="s">
        <v>1205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1188</v>
      </c>
      <c r="H12" s="668" t="s">
        <v>1247</v>
      </c>
      <c r="I12" s="1244" t="s">
        <v>1231</v>
      </c>
      <c r="J12" s="1244" t="s">
        <v>1231</v>
      </c>
      <c r="K12" s="4" t="s">
        <v>1189</v>
      </c>
      <c r="L12" s="4" t="s">
        <v>1190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30. Details of Chemicals Applied, Wheat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30. Machinery Capital Recovery and Operating Costs, Wheat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30. 2025 Wheat Enterprise Budget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1231</v>
      </c>
      <c r="J18" s="1244" t="s">
        <v>1231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61.800000000000004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1231</v>
      </c>
      <c r="J19" s="1244" t="s">
        <v>1231</v>
      </c>
      <c r="K19" s="4" t="s">
        <v>1183</v>
      </c>
      <c r="L19" s="4" t="s">
        <v>1182</v>
      </c>
    </row>
    <row r="20" spans="1:12" ht="13.9" x14ac:dyDescent="0.4">
      <c r="A20" s="3"/>
      <c r="B20" s="978">
        <f>Budget!F45</f>
        <v>383.52079254663408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74.126844199020695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1233</v>
      </c>
      <c r="I21" s="1244" t="s">
        <v>5</v>
      </c>
      <c r="J21" s="1244" t="s">
        <v>5</v>
      </c>
      <c r="K21" s="4" t="s">
        <v>1163</v>
      </c>
      <c r="L21" s="4" t="s">
        <v>1164</v>
      </c>
    </row>
    <row r="22" spans="1:12" ht="13.9" x14ac:dyDescent="0.4">
      <c r="A22" s="3"/>
      <c r="B22" s="978">
        <f>Budget!F51</f>
        <v>77.833186408971727</v>
      </c>
      <c r="C22" s="4" t="s">
        <v>747</v>
      </c>
      <c r="D22" s="4"/>
      <c r="E22" s="4"/>
      <c r="F22" s="436">
        <f t="shared" si="0"/>
        <v>20</v>
      </c>
      <c r="G22" s="1346" t="s">
        <v>1165</v>
      </c>
      <c r="H22" s="668" t="s">
        <v>1234</v>
      </c>
      <c r="I22" s="1244" t="s">
        <v>5</v>
      </c>
      <c r="J22" s="1244" t="s">
        <v>5</v>
      </c>
      <c r="K22" s="4" t="s">
        <v>1168</v>
      </c>
      <c r="L22" s="4" t="s">
        <v>1169</v>
      </c>
    </row>
    <row r="23" spans="1:12" ht="13.9" x14ac:dyDescent="0.4">
      <c r="A23" s="3"/>
      <c r="B23" s="978">
        <f>Budget!F53</f>
        <v>-62.353978955605839</v>
      </c>
      <c r="C23" s="4" t="s">
        <v>748</v>
      </c>
      <c r="D23" s="4"/>
      <c r="E23" s="4"/>
      <c r="F23" s="436">
        <f t="shared" si="0"/>
        <v>21</v>
      </c>
      <c r="G23" s="1346" t="s">
        <v>1166</v>
      </c>
      <c r="H23" s="668" t="s">
        <v>1235</v>
      </c>
      <c r="I23" s="1244" t="s">
        <v>5</v>
      </c>
      <c r="J23" s="1244" t="s">
        <v>5</v>
      </c>
      <c r="K23" s="4" t="s">
        <v>1170</v>
      </c>
      <c r="L23" s="4" t="s">
        <v>1171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1167</v>
      </c>
      <c r="H24" s="668" t="s">
        <v>1236</v>
      </c>
      <c r="I24" s="1244" t="s">
        <v>5</v>
      </c>
      <c r="J24" s="1244" t="s">
        <v>5</v>
      </c>
      <c r="K24" s="4" t="s">
        <v>1172</v>
      </c>
      <c r="L24" s="4" t="s">
        <v>1173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1184</v>
      </c>
      <c r="H25" s="668" t="s">
        <v>1237</v>
      </c>
      <c r="I25" s="1244" t="s">
        <v>5</v>
      </c>
      <c r="J25" s="1244" t="s">
        <v>5</v>
      </c>
      <c r="K25" s="4" t="s">
        <v>1174</v>
      </c>
      <c r="L25" s="4" t="s">
        <v>1178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1185</v>
      </c>
      <c r="H26" s="668" t="s">
        <v>1238</v>
      </c>
      <c r="I26" s="1244" t="s">
        <v>5</v>
      </c>
      <c r="J26" s="1244" t="s">
        <v>5</v>
      </c>
      <c r="K26" s="4" t="s">
        <v>1175</v>
      </c>
      <c r="L26" s="4" t="s">
        <v>1179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1186</v>
      </c>
      <c r="H27" s="668" t="s">
        <v>1239</v>
      </c>
      <c r="I27" s="1244" t="s">
        <v>5</v>
      </c>
      <c r="J27" s="1244" t="s">
        <v>5</v>
      </c>
      <c r="K27" s="4" t="s">
        <v>1176</v>
      </c>
      <c r="L27" s="4" t="s">
        <v>1180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1187</v>
      </c>
      <c r="H28" s="668" t="s">
        <v>1240</v>
      </c>
      <c r="I28" s="1244" t="s">
        <v>5</v>
      </c>
      <c r="J28" s="1244" t="s">
        <v>5</v>
      </c>
      <c r="K28" s="4" t="s">
        <v>1177</v>
      </c>
      <c r="L28" s="4" t="s">
        <v>1181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1231</v>
      </c>
      <c r="J34" s="1244" t="s">
        <v>1231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1231</v>
      </c>
      <c r="J35" s="1244" t="s">
        <v>1231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1231</v>
      </c>
      <c r="J36" s="1244" t="s">
        <v>1231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1231</v>
      </c>
      <c r="J40" s="1244" t="s">
        <v>1231</v>
      </c>
      <c r="K40" s="4" t="s">
        <v>1191</v>
      </c>
      <c r="L40" s="4" t="s">
        <v>1192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1231</v>
      </c>
      <c r="J41" s="1244" t="s">
        <v>1231</v>
      </c>
      <c r="K41" s="4" t="s">
        <v>947</v>
      </c>
      <c r="L41" s="4" t="s">
        <v>1193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1231</v>
      </c>
      <c r="J44" s="1244" t="s">
        <v>1231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1231</v>
      </c>
      <c r="J45" s="1244" t="s">
        <v>1231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X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1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>
        <f>IF(AE2&gt;0,A2_Budget_Look_Up!$C$4," ")</f>
        <v>28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1225</v>
      </c>
      <c r="W3" s="1155" t="s">
        <v>1224</v>
      </c>
      <c r="X3" s="1155" t="s">
        <v>1223</v>
      </c>
      <c r="Y3" s="1155" t="s">
        <v>1222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1221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1226</v>
      </c>
      <c r="AJ3" s="1155" t="s">
        <v>1227</v>
      </c>
      <c r="AK3" s="1155" t="s">
        <v>1160</v>
      </c>
      <c r="AL3" s="1155" t="s">
        <v>1217</v>
      </c>
      <c r="AM3" s="1155" t="s">
        <v>1218</v>
      </c>
      <c r="AN3" s="1155" t="s">
        <v>1219</v>
      </c>
      <c r="AO3" s="1155" t="s">
        <v>854</v>
      </c>
      <c r="AP3" s="1155" t="s">
        <v>1220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70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70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5.7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5.7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240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240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110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110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100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50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50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4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4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1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1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100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100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5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5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27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27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0.25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17.45</v>
      </c>
      <c r="H39" s="1049">
        <f>(1+2.2)+(0.005*500*Budget!$E$3)</f>
        <v>17.45</v>
      </c>
      <c r="I39" s="1049">
        <f>(1+2.2)+(0.005*500*Budget!$E$3)</f>
        <v>17.45</v>
      </c>
      <c r="J39" s="1049">
        <f>(1+2.2)+(0.005*500*Budget!$E$3)</f>
        <v>17.45</v>
      </c>
      <c r="K39" s="1049">
        <f>(1+2.2)+(0.005*500*Budget!$E$3)</f>
        <v>17.45</v>
      </c>
      <c r="L39" s="1049">
        <f>(1+2.2)+(0.005*500*Budget!$E$3)</f>
        <v>17.45</v>
      </c>
      <c r="M39" s="1049">
        <f>(1+2.2)+(0.005*500*Budget!$E$3)</f>
        <v>17.45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2.8500000000000001E-2</v>
      </c>
      <c r="W39" s="1887">
        <f>(Budget!$E$3*(0.01/2))</f>
        <v>2.8500000000000001E-2</v>
      </c>
      <c r="X39" s="1887">
        <f>(Budget!$E$3*(0.01/2))</f>
        <v>2.8500000000000001E-2</v>
      </c>
      <c r="Y39" s="1887">
        <f>(Budget!$E$3*(0.01/2))</f>
        <v>2.8500000000000001E-2</v>
      </c>
      <c r="Z39" s="1887">
        <f>(Budget!$E$3*(0.01/2))</f>
        <v>2.8500000000000001E-2</v>
      </c>
      <c r="AA39" s="1887">
        <f>(Budget!$E$3*(0.01/2))</f>
        <v>2.8500000000000001E-2</v>
      </c>
      <c r="AB39" s="1887">
        <f>(Budget!$E$3*(0.01/2))</f>
        <v>2.8500000000000001E-2</v>
      </c>
      <c r="AC39" s="1887">
        <f>(Budget!$E$3*(0.01/2))</f>
        <v>2.8500000000000001E-2</v>
      </c>
      <c r="AD39" s="1887">
        <f>(Budget!$E$3*(0.01/2))</f>
        <v>2.8500000000000001E-2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2.8500000000000001E-2</v>
      </c>
      <c r="AM39" s="1887">
        <f>(Budget!$E$3*(0.01/2))</f>
        <v>2.8500000000000001E-2</v>
      </c>
      <c r="AN39" s="1887">
        <f>(Budget!$E$3*(0.01/2))</f>
        <v>2.8500000000000001E-2</v>
      </c>
      <c r="AO39" s="1049">
        <f>(1+2.2)+(0.005*500*Budget!$E$3)</f>
        <v>17.45</v>
      </c>
      <c r="AP39" s="1049">
        <f>(1+2.2)+(0.005*500*Budget!$E$3)</f>
        <v>17.45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0.01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0.4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0.4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100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100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3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3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1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1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1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1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1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1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1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1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1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1213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1215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1207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1228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1208</v>
      </c>
      <c r="I8" s="302" t="s">
        <v>238</v>
      </c>
      <c r="J8" s="1262">
        <v>3.39</v>
      </c>
      <c r="K8" s="300" t="s">
        <v>1229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1206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1209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1210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1211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1212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1214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28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Zidua SC</v>
      </c>
      <c r="B6" s="1166" t="str">
        <f>VLOOKUP(1,$I$6:$P$3099,3,FALSE)</f>
        <v/>
      </c>
      <c r="C6" s="1166" t="str">
        <f>VLOOKUP(1,$I$6:$P$3099,4,FALSE)</f>
        <v>oz</v>
      </c>
      <c r="D6" s="1165">
        <f>VLOOKUP(1,$I$6:$P$3099,5,FALSE)</f>
        <v>5.7421875</v>
      </c>
      <c r="E6" s="1165">
        <f>VLOOKUP(1,$I$6:$P$3099,6,FALSE)</f>
        <v>3</v>
      </c>
      <c r="F6" s="82">
        <f>D6*E6</f>
        <v>17.2265625</v>
      </c>
      <c r="G6" s="1166">
        <f>VLOOKUP(1,$I$6:$P$3099,8,FALSE)</f>
        <v>3</v>
      </c>
      <c r="H6" s="1073">
        <f>VLOOKUP(1,$I$6:$Q$3099,9,FALSE)</f>
        <v>28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Gramoxone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0.234375</v>
      </c>
      <c r="E7" s="1165">
        <f>VLOOKUP(2,$I$6:$P$3099,6,FALSE)</f>
        <v>40</v>
      </c>
      <c r="F7" s="82">
        <f>D7*E7</f>
        <v>9.375</v>
      </c>
      <c r="G7" s="1166">
        <f>VLOOKUP(2,$I$6:$P$3099,8,FALSE)</f>
        <v>40</v>
      </c>
      <c r="H7" s="1073">
        <f>VLOOKUP(2,$I$6:$Q$3099,9,FALSE)</f>
        <v>28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Axial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0.41249999999999998</v>
      </c>
      <c r="E8" s="1165">
        <f>VLOOKUP(3,$I$6:$P$3099,6,FALSE)</f>
        <v>15</v>
      </c>
      <c r="F8" s="82">
        <f t="shared" ref="F8:F19" si="2">D8*E8</f>
        <v>6.1875</v>
      </c>
      <c r="G8" s="1166">
        <f>VLOOKUP(3,$I$6:$P$3099,8,FALSE)</f>
        <v>15</v>
      </c>
      <c r="H8" s="1073">
        <f>VLOOKUP(3,$I$6:$Q$3099,9,FALSE)</f>
        <v>28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Harmony Extra XP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13.5</v>
      </c>
      <c r="E9" s="1165">
        <f>VLOOKUP(4,$I$6:$P$3099,6,FALSE)</f>
        <v>0.9</v>
      </c>
      <c r="F9" s="82">
        <f t="shared" si="2"/>
        <v>12.15</v>
      </c>
      <c r="G9" s="1166">
        <f>VLOOKUP(4,$I$6:$P$3099,8,FALSE)</f>
        <v>0</v>
      </c>
      <c r="H9" s="1073">
        <f>VLOOKUP(4,$I$6:$Q$3099,9,FALSE)</f>
        <v>28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Surfactant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0.41249999999999998</v>
      </c>
      <c r="E10" s="1165">
        <f>VLOOKUP(5,$I$6:$P$3099,6,FALSE)</f>
        <v>3.2</v>
      </c>
      <c r="F10" s="82">
        <f t="shared" si="2"/>
        <v>1.32</v>
      </c>
      <c r="G10" s="1166">
        <f>VLOOKUP(5,$I$6:$P$3099,8,FALSE)</f>
        <v>0</v>
      </c>
      <c r="H10" s="1073">
        <f>VLOOKUP(5,$I$6:$Q$3099,9,FALSE)</f>
        <v>28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28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28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28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28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28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28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28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28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28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46.259062499999999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Other</v>
      </c>
      <c r="B24" s="1166" t="str">
        <f>VLOOKUP(15,$I$6:$P$3099,3,FALSE)</f>
        <v/>
      </c>
      <c r="C24" s="1166">
        <f>VLOOKUP(15,$I$6:$P$3099,4,FALSE)</f>
        <v>0</v>
      </c>
      <c r="D24" s="1165">
        <f>VLOOKUP(15,$I$6:$P$3099,5,FALSE)</f>
        <v>0</v>
      </c>
      <c r="E24" s="1165">
        <f>VLOOKUP(15,$I$6:$P$3099,6,FALSE)</f>
        <v>0</v>
      </c>
      <c r="F24" s="82">
        <f t="shared" ref="F24:F33" si="4">D24*E24</f>
        <v>0</v>
      </c>
      <c r="G24" s="1166">
        <f>VLOOKUP(15,$I$6:$P$3099,8,FALSE)</f>
        <v>0</v>
      </c>
      <c r="H24" s="1073">
        <f>VLOOKUP(15,$I$6:$Q$3099,9,FALSE)</f>
        <v>28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28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28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28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28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28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28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28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28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28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0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Quilt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0.25</v>
      </c>
      <c r="E38" s="1165">
        <f>VLOOKUP(25,$I$6:$P$3099,6,FALSE)</f>
        <v>14</v>
      </c>
      <c r="F38" s="82">
        <f>D38*E38</f>
        <v>3.5</v>
      </c>
      <c r="G38" s="1166">
        <f>VLOOKUP(25,$I$6:$P$3099,8,FALSE)</f>
        <v>14</v>
      </c>
      <c r="H38" s="1073">
        <f>VLOOKUP(25,$I$6:$Q$3099,9,FALSE)</f>
        <v>28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28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3.5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28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28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28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28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28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28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28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28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28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28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28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28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28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28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1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28</v>
      </c>
    </row>
    <row r="1681" spans="9:17" ht="13.9" x14ac:dyDescent="0.4">
      <c r="I1681" s="1073">
        <f t="shared" ref="I1681:I1693" si="336">IF($A$1=28,I1680+1,0)</f>
        <v>2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28</v>
      </c>
    </row>
    <row r="1682" spans="9:17" ht="13.9" x14ac:dyDescent="0.4">
      <c r="I1682" s="1073">
        <f t="shared" si="336"/>
        <v>3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28</v>
      </c>
    </row>
    <row r="1683" spans="9:17" ht="13.9" x14ac:dyDescent="0.4">
      <c r="I1683" s="1073">
        <f t="shared" si="336"/>
        <v>4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28</v>
      </c>
    </row>
    <row r="1684" spans="9:17" ht="13.9" x14ac:dyDescent="0.4">
      <c r="I1684" s="1073">
        <f t="shared" si="336"/>
        <v>5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28</v>
      </c>
    </row>
    <row r="1685" spans="9:17" ht="13.9" x14ac:dyDescent="0.4">
      <c r="I1685" s="1073">
        <f t="shared" si="336"/>
        <v>6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28</v>
      </c>
    </row>
    <row r="1686" spans="9:17" ht="13.9" x14ac:dyDescent="0.4">
      <c r="I1686" s="1073">
        <f t="shared" si="336"/>
        <v>7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28</v>
      </c>
    </row>
    <row r="1687" spans="9:17" ht="13.9" x14ac:dyDescent="0.4">
      <c r="I1687" s="1073">
        <f t="shared" si="336"/>
        <v>8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28</v>
      </c>
    </row>
    <row r="1688" spans="9:17" ht="13.9" x14ac:dyDescent="0.4">
      <c r="I1688" s="1073">
        <f t="shared" si="336"/>
        <v>9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28</v>
      </c>
    </row>
    <row r="1689" spans="9:17" ht="13.9" x14ac:dyDescent="0.4">
      <c r="I1689" s="1073">
        <f t="shared" si="336"/>
        <v>10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28</v>
      </c>
    </row>
    <row r="1690" spans="9:17" ht="13.9" x14ac:dyDescent="0.4">
      <c r="I1690" s="1073">
        <f t="shared" si="336"/>
        <v>11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28</v>
      </c>
    </row>
    <row r="1691" spans="9:17" ht="13.9" x14ac:dyDescent="0.4">
      <c r="I1691" s="1073">
        <f t="shared" si="336"/>
        <v>12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28</v>
      </c>
    </row>
    <row r="1692" spans="9:17" ht="13.9" x14ac:dyDescent="0.4">
      <c r="I1692" s="1073">
        <f t="shared" si="336"/>
        <v>13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28</v>
      </c>
    </row>
    <row r="1693" spans="9:17" ht="13.9" x14ac:dyDescent="0.4">
      <c r="I1693" s="1073">
        <f t="shared" si="336"/>
        <v>14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28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15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28</v>
      </c>
    </row>
    <row r="1699" spans="9:17" ht="13.9" x14ac:dyDescent="0.4">
      <c r="I1699" s="1073">
        <f t="shared" ref="I1699:I1707" si="339">IF($A$1=28,I1698+1,0)</f>
        <v>16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28</v>
      </c>
    </row>
    <row r="1700" spans="9:17" ht="13.9" x14ac:dyDescent="0.4">
      <c r="I1700" s="1073">
        <f t="shared" si="339"/>
        <v>17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28</v>
      </c>
    </row>
    <row r="1701" spans="9:17" ht="13.9" x14ac:dyDescent="0.4">
      <c r="I1701" s="1073">
        <f t="shared" si="339"/>
        <v>18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28</v>
      </c>
    </row>
    <row r="1702" spans="9:17" ht="13.9" x14ac:dyDescent="0.4">
      <c r="I1702" s="1073">
        <f t="shared" si="339"/>
        <v>19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28</v>
      </c>
    </row>
    <row r="1703" spans="9:17" ht="13.9" x14ac:dyDescent="0.4">
      <c r="I1703" s="1073">
        <f t="shared" si="339"/>
        <v>20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28</v>
      </c>
    </row>
    <row r="1704" spans="9:17" ht="13.9" x14ac:dyDescent="0.4">
      <c r="I1704" s="1073">
        <f t="shared" si="339"/>
        <v>21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28</v>
      </c>
    </row>
    <row r="1705" spans="9:17" ht="13.9" x14ac:dyDescent="0.4">
      <c r="I1705" s="1073">
        <f t="shared" si="339"/>
        <v>22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28</v>
      </c>
    </row>
    <row r="1706" spans="9:17" ht="13.9" x14ac:dyDescent="0.4">
      <c r="I1706" s="1073">
        <f t="shared" si="339"/>
        <v>23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28</v>
      </c>
    </row>
    <row r="1707" spans="9:17" ht="13.9" x14ac:dyDescent="0.4">
      <c r="I1707" s="1073">
        <f t="shared" si="339"/>
        <v>24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28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25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28</v>
      </c>
    </row>
    <row r="1713" spans="9:17" ht="13.9" x14ac:dyDescent="0.4">
      <c r="I1713" s="1073">
        <f>IF($A$1=28,I1712+1,0)</f>
        <v>26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28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27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28</v>
      </c>
    </row>
    <row r="1719" spans="9:17" ht="13.9" x14ac:dyDescent="0.4">
      <c r="I1719" s="1073">
        <f t="shared" ref="I1719:I1724" si="342">IF($A$1=28,I1718+1,0)</f>
        <v>28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28</v>
      </c>
    </row>
    <row r="1720" spans="9:17" ht="13.9" x14ac:dyDescent="0.4">
      <c r="I1720" s="1073">
        <f t="shared" si="342"/>
        <v>29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28</v>
      </c>
    </row>
    <row r="1721" spans="9:17" ht="13.9" x14ac:dyDescent="0.4">
      <c r="I1721" s="1073">
        <f t="shared" si="342"/>
        <v>30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28</v>
      </c>
    </row>
    <row r="1722" spans="9:17" ht="13.9" x14ac:dyDescent="0.4">
      <c r="I1722" s="1073">
        <f t="shared" si="342"/>
        <v>31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28</v>
      </c>
    </row>
    <row r="1723" spans="9:17" ht="13.9" x14ac:dyDescent="0.4">
      <c r="I1723" s="1073">
        <f t="shared" si="342"/>
        <v>32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28</v>
      </c>
    </row>
    <row r="1724" spans="9:17" ht="13.9" x14ac:dyDescent="0.4">
      <c r="I1724" s="1073">
        <f t="shared" si="342"/>
        <v>33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28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34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28</v>
      </c>
    </row>
    <row r="1730" spans="9:17" ht="13.9" x14ac:dyDescent="0.4">
      <c r="I1730" s="1073">
        <f t="shared" ref="I1730:I1735" si="345">IF($A$1=28,I1729+1,0)</f>
        <v>35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28</v>
      </c>
    </row>
    <row r="1731" spans="9:17" ht="13.9" x14ac:dyDescent="0.4">
      <c r="I1731" s="1073">
        <f t="shared" si="345"/>
        <v>36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28</v>
      </c>
    </row>
    <row r="1732" spans="9:17" ht="13.9" x14ac:dyDescent="0.4">
      <c r="I1732" s="1073">
        <f t="shared" si="345"/>
        <v>37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28</v>
      </c>
    </row>
    <row r="1733" spans="9:17" ht="13.9" x14ac:dyDescent="0.4">
      <c r="I1733" s="1073">
        <f t="shared" si="345"/>
        <v>38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28</v>
      </c>
    </row>
    <row r="1734" spans="9:17" ht="13.9" x14ac:dyDescent="0.4">
      <c r="I1734" s="1073">
        <f t="shared" si="345"/>
        <v>39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28</v>
      </c>
    </row>
    <row r="1735" spans="9:17" ht="13.9" x14ac:dyDescent="0.4">
      <c r="I1735" s="1073">
        <f t="shared" si="345"/>
        <v>40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28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30. Details of Chemicals Applied, Wheat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Zidua SC</v>
      </c>
      <c r="B4" s="104" t="e">
        <f>Seed_Chemical!#REF!</f>
        <v>#REF!</v>
      </c>
      <c r="C4" s="104" t="str">
        <f>Seed_Chemical!C12</f>
        <v>oz</v>
      </c>
      <c r="D4" s="96">
        <f>Seed_Chemical!D12</f>
        <v>5.7421875</v>
      </c>
      <c r="E4" s="96">
        <f>Seed_Chemical!E12</f>
        <v>3</v>
      </c>
      <c r="F4" s="96">
        <f>Seed_Chemical!F12</f>
        <v>17.2265625</v>
      </c>
      <c r="G4" s="106" t="e">
        <f>Seed_Chemical!#REF!</f>
        <v>#REF!</v>
      </c>
    </row>
    <row r="5" spans="1:7" ht="13.9" x14ac:dyDescent="0.4">
      <c r="A5" s="96" t="str">
        <f>Seed_Chemical!A13</f>
        <v>Gramoxone</v>
      </c>
      <c r="B5" s="104" t="e">
        <f>Seed_Chemical!#REF!</f>
        <v>#REF!</v>
      </c>
      <c r="C5" s="104" t="str">
        <f>Seed_Chemical!C13</f>
        <v>oz</v>
      </c>
      <c r="D5" s="96">
        <f>Seed_Chemical!D13</f>
        <v>0.234375</v>
      </c>
      <c r="E5" s="96">
        <f>Seed_Chemical!E13</f>
        <v>40</v>
      </c>
      <c r="F5" s="96">
        <f>Seed_Chemical!F13</f>
        <v>9.375</v>
      </c>
      <c r="G5" s="106" t="e">
        <f>Seed_Chemical!#REF!</f>
        <v>#REF!</v>
      </c>
    </row>
    <row r="6" spans="1:7" ht="13.9" x14ac:dyDescent="0.4">
      <c r="A6" s="96" t="str">
        <f>Seed_Chemical!A14</f>
        <v>Axial</v>
      </c>
      <c r="B6" s="104" t="e">
        <f>Seed_Chemical!#REF!</f>
        <v>#REF!</v>
      </c>
      <c r="C6" s="104" t="str">
        <f>Seed_Chemical!C14</f>
        <v>oz</v>
      </c>
      <c r="D6" s="96">
        <f>Seed_Chemical!D14</f>
        <v>0.41249999999999998</v>
      </c>
      <c r="E6" s="96">
        <f>Seed_Chemical!E14</f>
        <v>15</v>
      </c>
      <c r="F6" s="96">
        <f>Seed_Chemical!F14</f>
        <v>6.1875</v>
      </c>
      <c r="G6" s="106" t="e">
        <f>Seed_Chemical!#REF!</f>
        <v>#REF!</v>
      </c>
    </row>
    <row r="7" spans="1:7" ht="13.9" x14ac:dyDescent="0.4">
      <c r="A7" s="96" t="str">
        <f>Seed_Chemical!A15</f>
        <v>Harmony Extra XP</v>
      </c>
      <c r="B7" s="104" t="e">
        <f>Seed_Chemical!#REF!</f>
        <v>#REF!</v>
      </c>
      <c r="C7" s="104" t="str">
        <f>Seed_Chemical!C15</f>
        <v>oz</v>
      </c>
      <c r="D7" s="96">
        <f>Seed_Chemical!D15</f>
        <v>13.5</v>
      </c>
      <c r="E7" s="96">
        <f>Seed_Chemical!E15</f>
        <v>0.9</v>
      </c>
      <c r="F7" s="96">
        <f>Seed_Chemical!F15</f>
        <v>12.15</v>
      </c>
      <c r="G7" s="106" t="e">
        <f>Seed_Chemical!#REF!</f>
        <v>#REF!</v>
      </c>
    </row>
    <row r="8" spans="1:7" ht="13.9" x14ac:dyDescent="0.4">
      <c r="A8" s="96" t="str">
        <f>Seed_Chemical!A16</f>
        <v>Surfactant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0.41249999999999998</v>
      </c>
      <c r="E8" s="96">
        <f>Seed_Chemical!E16</f>
        <v>3.2</v>
      </c>
      <c r="F8" s="96">
        <f>Seed_Chemical!F16</f>
        <v>1.32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46.259062499999999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 xml:space="preserve"> </v>
      </c>
      <c r="B22" s="104" t="e">
        <f>Seed_Chemical!#REF!</f>
        <v>#REF!</v>
      </c>
      <c r="C22" s="104" t="str">
        <f>Seed_Chemical!C30</f>
        <v xml:space="preserve"> </v>
      </c>
      <c r="D22" s="96">
        <f>Seed_Chemical!D30</f>
        <v>0</v>
      </c>
      <c r="E22" s="96">
        <f>Seed_Chemical!E30</f>
        <v>0</v>
      </c>
      <c r="F22" s="96">
        <f>Seed_Chemical!F30</f>
        <v>0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0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Quilt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0.25</v>
      </c>
      <c r="E36" s="96">
        <f>Seed_Chemical!E44</f>
        <v>14</v>
      </c>
      <c r="F36" s="96">
        <f>Seed_Chemical!F44</f>
        <v>3.5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3.5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30. Details of Chemicals Applied, Wheat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Zidua SC</v>
      </c>
      <c r="B4" s="104" t="e">
        <f>Seed_Chemical!#REF!</f>
        <v>#REF!</v>
      </c>
      <c r="C4" s="104" t="str">
        <f>Seed_Chemical!C12</f>
        <v>oz</v>
      </c>
      <c r="D4" s="96">
        <f>Seed_Chemical!D12</f>
        <v>5.7421875</v>
      </c>
      <c r="E4" s="96">
        <f>Seed_Chemical!E12</f>
        <v>3</v>
      </c>
      <c r="F4" s="96">
        <f>Seed_Chemical!F12</f>
        <v>17.2265625</v>
      </c>
      <c r="G4" s="106" t="e">
        <f>Seed_Chemical!#REF!</f>
        <v>#REF!</v>
      </c>
    </row>
    <row r="5" spans="1:7" ht="13.9" x14ac:dyDescent="0.4">
      <c r="A5" s="96" t="str">
        <f>Seed_Chemical!A13</f>
        <v>Gramoxone</v>
      </c>
      <c r="B5" s="104" t="e">
        <f>Seed_Chemical!#REF!</f>
        <v>#REF!</v>
      </c>
      <c r="C5" s="104" t="str">
        <f>Seed_Chemical!C13</f>
        <v>oz</v>
      </c>
      <c r="D5" s="96">
        <f>Seed_Chemical!D13</f>
        <v>0.234375</v>
      </c>
      <c r="E5" s="96">
        <f>Seed_Chemical!E13</f>
        <v>40</v>
      </c>
      <c r="F5" s="96">
        <f>Seed_Chemical!F13</f>
        <v>9.375</v>
      </c>
      <c r="G5" s="106" t="e">
        <f>Seed_Chemical!#REF!</f>
        <v>#REF!</v>
      </c>
    </row>
    <row r="6" spans="1:7" ht="13.9" x14ac:dyDescent="0.4">
      <c r="A6" s="96" t="str">
        <f>Seed_Chemical!A14</f>
        <v>Axial</v>
      </c>
      <c r="B6" s="104" t="e">
        <f>Seed_Chemical!#REF!</f>
        <v>#REF!</v>
      </c>
      <c r="C6" s="104" t="str">
        <f>Seed_Chemical!C14</f>
        <v>oz</v>
      </c>
      <c r="D6" s="96">
        <f>Seed_Chemical!D14</f>
        <v>0.41249999999999998</v>
      </c>
      <c r="E6" s="96">
        <f>Seed_Chemical!E14</f>
        <v>15</v>
      </c>
      <c r="F6" s="96">
        <f>Seed_Chemical!F14</f>
        <v>6.1875</v>
      </c>
      <c r="G6" s="106" t="e">
        <f>Seed_Chemical!#REF!</f>
        <v>#REF!</v>
      </c>
    </row>
    <row r="7" spans="1:7" ht="13.9" x14ac:dyDescent="0.4">
      <c r="A7" s="96" t="str">
        <f>Seed_Chemical!A15</f>
        <v>Harmony Extra XP</v>
      </c>
      <c r="B7" s="104" t="e">
        <f>Seed_Chemical!#REF!</f>
        <v>#REF!</v>
      </c>
      <c r="C7" s="104" t="str">
        <f>Seed_Chemical!C15</f>
        <v>oz</v>
      </c>
      <c r="D7" s="96">
        <f>Seed_Chemical!D15</f>
        <v>13.5</v>
      </c>
      <c r="E7" s="96">
        <f>Seed_Chemical!E15</f>
        <v>0.9</v>
      </c>
      <c r="F7" s="96">
        <f>Seed_Chemical!F15</f>
        <v>12.15</v>
      </c>
      <c r="G7" s="106" t="e">
        <f>Seed_Chemical!#REF!</f>
        <v>#REF!</v>
      </c>
    </row>
    <row r="8" spans="1:7" ht="13.9" x14ac:dyDescent="0.4">
      <c r="A8" s="96" t="str">
        <f>Seed_Chemical!A16</f>
        <v>Surfactant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0.41249999999999998</v>
      </c>
      <c r="E8" s="96">
        <f>Seed_Chemical!E16</f>
        <v>3.2</v>
      </c>
      <c r="F8" s="96">
        <f>Seed_Chemical!F16</f>
        <v>1.32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46.259062499999999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 xml:space="preserve"> </v>
      </c>
      <c r="B18" s="104" t="e">
        <f>Seed_Chemical!#REF!</f>
        <v>#REF!</v>
      </c>
      <c r="C18" s="104" t="str">
        <f>Seed_Chemical!C30</f>
        <v xml:space="preserve"> </v>
      </c>
      <c r="D18" s="96">
        <f>Seed_Chemical!D30</f>
        <v>0</v>
      </c>
      <c r="E18" s="96">
        <f>Seed_Chemical!E30</f>
        <v>0</v>
      </c>
      <c r="F18" s="96">
        <f>Seed_Chemical!F30</f>
        <v>0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0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3.5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30. Machinery Capital Recovery and Operating Costs, Wheat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28.398951784351915</v>
      </c>
      <c r="C60" s="96">
        <f>IF(Trips!H59&gt;0,Trips!H59," ")</f>
        <v>5.3151191496744792</v>
      </c>
      <c r="D60" s="96">
        <f>IF(Trips!I59&gt;0,Trips!I59," ")</f>
        <v>4.4942857142857138</v>
      </c>
      <c r="E60" s="96">
        <f>IF(Trips!J59&gt;0,Trips!J59," ")</f>
        <v>1.8103193877551023</v>
      </c>
      <c r="F60" s="96">
        <f>IF(Trips!K59&gt;0,Trips!K59," ")</f>
        <v>40.018676036067212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>
        <f>IF(Trips!G63&gt;0,Trips!G63," ")</f>
        <v>1.9976057455272922</v>
      </c>
      <c r="C64" s="96">
        <f>IF(Trips!H63&gt;0,Trips!H63," ")</f>
        <v>1.2232506599167985</v>
      </c>
      <c r="D64" s="118" t="str">
        <f>IF(Machine!B73&gt;0,"NA"," ")</f>
        <v>NA</v>
      </c>
      <c r="E64" s="118" t="str">
        <f>IF(Machine!B73&gt;0,"NA"," ")</f>
        <v>NA</v>
      </c>
      <c r="F64" s="96">
        <f>IF(Trips!K63&gt;0,Trips!K63," ")</f>
        <v>3.2208564054440907</v>
      </c>
      <c r="G64" s="528">
        <f>IF(Machine!B73&gt;0,Machine!B73," ")</f>
        <v>1</v>
      </c>
      <c r="H64" s="97">
        <f>IF(Machine!B73&gt;0,Machine!D73," ")</f>
        <v>30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10.663926433941658</v>
      </c>
      <c r="C65" s="96">
        <f>IF(Trips!H64&gt;0,Trips!H64," ")</f>
        <v>2.2221781260943461</v>
      </c>
      <c r="D65" s="96">
        <f>IF(Trips!I64&gt;0,Trips!I64," ")</f>
        <v>2.6965714285714286</v>
      </c>
      <c r="E65" s="96">
        <f>IF(Trips!J64&gt;0,Trips!J64," ")</f>
        <v>1.8103193877551023</v>
      </c>
      <c r="F65" s="96">
        <f>IF(Trips!K64&gt;0,Trips!K64," ")</f>
        <v>17.392995376362531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30. Machinery Capital Recovery and Operating Costs, Wheat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14.873794372042886</v>
      </c>
      <c r="U56" s="17"/>
      <c r="V56" s="257">
        <f>SUM(V14:V54)</f>
        <v>14.062035645478183</v>
      </c>
      <c r="W56" s="1147"/>
      <c r="X56" s="1147">
        <f>Z56-(T56+V56)</f>
        <v>4.1305302176787535</v>
      </c>
      <c r="Y56" s="1148">
        <f>(Z56-(T56+V56))/(T56+V56)</f>
        <v>0.14274794312717681</v>
      </c>
      <c r="Z56" s="257">
        <f>SUM(Z14:Z54)</f>
        <v>33.066360235199824</v>
      </c>
      <c r="AA56" s="17"/>
      <c r="AB56" s="17"/>
      <c r="AC56" s="257">
        <f>SUM(AC14:AC54)</f>
        <v>5.3190366195767966</v>
      </c>
      <c r="AD56" s="258"/>
      <c r="AE56" s="17"/>
      <c r="AF56" s="257">
        <f>SUM(AF14:AF54)</f>
        <v>1.4015473278560067</v>
      </c>
      <c r="AG56" s="17"/>
      <c r="AH56" s="257">
        <f>SUM(AH14:AH54)</f>
        <v>6.2254797816669418</v>
      </c>
      <c r="AI56" s="257">
        <f>SUM(AI14:AI54)</f>
        <v>0.62254797816669427</v>
      </c>
      <c r="AJ56" s="257"/>
      <c r="AK56" s="17"/>
      <c r="AL56" s="259">
        <f>SUM(AL14:AL54)</f>
        <v>0.24515520172679706</v>
      </c>
      <c r="AM56" s="260">
        <f>SUM(AM14:AM54)</f>
        <v>3.5621050810903609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3.5</v>
      </c>
      <c r="M69" s="224">
        <f>EquipmentSpecs!C69</f>
        <v>0.7</v>
      </c>
      <c r="N69" s="89">
        <f t="shared" si="31"/>
        <v>8.9090909090909083</v>
      </c>
      <c r="O69" s="226">
        <f t="shared" si="32"/>
        <v>0.11224489795918369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25.223832427209057</v>
      </c>
      <c r="U69" s="269"/>
      <c r="V69" s="269"/>
      <c r="W69" s="1144">
        <f t="shared" si="34"/>
        <v>1.0873696428571429</v>
      </c>
      <c r="X69" s="1144">
        <f t="shared" si="34"/>
        <v>1.0873696428571429</v>
      </c>
      <c r="Y69" s="1144">
        <f t="shared" si="34"/>
        <v>1.0003800714285715</v>
      </c>
      <c r="Z69" s="1136">
        <f t="shared" si="35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6"/>
        <v>14.299999999999999</v>
      </c>
      <c r="AH69" s="89">
        <f t="shared" si="37"/>
        <v>4.4942857142857138</v>
      </c>
      <c r="AI69" s="89">
        <f t="shared" si="38"/>
        <v>0.4494285714285714</v>
      </c>
      <c r="AJ69" s="89">
        <f t="shared" si="39"/>
        <v>4.4942857142857138</v>
      </c>
      <c r="AK69" s="227">
        <f>EquipmentSpecs!L69</f>
        <v>1.1100000000000001</v>
      </c>
      <c r="AL69" s="226">
        <f t="shared" si="40"/>
        <v>0.1245918367346939</v>
      </c>
      <c r="AM69" s="230">
        <f t="shared" si="41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1</v>
      </c>
      <c r="T73" s="89">
        <f t="shared" si="33"/>
        <v>1.7742652251191289</v>
      </c>
      <c r="U73" s="269"/>
      <c r="V73" s="269"/>
      <c r="W73" s="1144">
        <f t="shared" si="34"/>
        <v>7.6486479591836756E-2</v>
      </c>
      <c r="X73" s="1144">
        <f t="shared" si="34"/>
        <v>7.6486479591836756E-2</v>
      </c>
      <c r="Y73" s="1144">
        <f t="shared" si="34"/>
        <v>7.0367561224489811E-2</v>
      </c>
      <c r="Z73" s="1136">
        <f t="shared" si="35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3.5</v>
      </c>
      <c r="M74" s="233">
        <f>EquipmentSpecs!C74</f>
        <v>0.7</v>
      </c>
      <c r="N74" s="235">
        <f t="shared" si="31"/>
        <v>8.9090909090909083</v>
      </c>
      <c r="O74" s="236">
        <f t="shared" si="32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4"/>
        <v>0.45274914965986401</v>
      </c>
      <c r="X74" s="1146">
        <f t="shared" si="34"/>
        <v>0.45274914965986401</v>
      </c>
      <c r="Y74" s="1146">
        <f t="shared" si="34"/>
        <v>0.41652921768707485</v>
      </c>
      <c r="Z74" s="1139">
        <f t="shared" si="35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2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40"/>
        <v>0.1245918367346939</v>
      </c>
      <c r="AM74" s="241">
        <f t="shared" si="41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30.329540582057305</v>
      </c>
      <c r="U83" s="17"/>
      <c r="V83" s="257">
        <f>SUM(V64:V81)</f>
        <v>6.010455987205737</v>
      </c>
      <c r="W83" s="1147"/>
      <c r="X83" s="1147">
        <f>Z83-(T83+V83)</f>
        <v>4.7204873945578214</v>
      </c>
      <c r="Y83" s="1148">
        <f>(Z83-(T83+V83))/(T83+V83)</f>
        <v>0.12989784920757219</v>
      </c>
      <c r="Z83" s="257">
        <f>SUM(Z64:Z81)</f>
        <v>41.060483963820865</v>
      </c>
      <c r="AA83" s="17"/>
      <c r="AB83" s="17"/>
      <c r="AC83" s="257">
        <f>SUM(AC64:AC81)</f>
        <v>8.1579275275223591</v>
      </c>
      <c r="AD83" s="258"/>
      <c r="AE83" s="17"/>
      <c r="AF83" s="257">
        <f>SUM(AF64:AF81)</f>
        <v>0.60262040816326534</v>
      </c>
      <c r="AG83" s="17"/>
      <c r="AH83" s="257">
        <f>SUM(AH64:AH81)</f>
        <v>7.1908571428571424</v>
      </c>
      <c r="AI83" s="257">
        <f>SUM(AI64:AI81)</f>
        <v>0.71908571428571433</v>
      </c>
      <c r="AJ83" s="257"/>
      <c r="AK83" s="17"/>
      <c r="AL83" s="259">
        <f>SUM(AL64:AL81)</f>
        <v>0.2491836734693878</v>
      </c>
      <c r="AM83" s="257">
        <f>SUM(AM64:AM81)</f>
        <v>3.6206387755102045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E9" sqref="E9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1216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5.0999999999999996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1232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70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383.52079254663408</v>
      </c>
      <c r="C4" s="121">
        <f>SummaryReport_Verification!B32</f>
        <v>5.4788684649519155</v>
      </c>
      <c r="D4" s="121">
        <f>SummaryReport_Verification!B28</f>
        <v>15.479207453365916</v>
      </c>
      <c r="E4" s="121">
        <f>SummaryReport_Verification!B29</f>
        <v>77.833186408971727</v>
      </c>
      <c r="F4" s="121">
        <f>SummaryReport_Verification!B30</f>
        <v>461.35397895560584</v>
      </c>
      <c r="G4" s="121">
        <f>SummaryReport_Verification!B31</f>
        <v>-62.353978955605839</v>
      </c>
      <c r="H4" s="121">
        <f>SummaryReport_Verification!B33</f>
        <v>6.5907711279372263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383.52079254663408</v>
      </c>
      <c r="C9" s="122">
        <f t="shared" si="0"/>
        <v>5.4788684649519155</v>
      </c>
      <c r="D9" s="122">
        <f t="shared" si="0"/>
        <v>15.479207453365916</v>
      </c>
      <c r="E9" s="122">
        <f t="shared" si="0"/>
        <v>77.833186408971727</v>
      </c>
      <c r="F9" s="122">
        <f t="shared" si="0"/>
        <v>461.35397895560584</v>
      </c>
      <c r="G9" s="122">
        <f t="shared" si="0"/>
        <v>-62.353978955605839</v>
      </c>
      <c r="H9" s="122">
        <f t="shared" si="0"/>
        <v>6.5907711279372263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70</v>
      </c>
      <c r="C4" s="113"/>
      <c r="D4" s="113"/>
      <c r="E4" s="113"/>
      <c r="F4" s="113"/>
      <c r="G4" s="163">
        <f>AVERAGE(B4:F4)</f>
        <v>70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5.7</v>
      </c>
      <c r="C5" s="96"/>
      <c r="D5" s="96"/>
      <c r="E5" s="96"/>
      <c r="F5" s="96"/>
      <c r="G5" s="96">
        <f>AVERAGE(B5:F5)</f>
        <v>5.7</v>
      </c>
    </row>
    <row r="6" spans="1:8" ht="13.5" x14ac:dyDescent="0.35">
      <c r="A6" s="107" t="s">
        <v>231</v>
      </c>
      <c r="B6" s="114">
        <f>Budget!F3</f>
        <v>399</v>
      </c>
      <c r="C6" s="114"/>
      <c r="D6" s="114"/>
      <c r="E6" s="114"/>
      <c r="F6" s="114"/>
      <c r="G6" s="114">
        <f>AVERAGE(B6:F6)</f>
        <v>399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40</v>
      </c>
      <c r="C9" s="96"/>
      <c r="D9" s="96"/>
      <c r="E9" s="96"/>
      <c r="F9" s="96"/>
      <c r="G9" s="96">
        <f t="shared" ref="G9:G28" si="0">AVERAGE(B9:F9)</f>
        <v>40</v>
      </c>
      <c r="H9" s="1899">
        <f>G9/G$23</f>
        <v>0.11441998608569244</v>
      </c>
    </row>
    <row r="10" spans="1:8" ht="13.9" x14ac:dyDescent="0.4">
      <c r="A10" s="91" t="s">
        <v>224</v>
      </c>
      <c r="B10" s="96">
        <f>SUM(Budget!F7:F13)</f>
        <v>137.75</v>
      </c>
      <c r="C10" s="96"/>
      <c r="D10" s="96"/>
      <c r="E10" s="96"/>
      <c r="F10" s="96"/>
      <c r="G10" s="96">
        <f t="shared" si="0"/>
        <v>137.75</v>
      </c>
      <c r="H10" s="1899">
        <f>G10/G$23</f>
        <v>0.39403382708260337</v>
      </c>
    </row>
    <row r="11" spans="1:8" ht="13.9" x14ac:dyDescent="0.4">
      <c r="A11" s="91" t="str">
        <f>Budget!A14</f>
        <v>Herbicide</v>
      </c>
      <c r="B11" s="96">
        <f>Budget!F14</f>
        <v>46.259062499999999</v>
      </c>
      <c r="C11" s="96"/>
      <c r="D11" s="96"/>
      <c r="E11" s="96"/>
      <c r="F11" s="96"/>
      <c r="G11" s="96">
        <f t="shared" si="0"/>
        <v>46.259062499999999</v>
      </c>
      <c r="H11" s="1899">
        <f>SUM(G11:G14)/$G$23</f>
        <v>0.1423357809721775</v>
      </c>
    </row>
    <row r="12" spans="1:8" ht="15" customHeight="1" x14ac:dyDescent="0.4">
      <c r="A12" s="91" t="str">
        <f>Budget!A15</f>
        <v>Insecticide</v>
      </c>
      <c r="B12" s="96">
        <f>Budget!F15</f>
        <v>0</v>
      </c>
      <c r="C12" s="96"/>
      <c r="D12" s="96"/>
      <c r="E12" s="96"/>
      <c r="F12" s="96"/>
      <c r="G12" s="96">
        <f t="shared" si="0"/>
        <v>0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3.5</v>
      </c>
      <c r="C13" s="96"/>
      <c r="D13" s="96"/>
      <c r="E13" s="96"/>
      <c r="F13" s="96"/>
      <c r="G13" s="96">
        <f t="shared" si="0"/>
        <v>3.5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54</v>
      </c>
      <c r="C15" s="96"/>
      <c r="D15" s="96"/>
      <c r="E15" s="96"/>
      <c r="F15" s="96"/>
      <c r="G15" s="96">
        <f t="shared" si="0"/>
        <v>54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13.416336924524085</v>
      </c>
      <c r="C17" s="96"/>
      <c r="D17" s="96"/>
      <c r="E17" s="96"/>
      <c r="F17" s="96"/>
      <c r="G17" s="96">
        <f t="shared" si="0"/>
        <v>13.416336924524085</v>
      </c>
    </row>
    <row r="18" spans="1:7" ht="13.9" x14ac:dyDescent="0.4">
      <c r="A18" s="91" t="s">
        <v>227</v>
      </c>
      <c r="B18" s="96">
        <f>Budget!F29</f>
        <v>0</v>
      </c>
      <c r="C18" s="96"/>
      <c r="D18" s="96"/>
      <c r="E18" s="96"/>
      <c r="F18" s="96"/>
      <c r="G18" s="96">
        <f>AVERAGE(B18:F18)</f>
        <v>0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294.92539942452413</v>
      </c>
      <c r="C19" s="108"/>
      <c r="D19" s="108"/>
      <c r="E19" s="108"/>
      <c r="F19" s="108"/>
      <c r="G19" s="108">
        <f>AVERAGE(B19:F19)</f>
        <v>294.92539942452413</v>
      </c>
    </row>
    <row r="20" spans="1:7" ht="13.9" x14ac:dyDescent="0.4">
      <c r="A20" s="91" t="s">
        <v>780</v>
      </c>
      <c r="B20" s="96">
        <f>SUM(Budget!F34:F36)</f>
        <v>32</v>
      </c>
      <c r="C20" s="108"/>
      <c r="D20" s="108"/>
      <c r="E20" s="108"/>
      <c r="F20" s="108"/>
      <c r="G20" s="96">
        <f t="shared" si="0"/>
        <v>32</v>
      </c>
    </row>
    <row r="21" spans="1:7" ht="15.4" x14ac:dyDescent="0.4">
      <c r="A21" s="91" t="s">
        <v>756</v>
      </c>
      <c r="B21" s="96">
        <f>Budget!F26+Budget!F28+Budget!F30</f>
        <v>15.481131883118428</v>
      </c>
      <c r="C21" s="96"/>
      <c r="D21" s="96"/>
      <c r="E21" s="96"/>
      <c r="F21" s="96"/>
      <c r="G21" s="96">
        <f t="shared" si="0"/>
        <v>15.481131883118428</v>
      </c>
    </row>
    <row r="22" spans="1:7" ht="13.9" x14ac:dyDescent="0.4">
      <c r="A22" s="91" t="s">
        <v>214</v>
      </c>
      <c r="B22" s="96">
        <f>Budget!F33</f>
        <v>7.1827438566005659</v>
      </c>
      <c r="C22" s="96"/>
      <c r="D22" s="96"/>
      <c r="E22" s="96"/>
      <c r="F22" s="96"/>
      <c r="G22" s="96">
        <f t="shared" si="0"/>
        <v>7.1827438566005659</v>
      </c>
    </row>
    <row r="23" spans="1:7" ht="13.9" x14ac:dyDescent="0.4">
      <c r="A23" s="107" t="s">
        <v>641</v>
      </c>
      <c r="B23" s="108">
        <f>SUM(Budget!F6:F18)+SUM(Budget!F20:F23)+SUM(Budget!F25:F36)</f>
        <v>349.58927516424308</v>
      </c>
      <c r="C23" s="96"/>
      <c r="D23" s="96"/>
      <c r="E23" s="96"/>
      <c r="F23" s="96"/>
      <c r="G23" s="108">
        <f t="shared" si="0"/>
        <v>349.58927516424308</v>
      </c>
    </row>
    <row r="24" spans="1:7" ht="13.9" x14ac:dyDescent="0.4">
      <c r="A24" s="91" t="s">
        <v>28</v>
      </c>
      <c r="B24" s="96">
        <f>Budget!F37</f>
        <v>15.73151738239094</v>
      </c>
      <c r="C24" s="96"/>
      <c r="D24" s="96"/>
      <c r="E24" s="96"/>
      <c r="F24" s="96"/>
      <c r="G24" s="96">
        <f t="shared" si="0"/>
        <v>15.73151738239094</v>
      </c>
    </row>
    <row r="25" spans="1:7" ht="15" customHeight="1" x14ac:dyDescent="0.4">
      <c r="A25" s="91" t="s">
        <v>228</v>
      </c>
      <c r="B25" s="96">
        <f>SUM(Budget!F39:F43)</f>
        <v>18.2</v>
      </c>
      <c r="C25" s="96"/>
      <c r="D25" s="96"/>
      <c r="E25" s="96"/>
      <c r="F25" s="96"/>
      <c r="G25" s="96">
        <f t="shared" si="0"/>
        <v>18.2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383.52079254663408</v>
      </c>
      <c r="C27" s="108"/>
      <c r="D27" s="108"/>
      <c r="E27" s="108"/>
      <c r="F27" s="108"/>
      <c r="G27" s="108">
        <f t="shared" si="0"/>
        <v>383.52079254663408</v>
      </c>
    </row>
    <row r="28" spans="1:7" ht="13.5" x14ac:dyDescent="0.35">
      <c r="A28" s="107" t="s">
        <v>233</v>
      </c>
      <c r="B28" s="114">
        <f>B6-B27</f>
        <v>15.479207453365916</v>
      </c>
      <c r="C28" s="114"/>
      <c r="D28" s="114"/>
      <c r="E28" s="114"/>
      <c r="F28" s="114"/>
      <c r="G28" s="114">
        <f t="shared" si="0"/>
        <v>15.479207453365916</v>
      </c>
    </row>
    <row r="29" spans="1:7" ht="13.9" x14ac:dyDescent="0.4">
      <c r="A29" s="91" t="s">
        <v>230</v>
      </c>
      <c r="B29" s="96">
        <f>Budget!F51</f>
        <v>77.833186408971727</v>
      </c>
      <c r="C29" s="96"/>
      <c r="D29" s="96"/>
      <c r="E29" s="96"/>
      <c r="F29" s="96"/>
      <c r="G29" s="96">
        <f>AVERAGE(B29:F29)</f>
        <v>77.833186408971727</v>
      </c>
    </row>
    <row r="30" spans="1:7" ht="15.4" x14ac:dyDescent="0.35">
      <c r="A30" s="107" t="s">
        <v>755</v>
      </c>
      <c r="B30" s="108">
        <f>B27+B29</f>
        <v>461.35397895560584</v>
      </c>
      <c r="C30" s="108"/>
      <c r="D30" s="108"/>
      <c r="E30" s="108"/>
      <c r="F30" s="108"/>
      <c r="G30" s="108">
        <f>AVERAGE(B30:F30)</f>
        <v>461.35397895560584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-62.353978955605839</v>
      </c>
      <c r="C31" s="114"/>
      <c r="D31" s="114"/>
      <c r="E31" s="114"/>
      <c r="F31" s="114"/>
      <c r="G31" s="114">
        <f>AVERAGE(B31:F31)</f>
        <v>-62.353978955605839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5.4788684649519155</v>
      </c>
      <c r="C32" s="96"/>
      <c r="D32" s="96"/>
      <c r="E32" s="96"/>
      <c r="F32" s="96"/>
      <c r="G32" s="96">
        <f>AVERAGE(B32:F32)</f>
        <v>5.4788684649519155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6.5907711279372263</v>
      </c>
      <c r="C33" s="98"/>
      <c r="D33" s="98"/>
      <c r="E33" s="98"/>
      <c r="F33" s="98"/>
      <c r="G33" s="98">
        <f>AVERAGE(B33:F33)</f>
        <v>6.5907711279372263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30. 2025 Wheat Enterprise Budget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70</v>
      </c>
      <c r="E3" s="307">
        <f>Budget!E3</f>
        <v>5.7</v>
      </c>
      <c r="F3" s="307">
        <f>Budget!F3</f>
        <v>399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100</v>
      </c>
      <c r="E6" s="307">
        <f>Budget!E6</f>
        <v>0.4</v>
      </c>
      <c r="F6" s="307">
        <f>Budget!F6</f>
        <v>40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240</v>
      </c>
      <c r="E7" s="307">
        <f>Budget!E7</f>
        <v>0.25750000000000001</v>
      </c>
      <c r="F7" s="307">
        <f>Budget!F7</f>
        <v>61.800000000000004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110</v>
      </c>
      <c r="E8" s="307">
        <f>Budget!E8</f>
        <v>0.34499999999999997</v>
      </c>
      <c r="F8" s="307">
        <f>Budget!F8</f>
        <v>37.949999999999996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50</v>
      </c>
      <c r="E10" s="307">
        <f>Budget!E10</f>
        <v>0.26</v>
      </c>
      <c r="F10" s="307">
        <f>Budget!F10</f>
        <v>13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5.0999999999999996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46.259062499999999</v>
      </c>
      <c r="F13" s="307">
        <f>Budget!F14</f>
        <v>46.259062499999999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0</v>
      </c>
      <c r="F14" s="307">
        <f>Budget!F15</f>
        <v>0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3.5</v>
      </c>
      <c r="F15" s="307">
        <f>Budget!F16</f>
        <v>3.5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4</v>
      </c>
      <c r="E19" s="307">
        <f>Budget!E20</f>
        <v>8.5</v>
      </c>
      <c r="F19" s="307">
        <f>Budget!F20</f>
        <v>34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1</v>
      </c>
      <c r="E20" s="307">
        <f>Budget!E21</f>
        <v>10</v>
      </c>
      <c r="F20" s="307">
        <f>Budget!F21</f>
        <v>10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100</v>
      </c>
      <c r="E21" s="407">
        <f>Budget!E22</f>
        <v>0.1</v>
      </c>
      <c r="F21" s="307">
        <f>Budget!F22</f>
        <v>10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2.2233856363096223</v>
      </c>
      <c r="E24" s="307">
        <f>Budget!E25</f>
        <v>2.8</v>
      </c>
      <c r="F24" s="307">
        <f>Budget!F25</f>
        <v>6.2254797816669418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6.7205839474328037</v>
      </c>
      <c r="F25" s="307">
        <f>Budget!F26</f>
        <v>6.7205839474328037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2.5681632653061226</v>
      </c>
      <c r="E26" s="307">
        <f>Budget!E27</f>
        <v>2.8</v>
      </c>
      <c r="F26" s="307">
        <f>Budget!F27</f>
        <v>7.1908571428571424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8.760547935685624</v>
      </c>
      <c r="F27" s="307">
        <f>Budget!F28</f>
        <v>8.760547935685624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0</v>
      </c>
      <c r="E28" s="307">
        <f>Budget!E29</f>
        <v>0</v>
      </c>
      <c r="F28" s="307">
        <f>Budget!F29</f>
        <v>0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0</v>
      </c>
      <c r="E29" s="307">
        <f>Budget!E30</f>
        <v>0</v>
      </c>
      <c r="F29" s="307">
        <f>Budget!F30</f>
        <v>0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0.49433887519618486</v>
      </c>
      <c r="E32" s="307">
        <f>Budget!E33</f>
        <v>14.53</v>
      </c>
      <c r="F32" s="307">
        <f>Budget!F33</f>
        <v>7.1827438566005659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5</v>
      </c>
      <c r="F33" s="307">
        <f>Budget!F34</f>
        <v>5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27</v>
      </c>
      <c r="F35" s="307">
        <f>Budget!F36</f>
        <v>27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349.58927516424313</v>
      </c>
      <c r="F36" s="307">
        <f>Budget!F37</f>
        <v>15.73151738239094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70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70</v>
      </c>
      <c r="E40" s="307">
        <f>Budget!E41</f>
        <v>0.25</v>
      </c>
      <c r="F40" s="307">
        <f>Budget!F41</f>
        <v>17.5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70</v>
      </c>
      <c r="E41" s="307">
        <f>Budget!E42</f>
        <v>0.01</v>
      </c>
      <c r="F41" s="307">
        <f>Budget!F42</f>
        <v>0.70000000000000007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383.52079254663408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15.479207453365916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74.126844199020695</v>
      </c>
      <c r="F47" s="311">
        <f>Budget!F48</f>
        <v>74.126844199020695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0</v>
      </c>
      <c r="F48" s="311">
        <f>Budget!F49</f>
        <v>0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3.706342209951035</v>
      </c>
      <c r="F49" s="311">
        <f>Budget!F50</f>
        <v>3.706342209951035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77.833186408971727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461.35397895560584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-62.353978955605839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Wheat</v>
      </c>
      <c r="H1" s="1246"/>
      <c r="I1" s="1442"/>
    </row>
    <row r="2" spans="1:9" ht="15" customHeight="1" x14ac:dyDescent="0.4">
      <c r="A2" s="1807" t="str">
        <f>Print_Summary!G1</f>
        <v>Wheat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500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174794.63758212153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500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70</v>
      </c>
      <c r="C6" s="1821"/>
      <c r="D6" s="1822">
        <f>B6*Print_Summary!$I$2</f>
        <v>35000</v>
      </c>
      <c r="E6" s="1097" t="s">
        <v>799</v>
      </c>
      <c r="F6" s="1541">
        <f>B6*0.9</f>
        <v>63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5.7</v>
      </c>
      <c r="C7" s="1097"/>
      <c r="D7" s="1824">
        <f>B7</f>
        <v>5.7</v>
      </c>
      <c r="E7" s="1097" t="s">
        <v>793</v>
      </c>
      <c r="F7" s="1542">
        <f>B7</f>
        <v>5.7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399</v>
      </c>
      <c r="C9" s="1827"/>
      <c r="D9" s="1828">
        <f>B9*Print_Summary!$I$2</f>
        <v>199500</v>
      </c>
      <c r="E9" s="667" t="s">
        <v>13</v>
      </c>
      <c r="F9" s="1829">
        <f>F6*F7</f>
        <v>359.1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40</v>
      </c>
      <c r="C13" s="1836">
        <f>B13/$B$6</f>
        <v>0.5714285714285714</v>
      </c>
      <c r="D13" s="1822">
        <f>B13*Print_Summary!$I$2</f>
        <v>20000</v>
      </c>
      <c r="E13" s="4"/>
      <c r="F13" s="1825">
        <f>B13/$F$9</f>
        <v>0.11138958507379559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137.75</v>
      </c>
      <c r="C14" s="1836">
        <f t="shared" ref="C14:C34" si="0">B14/$B$6</f>
        <v>1.9678571428571427</v>
      </c>
      <c r="D14" s="1822">
        <f>B14*Print_Summary!$I$2</f>
        <v>68875</v>
      </c>
      <c r="E14" s="4"/>
      <c r="F14" s="1825">
        <f t="shared" ref="F14:F19" si="1">B14/$F$9</f>
        <v>0.38359788359788355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49.759062499999999</v>
      </c>
      <c r="C15" s="1836">
        <f t="shared" si="0"/>
        <v>0.71084375</v>
      </c>
      <c r="D15" s="1822">
        <f>B15*Print_Summary!$I$2</f>
        <v>24879.53125</v>
      </c>
      <c r="E15" s="4"/>
      <c r="F15" s="1825">
        <f t="shared" si="1"/>
        <v>0.13856603313840155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54</v>
      </c>
      <c r="C16" s="1836">
        <f t="shared" si="0"/>
        <v>0.77142857142857146</v>
      </c>
      <c r="D16" s="1822">
        <f>B16*Print_Summary!$I$2</f>
        <v>27000</v>
      </c>
      <c r="E16" s="4"/>
      <c r="F16" s="1825">
        <f t="shared" si="1"/>
        <v>0.15037593984962405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13.416336924524085</v>
      </c>
      <c r="C17" s="1836">
        <f t="shared" si="0"/>
        <v>0.1916619560646298</v>
      </c>
      <c r="D17" s="1822">
        <f>B17*Print_Summary!$I$2</f>
        <v>6708.1684622620423</v>
      </c>
      <c r="E17" s="4"/>
      <c r="F17" s="1825">
        <f t="shared" si="1"/>
        <v>3.7361005080824516E-2</v>
      </c>
    </row>
    <row r="18" spans="1:6" ht="13.9" x14ac:dyDescent="0.4">
      <c r="A18" s="1835" t="s">
        <v>227</v>
      </c>
      <c r="B18" s="1836">
        <f>Budget!F29</f>
        <v>0</v>
      </c>
      <c r="C18" s="1836">
        <f t="shared" si="0"/>
        <v>0</v>
      </c>
      <c r="D18" s="1822">
        <f>B18*Print_Summary!$I$2</f>
        <v>0</v>
      </c>
      <c r="E18" s="4"/>
      <c r="F18" s="1825">
        <f t="shared" si="1"/>
        <v>0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294.92539942452413</v>
      </c>
      <c r="C20" s="1837">
        <f t="shared" si="0"/>
        <v>4.2132199917789164</v>
      </c>
      <c r="D20" s="1828">
        <f>B20*Print_Summary!$I$2</f>
        <v>147462.69971226205</v>
      </c>
      <c r="E20" s="308"/>
      <c r="F20" s="1838">
        <f t="shared" ref="F20:F28" si="2">B20/$F$9</f>
        <v>0.82129044674052942</v>
      </c>
    </row>
    <row r="21" spans="1:6" ht="13.9" x14ac:dyDescent="0.4">
      <c r="A21" s="1835" t="s">
        <v>780</v>
      </c>
      <c r="B21" s="1836">
        <f>Budget!F34+Budget!F35</f>
        <v>5</v>
      </c>
      <c r="C21" s="1836">
        <f t="shared" si="0"/>
        <v>7.1428571428571425E-2</v>
      </c>
      <c r="D21" s="1822">
        <f>B21*Print_Summary!$I$2</f>
        <v>2500</v>
      </c>
      <c r="E21" s="4"/>
      <c r="F21" s="1825">
        <f t="shared" si="2"/>
        <v>1.3923698134224449E-2</v>
      </c>
    </row>
    <row r="22" spans="1:6" ht="13.9" x14ac:dyDescent="0.4">
      <c r="A22" s="1835" t="s">
        <v>1</v>
      </c>
      <c r="B22" s="1836">
        <f>Budget!F36</f>
        <v>27</v>
      </c>
      <c r="C22" s="1836">
        <f t="shared" si="0"/>
        <v>0.38571428571428573</v>
      </c>
      <c r="D22" s="1822">
        <f>B22*Print_Summary!$I$2</f>
        <v>13500</v>
      </c>
      <c r="E22" s="4"/>
      <c r="F22" s="1825">
        <f t="shared" si="2"/>
        <v>7.5187969924812026E-2</v>
      </c>
    </row>
    <row r="23" spans="1:6" ht="13.9" x14ac:dyDescent="0.4">
      <c r="A23" s="1835" t="s">
        <v>751</v>
      </c>
      <c r="B23" s="1836">
        <f>Budget!F26+Budget!F28+Budget!F30</f>
        <v>15.481131883118428</v>
      </c>
      <c r="C23" s="1836">
        <f t="shared" si="0"/>
        <v>0.22115902690169181</v>
      </c>
      <c r="D23" s="1822">
        <f>B23*Print_Summary!$I$2</f>
        <v>7740.5659415592136</v>
      </c>
      <c r="E23" s="4"/>
      <c r="F23" s="1825">
        <f t="shared" si="2"/>
        <v>4.3110921423331734E-2</v>
      </c>
    </row>
    <row r="24" spans="1:6" ht="13.9" x14ac:dyDescent="0.4">
      <c r="A24" s="1835" t="s">
        <v>214</v>
      </c>
      <c r="B24" s="1836">
        <f>Budget!F33</f>
        <v>7.1827438566005659</v>
      </c>
      <c r="C24" s="1836">
        <f t="shared" si="0"/>
        <v>0.10261062652286523</v>
      </c>
      <c r="D24" s="1822">
        <f>B24*Print_Summary!$I$2</f>
        <v>3591.3719283002829</v>
      </c>
      <c r="E24" s="4"/>
      <c r="F24" s="1825">
        <f t="shared" si="2"/>
        <v>2.0002071446952284E-2</v>
      </c>
    </row>
    <row r="25" spans="1:6" ht="13.5" x14ac:dyDescent="0.35">
      <c r="A25" s="1826" t="s">
        <v>641</v>
      </c>
      <c r="B25" s="1837">
        <f>SUM(Budget!F6:F18)+SUM(Budget!F20:F23)+SUM(Budget!F25:F36)</f>
        <v>349.58927516424308</v>
      </c>
      <c r="C25" s="1837">
        <f t="shared" si="0"/>
        <v>4.9941325023463294</v>
      </c>
      <c r="D25" s="1828">
        <f>B25*Print_Summary!$I$2</f>
        <v>174794.63758212153</v>
      </c>
      <c r="E25" s="308"/>
      <c r="F25" s="1838">
        <f t="shared" si="2"/>
        <v>0.97351510766984972</v>
      </c>
    </row>
    <row r="26" spans="1:6" ht="13.9" x14ac:dyDescent="0.4">
      <c r="A26" s="1835" t="s">
        <v>28</v>
      </c>
      <c r="B26" s="1836">
        <f>Budget!F37</f>
        <v>15.73151738239094</v>
      </c>
      <c r="C26" s="1836">
        <f t="shared" si="0"/>
        <v>0.22473596260558487</v>
      </c>
      <c r="D26" s="1822">
        <f>B26*Print_Summary!$I$2</f>
        <v>7865.7586911954704</v>
      </c>
      <c r="E26" s="4"/>
      <c r="F26" s="1825">
        <f t="shared" si="2"/>
        <v>4.3808179845143243E-2</v>
      </c>
    </row>
    <row r="27" spans="1:6" ht="13.9" x14ac:dyDescent="0.4">
      <c r="A27" s="1835" t="s">
        <v>228</v>
      </c>
      <c r="B27" s="1836">
        <f>SUM(Budget!F39:F43)</f>
        <v>18.2</v>
      </c>
      <c r="C27" s="1836">
        <f t="shared" si="0"/>
        <v>0.26</v>
      </c>
      <c r="D27" s="1822">
        <f>B27*Print_Summary!$I$2</f>
        <v>9100</v>
      </c>
      <c r="E27" s="4"/>
      <c r="F27" s="1825">
        <f t="shared" si="2"/>
        <v>5.0682261208576995E-2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383.52079254663408</v>
      </c>
      <c r="C29" s="1837">
        <f t="shared" si="0"/>
        <v>5.4788684649519155</v>
      </c>
      <c r="D29" s="1828">
        <f>B29*Print_Summary!$I$2</f>
        <v>191760.39627331705</v>
      </c>
      <c r="E29" s="308"/>
      <c r="F29" s="1825"/>
    </row>
    <row r="30" spans="1:6" ht="13.5" x14ac:dyDescent="0.35">
      <c r="A30" s="1826" t="s">
        <v>233</v>
      </c>
      <c r="B30" s="1827">
        <f>B9-B29-B31</f>
        <v>15.479207453365916</v>
      </c>
      <c r="C30" s="1827">
        <f t="shared" si="0"/>
        <v>0.22113153504808453</v>
      </c>
      <c r="D30" s="1828">
        <f>B30*Print_Summary!$I$2</f>
        <v>7739.603726682958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77.833186408971727</v>
      </c>
      <c r="C32" s="1836">
        <f t="shared" si="0"/>
        <v>1.1119026629853104</v>
      </c>
      <c r="D32" s="1822">
        <f>B32*Print_Summary!$I$2</f>
        <v>38916.593204485864</v>
      </c>
      <c r="E32" s="4"/>
      <c r="F32" s="1825">
        <f>B32/$F$9</f>
        <v>0.21674515847666867</v>
      </c>
    </row>
    <row r="33" spans="1:6" ht="13.5" x14ac:dyDescent="0.35">
      <c r="A33" s="1826" t="s">
        <v>651</v>
      </c>
      <c r="B33" s="1837">
        <f>B29+B32</f>
        <v>461.35397895560584</v>
      </c>
      <c r="C33" s="1837">
        <f t="shared" si="0"/>
        <v>6.5907711279372263</v>
      </c>
      <c r="D33" s="1828">
        <f>B33*Print_Summary!$I$2</f>
        <v>230676.98947780291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-62.353978955605839</v>
      </c>
      <c r="C34" s="1827">
        <f t="shared" si="0"/>
        <v>-0.89077112793722624</v>
      </c>
      <c r="D34" s="1828">
        <f>B34*Print_Summary!$I$2</f>
        <v>-31176.989477802919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5.4788684649519155</v>
      </c>
      <c r="C36" s="1097"/>
      <c r="D36" s="1824">
        <f>D29/D6</f>
        <v>5.4788684649519155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6.5907711279372263</v>
      </c>
      <c r="C37" s="1097"/>
      <c r="D37" s="1824">
        <f>D33/D6</f>
        <v>6.5907711279372263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5.2499999999999998E-2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70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70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70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70</v>
      </c>
      <c r="J30" s="900"/>
    </row>
    <row r="31" spans="2:10" ht="12.75" customHeight="1" x14ac:dyDescent="0.4">
      <c r="B31" s="901">
        <f>IF(A2_Budget_Look_Up!B13&gt;0,Budget!D3*Budget!B41,I31)</f>
        <v>70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70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0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0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0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0</v>
      </c>
      <c r="I6" s="284"/>
      <c r="J6" s="301"/>
      <c r="K6" s="820">
        <f>((B6*M6)/G6)*Irrigation!L6</f>
        <v>0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0</v>
      </c>
      <c r="I10" s="292"/>
      <c r="J10" s="842"/>
      <c r="K10" s="829">
        <f>SUM(K4:K9)</f>
        <v>0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0</v>
      </c>
      <c r="C21" s="694">
        <f t="shared" si="1"/>
        <v>0</v>
      </c>
      <c r="D21" s="694">
        <f t="shared" si="1"/>
        <v>0</v>
      </c>
      <c r="E21" s="694">
        <f t="shared" si="1"/>
        <v>0</v>
      </c>
      <c r="F21" s="694">
        <f t="shared" si="1"/>
        <v>0</v>
      </c>
      <c r="G21" s="694">
        <f t="shared" si="1"/>
        <v>0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0</v>
      </c>
      <c r="C26" s="696">
        <f>C22*((0.11345/(C23*C24*C25))*C21)</f>
        <v>0</v>
      </c>
      <c r="D26" s="696">
        <f>D22*((0.11345/(D23*D24))*D21)</f>
        <v>0</v>
      </c>
      <c r="E26" s="696">
        <f>E22*((0.11345/(E23*E24*E25))*E21)</f>
        <v>0</v>
      </c>
      <c r="F26" s="696">
        <f>F22*((0.11345/(F23*F24*F25))*F21)</f>
        <v>0</v>
      </c>
      <c r="G26" s="696">
        <f>G22*((0.11345/(G23*G24*G25))*G21)</f>
        <v>0</v>
      </c>
      <c r="H26" s="697" t="s">
        <v>110</v>
      </c>
      <c r="I26" s="387">
        <f>SUM(B34:G34)</f>
        <v>0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0</v>
      </c>
      <c r="L26" s="957">
        <f>K26/IF(Irrigation!B2=2,Irrigation!I15,Irrigation!I14)</f>
        <v>0</v>
      </c>
      <c r="M26" s="301"/>
    </row>
    <row r="27" spans="1:13" x14ac:dyDescent="0.35">
      <c r="A27" s="706" t="s">
        <v>109</v>
      </c>
      <c r="B27" s="695">
        <f>B26*Budget!D29</f>
        <v>0</v>
      </c>
      <c r="C27" s="696">
        <f>C26*Budget!D29</f>
        <v>0</v>
      </c>
      <c r="D27" s="696">
        <f>D26*Budget!D29</f>
        <v>0</v>
      </c>
      <c r="E27" s="696">
        <f>E26*Budget!D29</f>
        <v>0</v>
      </c>
      <c r="F27" s="696">
        <f>F26*Budget!D29</f>
        <v>0</v>
      </c>
      <c r="G27" s="696">
        <f>G26*Budget!D29</f>
        <v>0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</v>
      </c>
      <c r="C29" s="288">
        <f t="shared" si="2"/>
        <v>0</v>
      </c>
      <c r="D29" s="288">
        <f t="shared" si="2"/>
        <v>0</v>
      </c>
      <c r="E29" s="288">
        <f t="shared" si="2"/>
        <v>0</v>
      </c>
      <c r="F29" s="288">
        <f t="shared" si="2"/>
        <v>0</v>
      </c>
      <c r="G29" s="709">
        <f t="shared" si="2"/>
        <v>0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0</v>
      </c>
      <c r="C30" s="698">
        <f>(1+C28)*C26</f>
        <v>0</v>
      </c>
      <c r="D30" s="698">
        <f>(1+D28)*D26</f>
        <v>0</v>
      </c>
      <c r="E30" s="698">
        <f>(1+E28)*E26</f>
        <v>0</v>
      </c>
      <c r="F30" s="698">
        <f>(1+F28)*F26</f>
        <v>0</v>
      </c>
      <c r="G30" s="698">
        <f>(1+G28)*G26</f>
        <v>0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0</v>
      </c>
      <c r="C31" s="699">
        <f t="shared" si="3"/>
        <v>0</v>
      </c>
      <c r="D31" s="699">
        <f t="shared" si="3"/>
        <v>0</v>
      </c>
      <c r="E31" s="699">
        <f t="shared" si="3"/>
        <v>0</v>
      </c>
      <c r="F31" s="699">
        <f t="shared" si="3"/>
        <v>0</v>
      </c>
      <c r="G31" s="712">
        <f t="shared" si="3"/>
        <v>0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0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0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0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0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0</v>
      </c>
    </row>
    <row r="41" spans="1:13" ht="13.5" thickBot="1" x14ac:dyDescent="0.45">
      <c r="A41" s="304"/>
      <c r="B41" s="305">
        <f>SUM(B39:B40)</f>
        <v>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0</v>
      </c>
      <c r="C64" s="694">
        <f t="shared" si="5"/>
        <v>0</v>
      </c>
      <c r="D64" s="694">
        <f t="shared" si="5"/>
        <v>0</v>
      </c>
      <c r="E64" s="694">
        <f t="shared" si="5"/>
        <v>0</v>
      </c>
      <c r="F64" s="694">
        <f t="shared" si="5"/>
        <v>0</v>
      </c>
      <c r="G64" s="694">
        <f t="shared" si="5"/>
        <v>0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0</v>
      </c>
      <c r="C69" s="696">
        <f>C65*((0.11345/(C66*C67*C68))*C64)</f>
        <v>0</v>
      </c>
      <c r="D69" s="696">
        <f>D65*((0.11345/(D66*D67))*D64)</f>
        <v>0</v>
      </c>
      <c r="E69" s="696">
        <f>E65*((0.11345/(E66*E67*E68))*E64)</f>
        <v>0</v>
      </c>
      <c r="F69" s="696">
        <f>F65*((0.11345/(F66*F67*F68))*F64)</f>
        <v>0</v>
      </c>
      <c r="G69" s="696">
        <f>G65*((0.11345/(G66*G67*G68))*G64)</f>
        <v>0</v>
      </c>
      <c r="H69" s="697" t="s">
        <v>110</v>
      </c>
      <c r="I69" s="387">
        <f>SUM(B77:G77)</f>
        <v>0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0</v>
      </c>
      <c r="C70" s="696">
        <f>C69*Budget!D29</f>
        <v>0</v>
      </c>
      <c r="D70" s="696">
        <f>D69*Budget!D29</f>
        <v>0</v>
      </c>
      <c r="E70" s="696">
        <f>E69*Budget!D29</f>
        <v>0</v>
      </c>
      <c r="F70" s="696">
        <f>F69*Budget!D29</f>
        <v>0</v>
      </c>
      <c r="G70" s="696">
        <f>G69*Budget!D29</f>
        <v>0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0</v>
      </c>
      <c r="C73" s="698">
        <f>(1+C71)*C69</f>
        <v>0</v>
      </c>
      <c r="D73" s="698">
        <f>(1+D71)*D69</f>
        <v>0</v>
      </c>
      <c r="E73" s="698">
        <f>(1+E71)*E69</f>
        <v>0</v>
      </c>
      <c r="F73" s="698">
        <f>(1+F71)*F69</f>
        <v>0</v>
      </c>
      <c r="G73" s="698">
        <f>(1+G71)*G69</f>
        <v>0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0</v>
      </c>
      <c r="C74" s="699">
        <f t="shared" si="7"/>
        <v>0</v>
      </c>
      <c r="D74" s="699">
        <f t="shared" si="7"/>
        <v>0</v>
      </c>
      <c r="E74" s="699">
        <f t="shared" si="7"/>
        <v>0</v>
      </c>
      <c r="F74" s="699">
        <f t="shared" si="7"/>
        <v>0</v>
      </c>
      <c r="G74" s="712">
        <f t="shared" si="7"/>
        <v>0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0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0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0</v>
      </c>
    </row>
    <row r="84" spans="1:13" ht="13.5" thickBot="1" x14ac:dyDescent="0.45">
      <c r="A84" s="304"/>
      <c r="B84" s="305">
        <f>SUM(B82:B83)</f>
        <v>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Wheat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500</v>
      </c>
      <c r="D5" s="1844"/>
      <c r="E5" s="468">
        <f t="shared" ref="E5:F7" si="0">B5</f>
        <v>1</v>
      </c>
      <c r="F5" s="1845">
        <f t="shared" si="0"/>
        <v>500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70</v>
      </c>
      <c r="C6" s="1823">
        <f>B6*Print_Summary!$I$2</f>
        <v>35000</v>
      </c>
      <c r="D6" s="1846"/>
      <c r="E6" s="1096">
        <f t="shared" si="0"/>
        <v>70</v>
      </c>
      <c r="F6" s="1822">
        <f t="shared" si="0"/>
        <v>35000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5.7</v>
      </c>
      <c r="C7" s="1097">
        <f>B7</f>
        <v>5.7</v>
      </c>
      <c r="D7" s="1847"/>
      <c r="E7" s="1097">
        <f t="shared" si="0"/>
        <v>5.7</v>
      </c>
      <c r="F7" s="1848">
        <f t="shared" si="0"/>
        <v>5.7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399</v>
      </c>
      <c r="C9" s="1830">
        <f>B9*Print_Summary!$I$2</f>
        <v>199500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40</v>
      </c>
      <c r="C13" s="1823">
        <f>B13*Print_Summary!$I$2</f>
        <v>20000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-80.175000000000011</v>
      </c>
    </row>
    <row r="14" spans="1:9" ht="13.9" x14ac:dyDescent="0.4">
      <c r="A14" s="1835" t="s">
        <v>224</v>
      </c>
      <c r="B14" s="1836">
        <f>SUM(Budget!F7:F13)</f>
        <v>137.75</v>
      </c>
      <c r="C14" s="1823">
        <f>B14*Print_Summary!$I$2</f>
        <v>68875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46.961200000000005</v>
      </c>
    </row>
    <row r="15" spans="1:9" ht="13.9" x14ac:dyDescent="0.4">
      <c r="A15" s="1835" t="s">
        <v>495</v>
      </c>
      <c r="B15" s="1836">
        <f>SUM(Budget!F14:F18)</f>
        <v>49.759062499999999</v>
      </c>
      <c r="C15" s="1823">
        <f>B15*Print_Summary!$I$2</f>
        <v>24879.53125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-159.29343749999998</v>
      </c>
    </row>
    <row r="16" spans="1:9" ht="13.9" x14ac:dyDescent="0.4">
      <c r="A16" s="1835" t="s">
        <v>225</v>
      </c>
      <c r="B16" s="1836">
        <f>SUM(Budget!F20:F23)</f>
        <v>54</v>
      </c>
      <c r="C16" s="1823">
        <f>B16*Print_Summary!$I$2</f>
        <v>27000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40</v>
      </c>
    </row>
    <row r="17" spans="1:9" ht="13.9" x14ac:dyDescent="0.4">
      <c r="A17" s="1835" t="s">
        <v>463</v>
      </c>
      <c r="B17" s="1836">
        <f>Budget!F25+Budget!F27</f>
        <v>13.416336924524085</v>
      </c>
      <c r="C17" s="1823">
        <f>B17*Print_Summary!$I$2</f>
        <v>6708.1684622620423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-14.650526824372935</v>
      </c>
    </row>
    <row r="18" spans="1:9" ht="13.9" x14ac:dyDescent="0.4">
      <c r="A18" s="1835" t="s">
        <v>227</v>
      </c>
      <c r="B18" s="1836">
        <f>Budget!F29</f>
        <v>0</v>
      </c>
      <c r="C18" s="1823">
        <f>B18*Print_Summary!$I$2</f>
        <v>0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-35.150460872180453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294.92539942452413</v>
      </c>
      <c r="C20" s="1828">
        <f>B20*Print_Summary!$I$2</f>
        <v>147462.69971226205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-205.75822519655333</v>
      </c>
    </row>
    <row r="21" spans="1:9" ht="13.9" x14ac:dyDescent="0.4">
      <c r="A21" s="1835" t="s">
        <v>780</v>
      </c>
      <c r="B21" s="1836">
        <f>Budget!F34+Budget!F35</f>
        <v>5</v>
      </c>
      <c r="C21" s="1823">
        <f>B21*Print_Summary!$I$2</f>
        <v>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-19</v>
      </c>
    </row>
    <row r="22" spans="1:9" ht="13.9" x14ac:dyDescent="0.4">
      <c r="A22" s="1835" t="s">
        <v>1</v>
      </c>
      <c r="B22" s="1836">
        <f>Budget!F36</f>
        <v>27</v>
      </c>
      <c r="C22" s="1823">
        <f>B22*Print_Summary!$I$2</f>
        <v>13500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27</v>
      </c>
    </row>
    <row r="23" spans="1:9" ht="15.4" x14ac:dyDescent="0.4">
      <c r="A23" s="1835" t="s">
        <v>752</v>
      </c>
      <c r="B23" s="1836">
        <f>Budget!F26+Budget!F28+Budget!F30</f>
        <v>15.481131883118428</v>
      </c>
      <c r="C23" s="1823">
        <f>B23*Print_Summary!$I$2</f>
        <v>7740.5659415592136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-17.543111920935047</v>
      </c>
    </row>
    <row r="24" spans="1:9" ht="15" customHeight="1" x14ac:dyDescent="0.4">
      <c r="A24" s="1835" t="s">
        <v>214</v>
      </c>
      <c r="B24" s="1836">
        <f>Budget!F33</f>
        <v>7.1827438566005659</v>
      </c>
      <c r="C24" s="1823">
        <f>B24*Print_Summary!$I$2</f>
        <v>3591.3719283002829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-16.145101967878421</v>
      </c>
    </row>
    <row r="25" spans="1:9" ht="15" customHeight="1" x14ac:dyDescent="0.4">
      <c r="A25" s="1826" t="s">
        <v>641</v>
      </c>
      <c r="B25" s="1837">
        <f>SUM(Budget!F6:F18)+SUM(Budget!F20:F23)+SUM(Budget!F25:F36)</f>
        <v>349.58927516424308</v>
      </c>
      <c r="C25" s="1830">
        <f>B25*Print_Summary!$I$2</f>
        <v>174794.63758212153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-231.44643908536682</v>
      </c>
    </row>
    <row r="26" spans="1:9" ht="13.9" x14ac:dyDescent="0.4">
      <c r="A26" s="1835" t="s">
        <v>28</v>
      </c>
      <c r="B26" s="1836">
        <f>Budget!F37</f>
        <v>15.73151738239094</v>
      </c>
      <c r="C26" s="1823">
        <f>B26*Print_Summary!$I$2</f>
        <v>7865.7586911954704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1.9319191689627022</v>
      </c>
    </row>
    <row r="27" spans="1:9" ht="13.9" x14ac:dyDescent="0.4">
      <c r="A27" s="1835" t="s">
        <v>228</v>
      </c>
      <c r="B27" s="1836">
        <f>SUM(Budget!F39:F43)</f>
        <v>18.2</v>
      </c>
      <c r="C27" s="1823">
        <f>B27*Print_Summary!$I$2</f>
        <v>9100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-126.58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383.52079254663408</v>
      </c>
      <c r="C29" s="1830">
        <f>B29*Print_Summary!$I$2</f>
        <v>191760.39627331705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-211.31451991640415</v>
      </c>
    </row>
    <row r="30" spans="1:9" ht="13.9" x14ac:dyDescent="0.4">
      <c r="A30" s="1826" t="s">
        <v>233</v>
      </c>
      <c r="B30" s="1827">
        <f>B9-B29-B31</f>
        <v>15.479207453365916</v>
      </c>
      <c r="C30" s="1830">
        <f>B30*Print_Summary!$I$2</f>
        <v>7739.603726682958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-169.68548008359585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77.833186408971727</v>
      </c>
      <c r="C32" s="1823">
        <f>B32*Print_Summary!$I$2</f>
        <v>38916.593204485864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-100.7618035291523</v>
      </c>
    </row>
    <row r="33" spans="1:9" ht="13.9" x14ac:dyDescent="0.4">
      <c r="A33" s="1826" t="s">
        <v>651</v>
      </c>
      <c r="B33" s="1837">
        <f>B29+B32</f>
        <v>461.35397895560584</v>
      </c>
      <c r="C33" s="1830">
        <f>B33*Print_Summary!$I$2</f>
        <v>230676.98947780291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-312.07632344555645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-62.353978955605839</v>
      </c>
      <c r="C34" s="1830">
        <f>B34*Print_Summary!$I$2</f>
        <v>-31176.989477802919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-68.923676554443546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5.4788684649519155</v>
      </c>
      <c r="C36" s="1097">
        <f>C29/C6</f>
        <v>5.4788684649519155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6.5907711279372263</v>
      </c>
      <c r="C37" s="1840">
        <f>C33/C6</f>
        <v>6.5907711279372263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-1.3856439767912409E-2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30. 2025 Wheat Enterprise Budget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70</v>
      </c>
      <c r="E3" s="1258">
        <f>A3_Production_Look_Up!B5</f>
        <v>5.7</v>
      </c>
      <c r="F3" s="9">
        <f>IF('C1_Messages_Indicators'!B3=1,(D3*E3*B3),"Error")</f>
        <v>399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100</v>
      </c>
      <c r="E6" s="10">
        <f>Seed_Chemical!D4</f>
        <v>0.4</v>
      </c>
      <c r="F6" s="9">
        <f t="shared" ref="F6:F11" si="0">D6*E6*B6</f>
        <v>40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240</v>
      </c>
      <c r="E7" s="10">
        <f>Fertilizer!E3</f>
        <v>0.25750000000000001</v>
      </c>
      <c r="F7" s="9">
        <f t="shared" si="0"/>
        <v>61.800000000000004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110</v>
      </c>
      <c r="E8" s="10">
        <f>Fertilizer!E4</f>
        <v>0.34499999999999997</v>
      </c>
      <c r="F8" s="9">
        <f t="shared" si="0"/>
        <v>37.949999999999996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50</v>
      </c>
      <c r="E10" s="10">
        <f>Fertilizer!E6</f>
        <v>0.26</v>
      </c>
      <c r="F10" s="9">
        <f t="shared" si="0"/>
        <v>13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5.0999999999999996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46.259062499999999</v>
      </c>
      <c r="F14" s="9">
        <f t="shared" si="1"/>
        <v>46.259062499999999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0</v>
      </c>
      <c r="F15" s="9">
        <f t="shared" si="1"/>
        <v>0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3.5</v>
      </c>
      <c r="F16" s="9">
        <f t="shared" si="1"/>
        <v>3.5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4</v>
      </c>
      <c r="E20" s="2">
        <v>8.5</v>
      </c>
      <c r="F20" s="9">
        <f>D20*E20*B20</f>
        <v>34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1</v>
      </c>
      <c r="E21" s="2">
        <v>10</v>
      </c>
      <c r="F21" s="9">
        <f>D21*E21*B21</f>
        <v>10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100</v>
      </c>
      <c r="E22" s="2">
        <v>0.1</v>
      </c>
      <c r="F22" s="9">
        <f>FLOOR((D22*E22*B22), 10)</f>
        <v>10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2.2233856363096223</v>
      </c>
      <c r="E25" s="18">
        <f>Irrigation!B14</f>
        <v>2.8</v>
      </c>
      <c r="F25" s="9">
        <f t="shared" ref="F25:F36" si="2">D25*E25*B25</f>
        <v>6.2254797816669418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6.7205839474328037</v>
      </c>
      <c r="F26" s="9">
        <f t="shared" si="2"/>
        <v>6.7205839474328037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2.5681632653061226</v>
      </c>
      <c r="E27" s="18">
        <f>Irrigation!B14</f>
        <v>2.8</v>
      </c>
      <c r="F27" s="9">
        <f t="shared" si="2"/>
        <v>7.1908571428571424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8.760547935685624</v>
      </c>
      <c r="F28" s="9">
        <f t="shared" si="2"/>
        <v>8.760547935685624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0</v>
      </c>
      <c r="E29" s="10">
        <f>'C2_Irrigation_Calculations'!I26*'C1_Messages_Indicators'!B34</f>
        <v>0</v>
      </c>
      <c r="F29" s="9">
        <f t="shared" si="2"/>
        <v>0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0</v>
      </c>
      <c r="E30" s="10">
        <f>IF(D29&gt;0,('C2_Irrigation_Calculations'!I33/D29),0)</f>
        <v>0</v>
      </c>
      <c r="F30" s="9">
        <f>D30*E30</f>
        <v>0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1230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0.49433887519618486</v>
      </c>
      <c r="E33" s="316">
        <v>14.53</v>
      </c>
      <c r="F33" s="9">
        <f t="shared" si="2"/>
        <v>7.1827438566005659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5</v>
      </c>
      <c r="F34" s="9">
        <f t="shared" si="2"/>
        <v>5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27</v>
      </c>
      <c r="F36" s="9">
        <f t="shared" si="2"/>
        <v>27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349.58927516424313</v>
      </c>
      <c r="F37" s="9">
        <f>((D37/100)*Program_Variables!D34)*SUM(F6:F36)*B37</f>
        <v>15.73151738239094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70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70</v>
      </c>
      <c r="E41" s="2">
        <f>A3_Production_Look_Up!B38</f>
        <v>0.25</v>
      </c>
      <c r="F41" s="9">
        <f>D41*E41*B41</f>
        <v>17.5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70</v>
      </c>
      <c r="E42" s="1964">
        <f>A3_Production_Look_Up!B39</f>
        <v>0.01</v>
      </c>
      <c r="F42" s="9">
        <f>D42*E42*B42</f>
        <v>0.70000000000000007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383.52079254663408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15.479207453365916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74.126844199020695</v>
      </c>
      <c r="F48" s="9">
        <f>D48*E48</f>
        <v>74.126844199020695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0</v>
      </c>
      <c r="F49" s="9">
        <f>D49*E49</f>
        <v>0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3.706342209951035</v>
      </c>
      <c r="F50" s="9">
        <f>D50*E50</f>
        <v>3.706342209951035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77.833186408971727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461.35397895560584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-62.353978955605839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E6" sqref="E6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240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110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240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50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5.0999999999999996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110.4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21" workbookViewId="0">
      <selection activeCell="D44" sqref="D44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0.4</v>
      </c>
      <c r="E4" s="1586">
        <f>A3_Production_Look_Up!B45</f>
        <v>100</v>
      </c>
      <c r="F4" s="1587">
        <f>D4*E4</f>
        <v>40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40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Zidua SC</v>
      </c>
      <c r="B12" s="1602" t="str">
        <f>IF(A5_Chem_Look_Up!$F6&gt;0,A5_Chem_Look_Up!B6," ")</f>
        <v/>
      </c>
      <c r="C12" s="1603" t="str">
        <f>IF(A5_Chem_Look_Up!$F6&gt;0,A5_Chem_Look_Up!C6," ")</f>
        <v>oz</v>
      </c>
      <c r="D12" s="1601">
        <f>IF(A5_Chem_Look_Up!$F6&gt;0,A5_Chem_Look_Up!D6,0)</f>
        <v>5.7421875</v>
      </c>
      <c r="E12" s="1586">
        <f>IF(A5_Chem_Look_Up!$F6&gt;0,A5_Chem_Look_Up!E6,0)</f>
        <v>3</v>
      </c>
      <c r="F12" s="1587">
        <f>D12*E12</f>
        <v>17.2265625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Gramoxone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0.234375</v>
      </c>
      <c r="E13" s="1586">
        <f>IF(A5_Chem_Look_Up!$F7&gt;0,A5_Chem_Look_Up!E7,0)</f>
        <v>40</v>
      </c>
      <c r="F13" s="1587">
        <f t="shared" ref="F13:F25" si="0">D13*E13</f>
        <v>9.375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Axial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0.41249999999999998</v>
      </c>
      <c r="E14" s="1586">
        <f>IF(A5_Chem_Look_Up!$F8&gt;0,A5_Chem_Look_Up!E8,0)</f>
        <v>15</v>
      </c>
      <c r="F14" s="1587">
        <f t="shared" si="0"/>
        <v>6.1875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Harmony Extra XP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13.5</v>
      </c>
      <c r="E15" s="1586">
        <f>IF(A5_Chem_Look_Up!$F9&gt;0,A5_Chem_Look_Up!E9,0)</f>
        <v>0.9</v>
      </c>
      <c r="F15" s="1587">
        <f t="shared" si="0"/>
        <v>12.15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Surfactant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0.41249999999999998</v>
      </c>
      <c r="E16" s="1586">
        <f>IF(A5_Chem_Look_Up!$F10&gt;0,A5_Chem_Look_Up!E10,0)</f>
        <v>3.2</v>
      </c>
      <c r="F16" s="1587">
        <f t="shared" si="0"/>
        <v>1.32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46.259062499999999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 xml:space="preserve"> </v>
      </c>
      <c r="B30" s="1602" t="str">
        <f>IF(A5_Chem_Look_Up!$F24&gt;0,A5_Chem_Look_Up!B24," ")</f>
        <v xml:space="preserve"> </v>
      </c>
      <c r="C30" s="1603" t="str">
        <f>IF(A5_Chem_Look_Up!$F24&gt;0,A5_Chem_Look_Up!C24," ")</f>
        <v xml:space="preserve"> </v>
      </c>
      <c r="D30" s="1601">
        <f>IF(A5_Chem_Look_Up!$F24&gt;0,A5_Chem_Look_Up!D24,0)</f>
        <v>0</v>
      </c>
      <c r="E30" s="1586">
        <f>IF(A5_Chem_Look_Up!$F24&gt;0,A5_Chem_Look_Up!E24,0)</f>
        <v>0</v>
      </c>
      <c r="F30" s="1587">
        <f t="shared" ref="F30:F39" si="1">D30*E30</f>
        <v>0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0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Quilt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0.25</v>
      </c>
      <c r="E44" s="1586">
        <f>IF(A5_Chem_Look_Up!$F38&gt;0,A5_Chem_Look_Up!E38,0)</f>
        <v>14</v>
      </c>
      <c r="F44" s="1587">
        <f>D44*E44</f>
        <v>3.5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3.5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3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0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0</v>
      </c>
      <c r="L6" s="1517">
        <f>IF(AND(Budget!$B$3=1,Budget!$E$44=0),1,0)</f>
        <v>1</v>
      </c>
      <c r="M6" s="560">
        <v>1</v>
      </c>
      <c r="N6" s="869">
        <f>'C2_Irrigation_Calculations'!K6*Budget!D$30</f>
        <v>0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0</v>
      </c>
      <c r="L10" s="1384"/>
      <c r="M10" s="1329" t="s">
        <v>768</v>
      </c>
      <c r="N10" s="870">
        <f>SUM(N4:N9)</f>
        <v>0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0</v>
      </c>
      <c r="F38" s="926">
        <f>(SUM(Trips!B30:B31)+SUM(Trips!B33:B37))*IF(B2=2,I15,I14)</f>
        <v>0</v>
      </c>
      <c r="G38" s="927">
        <f t="shared" ref="G38:G43" si="0">SUM(E38:F38)</f>
        <v>0</v>
      </c>
    </row>
    <row r="39" spans="4:7" ht="13.9" x14ac:dyDescent="0.4">
      <c r="D39" s="863" t="s">
        <v>243</v>
      </c>
      <c r="E39" s="926">
        <f>Trips!C76*IF(B2=2,I15,I14)</f>
        <v>0</v>
      </c>
      <c r="F39" s="926">
        <f>(SUM(Trips!C30:C31)+SUM(Trips!C33:C37))*IF(B2=2,I15,I14)</f>
        <v>0</v>
      </c>
      <c r="G39" s="927">
        <f t="shared" si="0"/>
        <v>0</v>
      </c>
    </row>
    <row r="40" spans="4:7" ht="13.9" x14ac:dyDescent="0.4">
      <c r="D40" s="863" t="s">
        <v>616</v>
      </c>
      <c r="E40" s="926">
        <f>Trips!D76*IF(B2=2,I15,I14)</f>
        <v>0</v>
      </c>
      <c r="F40" s="926">
        <f>(SUM(Trips!D30:D31)+SUM(Trips!D33:D37))*IF(B2=2,I15,I14)</f>
        <v>0</v>
      </c>
      <c r="G40" s="927">
        <f t="shared" si="0"/>
        <v>0</v>
      </c>
    </row>
    <row r="41" spans="4:7" ht="13.9" x14ac:dyDescent="0.4">
      <c r="D41" s="863" t="s">
        <v>55</v>
      </c>
      <c r="E41" s="926">
        <f>Trips!E76*IF(B2=2,I15,I14)</f>
        <v>0</v>
      </c>
      <c r="F41" s="926">
        <f>(SUM(Trips!E30:E31)+SUM(Trips!E33:E37))*IF(B2=2,I15,I14)</f>
        <v>0</v>
      </c>
      <c r="G41" s="927">
        <f t="shared" si="0"/>
        <v>0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0</v>
      </c>
      <c r="F44" s="928">
        <f>SUM(F38:F43)</f>
        <v>0</v>
      </c>
      <c r="G44" s="929">
        <f>SUM(G38:G43)</f>
        <v>0</v>
      </c>
    </row>
    <row r="45" spans="4:7" ht="13.9" x14ac:dyDescent="0.4">
      <c r="D45" s="922" t="s">
        <v>631</v>
      </c>
      <c r="E45" s="935">
        <f>IF(B2&lt;3,Budget!D29,0)</f>
        <v>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 t="str">
        <f t="shared" ref="E48:G54" si="1">IF($E$34&gt;0,E38/$E$34," ")</f>
        <v xml:space="preserve"> </v>
      </c>
      <c r="F48" s="82" t="str">
        <f t="shared" si="1"/>
        <v xml:space="preserve"> </v>
      </c>
      <c r="G48" s="934" t="str">
        <f t="shared" si="1"/>
        <v xml:space="preserve"> </v>
      </c>
    </row>
    <row r="49" spans="4:7" ht="13.9" x14ac:dyDescent="0.4">
      <c r="D49" s="863" t="s">
        <v>243</v>
      </c>
      <c r="E49" s="82" t="str">
        <f t="shared" si="1"/>
        <v xml:space="preserve"> </v>
      </c>
      <c r="F49" s="82" t="str">
        <f t="shared" si="1"/>
        <v xml:space="preserve"> </v>
      </c>
      <c r="G49" s="934" t="str">
        <f t="shared" si="1"/>
        <v xml:space="preserve"> </v>
      </c>
    </row>
    <row r="50" spans="4:7" ht="13.9" x14ac:dyDescent="0.4">
      <c r="D50" s="863" t="s">
        <v>616</v>
      </c>
      <c r="E50" s="82" t="str">
        <f t="shared" si="1"/>
        <v xml:space="preserve"> </v>
      </c>
      <c r="F50" s="82" t="str">
        <f t="shared" si="1"/>
        <v xml:space="preserve"> </v>
      </c>
      <c r="G50" s="934" t="str">
        <f t="shared" si="1"/>
        <v xml:space="preserve"> </v>
      </c>
    </row>
    <row r="51" spans="4:7" ht="13.9" x14ac:dyDescent="0.4">
      <c r="D51" s="863" t="s">
        <v>55</v>
      </c>
      <c r="E51" s="82" t="str">
        <f t="shared" si="1"/>
        <v xml:space="preserve"> </v>
      </c>
      <c r="F51" s="82" t="str">
        <f t="shared" si="1"/>
        <v xml:space="preserve"> </v>
      </c>
      <c r="G51" s="934" t="str">
        <f t="shared" si="1"/>
        <v xml:space="preserve"> </v>
      </c>
    </row>
    <row r="52" spans="4:7" ht="13.9" x14ac:dyDescent="0.4">
      <c r="D52" s="863" t="s">
        <v>626</v>
      </c>
      <c r="E52" s="82" t="str">
        <f t="shared" si="1"/>
        <v xml:space="preserve"> </v>
      </c>
      <c r="F52" s="82" t="str">
        <f t="shared" si="1"/>
        <v xml:space="preserve"> </v>
      </c>
      <c r="G52" s="934" t="str">
        <f t="shared" si="1"/>
        <v xml:space="preserve"> </v>
      </c>
    </row>
    <row r="53" spans="4:7" ht="13.9" x14ac:dyDescent="0.4">
      <c r="D53" s="863" t="s">
        <v>492</v>
      </c>
      <c r="E53" s="82" t="str">
        <f t="shared" si="1"/>
        <v xml:space="preserve"> </v>
      </c>
      <c r="F53" s="82" t="str">
        <f t="shared" si="1"/>
        <v xml:space="preserve"> </v>
      </c>
      <c r="G53" s="934" t="str">
        <f t="shared" si="1"/>
        <v xml:space="preserve"> </v>
      </c>
    </row>
    <row r="54" spans="4:7" ht="13.9" thickBot="1" x14ac:dyDescent="0.4">
      <c r="D54" s="504" t="s">
        <v>22</v>
      </c>
      <c r="E54" s="864" t="str">
        <f t="shared" si="1"/>
        <v xml:space="preserve"> </v>
      </c>
      <c r="F54" s="864" t="str">
        <f t="shared" si="1"/>
        <v xml:space="preserve"> </v>
      </c>
      <c r="G54" s="870" t="str">
        <f t="shared" si="1"/>
        <v xml:space="preserve"> </v>
      </c>
    </row>
    <row r="55" spans="4:7" ht="13.9" x14ac:dyDescent="0.4">
      <c r="D55" s="922" t="s">
        <v>632</v>
      </c>
      <c r="E55" s="935">
        <f>E34</f>
        <v>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0</v>
      </c>
      <c r="F58" s="82">
        <f>IF(Budget!$D$29&gt;0,F38/Budget!$D$29,)</f>
        <v>0</v>
      </c>
      <c r="G58" s="934">
        <f>IF(Budget!$D$29&gt;0,G38/Budget!$D$29,)</f>
        <v>0</v>
      </c>
    </row>
    <row r="59" spans="4:7" ht="13.9" x14ac:dyDescent="0.4">
      <c r="D59" s="863" t="s">
        <v>243</v>
      </c>
      <c r="E59" s="82">
        <f>IF(Budget!$D$29&gt;0,E39/Budget!$D$29,)</f>
        <v>0</v>
      </c>
      <c r="F59" s="82">
        <f>IF(Budget!$D$29&gt;0,F39/Budget!$D$29,)</f>
        <v>0</v>
      </c>
      <c r="G59" s="934">
        <f>IF(Budget!$D$29&gt;0,G39/Budget!$D$29,)</f>
        <v>0</v>
      </c>
    </row>
    <row r="60" spans="4:7" ht="13.9" x14ac:dyDescent="0.4">
      <c r="D60" s="863" t="s">
        <v>616</v>
      </c>
      <c r="E60" s="82">
        <f>IF(Budget!$D$29&gt;0,E40/Budget!$D$29,)</f>
        <v>0</v>
      </c>
      <c r="F60" s="82">
        <f>IF(Budget!$D$29&gt;0,F40/Budget!$D$29,)</f>
        <v>0</v>
      </c>
      <c r="G60" s="934">
        <f>IF(Budget!$D$29&gt;0,G40/Budget!$D$29,)</f>
        <v>0</v>
      </c>
    </row>
    <row r="61" spans="4:7" ht="13.9" x14ac:dyDescent="0.4">
      <c r="D61" s="863" t="s">
        <v>55</v>
      </c>
      <c r="E61" s="82">
        <f>IF(Budget!$D$29&gt;0,E41/Budget!$D$29,)</f>
        <v>0</v>
      </c>
      <c r="F61" s="82">
        <f>IF(Budget!$D$29&gt;0,F41/Budget!$D$29,)</f>
        <v>0</v>
      </c>
      <c r="G61" s="934">
        <f>IF(Budget!$D$29&gt;0,G41/Budget!$D$29,)</f>
        <v>0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0</v>
      </c>
      <c r="F64" s="864">
        <f>IF(Budget!$D$29&gt;0,F44/Budget!$D$29,)</f>
        <v>0</v>
      </c>
      <c r="G64" s="870">
        <f>IF(Budget!$D$29&gt;0,G44/Budget!$D$29,)</f>
        <v>0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1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2"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33.066360235199824</v>
      </c>
      <c r="C45" s="77">
        <f>SUM(C4:C44)</f>
        <v>6.7205839474328037</v>
      </c>
      <c r="D45" s="77">
        <f>SUM(D4:D44)</f>
        <v>6.2254797816669418</v>
      </c>
      <c r="E45" s="77">
        <f>SUM(E4:E44)</f>
        <v>3.5621050810903609</v>
      </c>
      <c r="F45" s="77">
        <f>SUM(F4:F44)</f>
        <v>49.574529045389937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28.398951784351915</v>
      </c>
      <c r="C59" s="75">
        <f>Z1_Equipment_Calculations!AC69+Z1_Equipment_Calculations!AF69</f>
        <v>5.3151191496744792</v>
      </c>
      <c r="D59" s="75">
        <f>Z1_Equipment_Calculations!AJ69</f>
        <v>4.4942857142857138</v>
      </c>
      <c r="E59" s="75">
        <f>Z1_Equipment_Calculations!AM69</f>
        <v>1.8103193877551023</v>
      </c>
      <c r="F59" s="75">
        <f t="shared" si="2"/>
        <v>40.018676036067212</v>
      </c>
      <c r="G59" s="74">
        <f>IF(Machine!$B69&gt;0,B59/Machine!$B69," ")</f>
        <v>28.398951784351915</v>
      </c>
      <c r="H59" s="75">
        <f>IF(Machine!$B69&gt;0,C59/Machine!$B69," ")</f>
        <v>5.3151191496744792</v>
      </c>
      <c r="I59" s="75">
        <f>IF(Machine!$B69&gt;0,D59/Machine!$B69," ")</f>
        <v>4.4942857142857138</v>
      </c>
      <c r="J59" s="75">
        <f>IF(Machine!$B69&gt;0,E59/Machine!$B69," ")</f>
        <v>1.8103193877551023</v>
      </c>
      <c r="K59" s="76">
        <f>IF(Machine!$B69&gt;0,F59/Machine!$B69," ")</f>
        <v>40.018676036067212</v>
      </c>
      <c r="L59" s="638">
        <f>Z1_Equipment_Calculations!N69</f>
        <v>8.9090909090909083</v>
      </c>
      <c r="M59" s="639">
        <f>Z1_Equipment_Calculations!O69</f>
        <v>0.11224489795918369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1.9976057455272922</v>
      </c>
      <c r="C63" s="48">
        <f>Z1_Equipment_Calculations!AC73+Z1_Equipment_Calculations!AF73</f>
        <v>1.2232506599167985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3.2208564054440907</v>
      </c>
      <c r="G63" s="62">
        <f>IF(Machine!$B73&gt;0,B63/Machine!$B73," ")</f>
        <v>1.9976057455272922</v>
      </c>
      <c r="H63" s="48">
        <f>IF(Machine!$B73&gt;0,C63/Machine!$B73," ")</f>
        <v>1.2232506599167985</v>
      </c>
      <c r="I63" s="48">
        <f>IF(Machine!$B73&gt;0,D63/Machine!$B73," ")</f>
        <v>0</v>
      </c>
      <c r="J63" s="48">
        <f>IF(Machine!$B73&gt;0,E63/Machine!$B73," ")</f>
        <v>0</v>
      </c>
      <c r="K63" s="53">
        <f>IF(Machine!$B73&gt;0,F63/Machine!$B73," ")</f>
        <v>3.2208564054440907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10.663926433941658</v>
      </c>
      <c r="C64" s="72">
        <f>Z1_Equipment_Calculations!AC74+Z1_Equipment_Calculations!AF74</f>
        <v>2.2221781260943461</v>
      </c>
      <c r="D64" s="72">
        <f>Z1_Equipment_Calculations!AJ74</f>
        <v>2.6965714285714286</v>
      </c>
      <c r="E64" s="72">
        <f>Z1_Equipment_Calculations!AM74</f>
        <v>1.8103193877551023</v>
      </c>
      <c r="F64" s="72">
        <f t="shared" si="2"/>
        <v>17.392995376362531</v>
      </c>
      <c r="G64" s="71">
        <f>IF(Machine!$B74&gt;0,B64/Machine!$B74," ")</f>
        <v>10.663926433941658</v>
      </c>
      <c r="H64" s="72">
        <f>IF(Machine!$B74&gt;0,C64/Machine!$B74," ")</f>
        <v>2.2221781260943461</v>
      </c>
      <c r="I64" s="72">
        <f>IF(Machine!$B74&gt;0,D64/Machine!$B74," ")</f>
        <v>2.6965714285714286</v>
      </c>
      <c r="J64" s="72">
        <f>IF(Machine!$B74&gt;0,E64/Machine!$B74," ")</f>
        <v>1.8103193877551023</v>
      </c>
      <c r="K64" s="73">
        <f>IF(Machine!$B74&gt;0,F64/Machine!$B74," ")</f>
        <v>17.392995376362531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41.060483963820865</v>
      </c>
      <c r="C72" s="77">
        <f>SUM(C54:C71)</f>
        <v>8.760547935685624</v>
      </c>
      <c r="D72" s="77">
        <f>SUM(D54:D71)</f>
        <v>7.1908571428571424</v>
      </c>
      <c r="E72" s="77">
        <f>SUM(E54:E71)</f>
        <v>3.6206387755102045</v>
      </c>
      <c r="F72" s="77">
        <f>SUM(F54:F71)</f>
        <v>60.632527817873836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74.126844199020695</v>
      </c>
      <c r="C74" s="77">
        <f>C45+C51+C72</f>
        <v>15.481131883118428</v>
      </c>
      <c r="D74" s="77">
        <f>D45+D51+D72</f>
        <v>13.416336924524085</v>
      </c>
      <c r="E74" s="77">
        <f>E45+E51+E72</f>
        <v>7.182743856600565</v>
      </c>
      <c r="F74" s="77">
        <f>F45+F51+F72</f>
        <v>110.20705686326377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0</v>
      </c>
      <c r="C76" s="77">
        <f>Budget!F30</f>
        <v>0</v>
      </c>
      <c r="D76" s="77">
        <f>Budget!F29</f>
        <v>0</v>
      </c>
      <c r="E76" s="77">
        <f>'C2_Irrigation_Calculations'!M41*Budget!E33</f>
        <v>0</v>
      </c>
      <c r="F76" s="77">
        <f>SUM(B76:E76)</f>
        <v>0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25.223832427209057</v>
      </c>
      <c r="D59" s="1288">
        <f>SUM(Z2_Machine_Custom_Calculations!W69:Y69)</f>
        <v>3.1751193571428571</v>
      </c>
      <c r="E59" s="1288">
        <f>Z2_Machine_Custom_Calculations!AC69+Z2_Machine_Custom_Calculations!AF69</f>
        <v>5.3151191496744792</v>
      </c>
      <c r="F59" s="1288">
        <f>Z2_Machine_Custom_Calculations!AJ69</f>
        <v>4.4942857142857138</v>
      </c>
      <c r="G59" s="1288">
        <f>Z2_Machine_Custom_Calculations!AM69</f>
        <v>1.8103193877551023</v>
      </c>
      <c r="H59" s="1289">
        <f t="shared" si="10"/>
        <v>40.018676036067212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30.191775057542621</v>
      </c>
      <c r="T60" s="1292">
        <f t="shared" si="18"/>
        <v>3.8004728142857145</v>
      </c>
      <c r="U60" s="1292">
        <f t="shared" si="18"/>
        <v>8.740220997441515</v>
      </c>
      <c r="V60" s="1292">
        <f t="shared" si="18"/>
        <v>4.4942857142857138</v>
      </c>
      <c r="W60" s="1292">
        <f t="shared" si="18"/>
        <v>1.8103193877551023</v>
      </c>
      <c r="X60" s="1292">
        <f t="shared" si="18"/>
        <v>49.037073971310669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27.300921843098806</v>
      </c>
      <c r="T61" s="1292">
        <f t="shared" si="18"/>
        <v>3.4365787063492061</v>
      </c>
      <c r="U61" s="1292">
        <f t="shared" si="18"/>
        <v>6.7471491318451182</v>
      </c>
      <c r="V61" s="1292">
        <f t="shared" si="18"/>
        <v>4.4942857142857138</v>
      </c>
      <c r="W61" s="1292">
        <f t="shared" si="18"/>
        <v>1.8103193877551023</v>
      </c>
      <c r="X61" s="1292">
        <f t="shared" si="18"/>
        <v>43.789254783333945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31.933115773329639</v>
      </c>
      <c r="T62" s="1292">
        <f t="shared" si="18"/>
        <v>4.0196688714285713</v>
      </c>
      <c r="U62" s="1292">
        <f t="shared" si="18"/>
        <v>9.9407721605763513</v>
      </c>
      <c r="V62" s="1292">
        <f t="shared" si="18"/>
        <v>4.4942857142857138</v>
      </c>
      <c r="W62" s="1292">
        <f t="shared" si="18"/>
        <v>1.8103193877551023</v>
      </c>
      <c r="X62" s="1292">
        <f t="shared" si="18"/>
        <v>52.198161907375379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26.998097652328187</v>
      </c>
      <c r="T63" s="1292">
        <f t="shared" si="18"/>
        <v>3.3984598775510202</v>
      </c>
      <c r="U63" s="1292">
        <f t="shared" si="18"/>
        <v>6.5383698095912779</v>
      </c>
      <c r="V63" s="1292">
        <f t="shared" si="18"/>
        <v>4.4942857142857138</v>
      </c>
      <c r="W63" s="1292">
        <f t="shared" si="18"/>
        <v>1.8103193877551023</v>
      </c>
      <c r="X63" s="1292">
        <f t="shared" si="18"/>
        <v>43.239532441511301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9.3418989169348556</v>
      </c>
      <c r="D64" s="1298">
        <f>SUM(Z2_Machine_Custom_Calculations!W74:Y74)</f>
        <v>1.322027517006803</v>
      </c>
      <c r="E64" s="1298">
        <f>Z2_Machine_Custom_Calculations!AC74+Z2_Machine_Custom_Calculations!AF74</f>
        <v>2.2221781260943461</v>
      </c>
      <c r="F64" s="1298">
        <f>Z2_Machine_Custom_Calculations!AJ74</f>
        <v>2.6965714285714286</v>
      </c>
      <c r="G64" s="1298">
        <f>Z2_Machine_Custom_Calculations!AM74</f>
        <v>1.8103193877551023</v>
      </c>
      <c r="H64" s="1299">
        <f t="shared" si="10"/>
        <v>17.392995376362531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9.3418989169348556</v>
      </c>
      <c r="T64" s="1292">
        <f t="shared" si="19"/>
        <v>1.322027517006803</v>
      </c>
      <c r="U64" s="1292">
        <f t="shared" si="19"/>
        <v>2.2221781260943461</v>
      </c>
      <c r="V64" s="1292">
        <f t="shared" si="19"/>
        <v>2.6965714285714286</v>
      </c>
      <c r="W64" s="1292">
        <f t="shared" si="19"/>
        <v>1.8103193877551023</v>
      </c>
      <c r="X64" s="1292">
        <f t="shared" si="19"/>
        <v>17.392995376362531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0</v>
      </c>
      <c r="C7" s="1224">
        <f>Irrigation!F38</f>
        <v>0</v>
      </c>
      <c r="D7" s="1225">
        <f>Irrigation!G38</f>
        <v>0</v>
      </c>
    </row>
    <row r="8" spans="1:4" ht="13.9" x14ac:dyDescent="0.4">
      <c r="A8" s="1222" t="str">
        <f>Irrigation!D39</f>
        <v>Repairs</v>
      </c>
      <c r="B8" s="1224">
        <f>Irrigation!E39</f>
        <v>0</v>
      </c>
      <c r="C8" s="1224">
        <f>Irrigation!F39</f>
        <v>0</v>
      </c>
      <c r="D8" s="1225">
        <f>Irrigation!G39</f>
        <v>0</v>
      </c>
    </row>
    <row r="9" spans="1:4" ht="13.9" x14ac:dyDescent="0.4">
      <c r="A9" s="1222" t="str">
        <f>Irrigation!D40</f>
        <v>Fuel, Energy</v>
      </c>
      <c r="B9" s="1224">
        <f>Irrigation!E40</f>
        <v>0</v>
      </c>
      <c r="C9" s="1224">
        <f>Irrigation!F40</f>
        <v>0</v>
      </c>
      <c r="D9" s="1225">
        <f>Irrigation!G40</f>
        <v>0</v>
      </c>
    </row>
    <row r="10" spans="1:4" ht="13.9" x14ac:dyDescent="0.4">
      <c r="A10" s="1222" t="str">
        <f>Irrigation!D41</f>
        <v>Labor</v>
      </c>
      <c r="B10" s="1224">
        <f>Irrigation!E41</f>
        <v>0</v>
      </c>
      <c r="C10" s="1224">
        <f>Irrigation!F41</f>
        <v>0</v>
      </c>
      <c r="D10" s="1225">
        <f>Irrigation!G41</f>
        <v>0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0</v>
      </c>
      <c r="C13" s="1227">
        <f>Irrigation!F44</f>
        <v>0</v>
      </c>
      <c r="D13" s="1228">
        <f>Irrigation!G44</f>
        <v>0</v>
      </c>
    </row>
    <row r="14" spans="1:4" ht="13.9" x14ac:dyDescent="0.4">
      <c r="A14" s="1219" t="str">
        <f>Irrigation!D45</f>
        <v>Irrigation Expenses per Acre</v>
      </c>
      <c r="B14" s="1229">
        <f>Irrigation!E45</f>
        <v>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 t="str">
        <f>Irrigation!E48</f>
        <v xml:space="preserve"> </v>
      </c>
      <c r="C17" s="1230" t="str">
        <f>Irrigation!F48</f>
        <v xml:space="preserve"> </v>
      </c>
      <c r="D17" s="1231" t="str">
        <f>Irrigation!G48</f>
        <v xml:space="preserve"> </v>
      </c>
    </row>
    <row r="18" spans="1:4" ht="13.9" x14ac:dyDescent="0.4">
      <c r="A18" s="1222" t="str">
        <f>Irrigation!D49</f>
        <v>Repairs</v>
      </c>
      <c r="B18" s="1230" t="str">
        <f>Irrigation!E49</f>
        <v xml:space="preserve"> </v>
      </c>
      <c r="C18" s="1230" t="str">
        <f>Irrigation!F49</f>
        <v xml:space="preserve"> </v>
      </c>
      <c r="D18" s="1231" t="str">
        <f>Irrigation!G49</f>
        <v xml:space="preserve"> </v>
      </c>
    </row>
    <row r="19" spans="1:4" ht="13.9" x14ac:dyDescent="0.4">
      <c r="A19" s="1222" t="str">
        <f>Irrigation!D50</f>
        <v>Fuel, Energy</v>
      </c>
      <c r="B19" s="1230" t="str">
        <f>Irrigation!E50</f>
        <v xml:space="preserve"> </v>
      </c>
      <c r="C19" s="1230" t="str">
        <f>Irrigation!F50</f>
        <v xml:space="preserve"> </v>
      </c>
      <c r="D19" s="1231" t="str">
        <f>Irrigation!G50</f>
        <v xml:space="preserve"> </v>
      </c>
    </row>
    <row r="20" spans="1:4" ht="13.9" x14ac:dyDescent="0.4">
      <c r="A20" s="1222" t="str">
        <f>Irrigation!D51</f>
        <v>Labor</v>
      </c>
      <c r="B20" s="1230" t="str">
        <f>Irrigation!E51</f>
        <v xml:space="preserve"> </v>
      </c>
      <c r="C20" s="1230" t="str">
        <f>Irrigation!F51</f>
        <v xml:space="preserve"> </v>
      </c>
      <c r="D20" s="1231" t="str">
        <f>Irrigation!G51</f>
        <v xml:space="preserve"> </v>
      </c>
    </row>
    <row r="21" spans="1:4" ht="13.9" x14ac:dyDescent="0.4">
      <c r="A21" s="1222" t="str">
        <f>Irrigation!D52</f>
        <v>Irrigation Supplies</v>
      </c>
      <c r="B21" s="1230" t="str">
        <f>Irrigation!E52</f>
        <v xml:space="preserve"> </v>
      </c>
      <c r="C21" s="1230" t="str">
        <f>Irrigation!F52</f>
        <v xml:space="preserve"> </v>
      </c>
      <c r="D21" s="1231" t="str">
        <f>Irrigation!G52</f>
        <v xml:space="preserve"> </v>
      </c>
    </row>
    <row r="22" spans="1:4" ht="13.9" x14ac:dyDescent="0.4">
      <c r="A22" s="1222" t="str">
        <f>Irrigation!D53</f>
        <v>Miscellaneous Overhead</v>
      </c>
      <c r="B22" s="1230" t="str">
        <f>Irrigation!E53</f>
        <v xml:space="preserve"> </v>
      </c>
      <c r="C22" s="1230" t="str">
        <f>Irrigation!F53</f>
        <v xml:space="preserve"> </v>
      </c>
      <c r="D22" s="1231" t="str">
        <f>Irrigation!G53</f>
        <v xml:space="preserve"> </v>
      </c>
    </row>
    <row r="23" spans="1:4" ht="13.9" thickBot="1" x14ac:dyDescent="0.4">
      <c r="A23" s="1226" t="str">
        <f>Irrigation!D54</f>
        <v>Total</v>
      </c>
      <c r="B23" s="1232" t="str">
        <f>Irrigation!E54</f>
        <v xml:space="preserve"> </v>
      </c>
      <c r="C23" s="1232" t="str">
        <f>Irrigation!F54</f>
        <v xml:space="preserve"> </v>
      </c>
      <c r="D23" s="1233" t="str">
        <f>Irrigation!G54</f>
        <v xml:space="preserve"> </v>
      </c>
    </row>
    <row r="24" spans="1:4" ht="13.9" x14ac:dyDescent="0.4">
      <c r="A24" s="1219" t="str">
        <f>Irrigation!D55</f>
        <v>Irrigation Expenses per Inch</v>
      </c>
      <c r="B24" s="1229">
        <f>Irrigation!E55</f>
        <v>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0</v>
      </c>
      <c r="C27" s="1230">
        <f>Irrigation!F58</f>
        <v>0</v>
      </c>
      <c r="D27" s="1231">
        <f>Irrigation!G58</f>
        <v>0</v>
      </c>
    </row>
    <row r="28" spans="1:4" ht="13.9" x14ac:dyDescent="0.4">
      <c r="A28" s="1222" t="str">
        <f>Irrigation!D59</f>
        <v>Repairs</v>
      </c>
      <c r="B28" s="1230">
        <f>Irrigation!E59</f>
        <v>0</v>
      </c>
      <c r="C28" s="1230">
        <f>Irrigation!F59</f>
        <v>0</v>
      </c>
      <c r="D28" s="1231">
        <f>Irrigation!G59</f>
        <v>0</v>
      </c>
    </row>
    <row r="29" spans="1:4" ht="13.9" x14ac:dyDescent="0.4">
      <c r="A29" s="1222" t="str">
        <f>Irrigation!D60</f>
        <v>Fuel, Energy</v>
      </c>
      <c r="B29" s="1230">
        <f>Irrigation!E60</f>
        <v>0</v>
      </c>
      <c r="C29" s="1230">
        <f>Irrigation!F60</f>
        <v>0</v>
      </c>
      <c r="D29" s="1231">
        <f>Irrigation!G60</f>
        <v>0</v>
      </c>
    </row>
    <row r="30" spans="1:4" ht="13.9" x14ac:dyDescent="0.4">
      <c r="A30" s="1222" t="str">
        <f>Irrigation!D61</f>
        <v>Labor</v>
      </c>
      <c r="B30" s="1230">
        <f>Irrigation!E61</f>
        <v>0</v>
      </c>
      <c r="C30" s="1230">
        <f>Irrigation!F61</f>
        <v>0</v>
      </c>
      <c r="D30" s="1231">
        <f>Irrigation!G61</f>
        <v>0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0</v>
      </c>
      <c r="C33" s="1232">
        <f>Irrigation!F64</f>
        <v>0</v>
      </c>
      <c r="D33" s="1233">
        <f>Irrigation!G64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8.9090909090909083</v>
      </c>
      <c r="O69" s="226">
        <f t="shared" si="31"/>
        <v>0.11224489795918369</v>
      </c>
      <c r="P69" s="270"/>
      <c r="Q69" s="20"/>
      <c r="R69" s="339">
        <f>Machine!H69</f>
        <v>325</v>
      </c>
      <c r="S69" s="1197">
        <v>1</v>
      </c>
      <c r="T69" s="89">
        <f t="shared" si="32"/>
        <v>25.223832427209057</v>
      </c>
      <c r="U69" s="269"/>
      <c r="V69" s="269"/>
      <c r="W69" s="1144">
        <f t="shared" si="33"/>
        <v>1.0873696428571429</v>
      </c>
      <c r="X69" s="1144">
        <f t="shared" si="33"/>
        <v>1.0873696428571429</v>
      </c>
      <c r="Y69" s="1144">
        <f t="shared" si="33"/>
        <v>1.0003800714285715</v>
      </c>
      <c r="Z69" s="1136">
        <f t="shared" si="34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5"/>
        <v>14.299999999999999</v>
      </c>
      <c r="AH69" s="89">
        <f t="shared" si="36"/>
        <v>4.4942857142857138</v>
      </c>
      <c r="AI69" s="89">
        <f t="shared" si="37"/>
        <v>0.4494285714285714</v>
      </c>
      <c r="AJ69" s="89">
        <f t="shared" si="38"/>
        <v>4.4942857142857138</v>
      </c>
      <c r="AK69" s="227">
        <f>EquipmentSpecs!L69</f>
        <v>1.1100000000000001</v>
      </c>
      <c r="AL69" s="226">
        <f t="shared" si="39"/>
        <v>0.1245918367346939</v>
      </c>
      <c r="AM69" s="230">
        <f t="shared" si="40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3.5</v>
      </c>
      <c r="M74" s="233">
        <f>EquipmentSpecs!C74</f>
        <v>0.7</v>
      </c>
      <c r="N74" s="235">
        <f t="shared" si="30"/>
        <v>8.9090909090909083</v>
      </c>
      <c r="O74" s="236">
        <f t="shared" si="31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3"/>
        <v>0.45274914965986401</v>
      </c>
      <c r="X74" s="1146">
        <f t="shared" si="33"/>
        <v>0.45274914965986401</v>
      </c>
      <c r="Y74" s="1146">
        <f t="shared" si="33"/>
        <v>0.41652921768707485</v>
      </c>
      <c r="Z74" s="1139">
        <f t="shared" si="34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1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39"/>
        <v>0.1245918367346939</v>
      </c>
      <c r="AM74" s="241">
        <f t="shared" si="40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270.43025453745793</v>
      </c>
      <c r="U83" s="17"/>
      <c r="V83" s="257">
        <f>SUM(V64:V81)</f>
        <v>1344.8588761321616</v>
      </c>
      <c r="W83" s="1147"/>
      <c r="X83" s="1147">
        <f>Z83-(T83+V83)</f>
        <v>221.58717452350766</v>
      </c>
      <c r="Y83" s="1148">
        <f>(Z83-(T83+V83))/(T83+V83)</f>
        <v>0.13718112151949446</v>
      </c>
      <c r="Z83" s="257">
        <f>SUM(Z64:Z81)</f>
        <v>1836.8763051931273</v>
      </c>
      <c r="AA83" s="17"/>
      <c r="AB83" s="17"/>
      <c r="AC83" s="257">
        <f>SUM(AC64:AC81)</f>
        <v>108.95246306125077</v>
      </c>
      <c r="AD83" s="258"/>
      <c r="AE83" s="17"/>
      <c r="AF83" s="257">
        <f>SUM(AF64:AF81)</f>
        <v>134.81868017838934</v>
      </c>
      <c r="AG83" s="17"/>
      <c r="AH83" s="257">
        <f>SUM(AH64:AH81)</f>
        <v>1104.4131984504493</v>
      </c>
      <c r="AI83" s="257">
        <f>SUM(AI64:AI81)</f>
        <v>110.44131984504492</v>
      </c>
      <c r="AJ83" s="257"/>
      <c r="AK83" s="17"/>
      <c r="AL83" s="259">
        <f>SUM(AL64:AL81)</f>
        <v>42.048991475132567</v>
      </c>
      <c r="AM83" s="257">
        <f>SUM(AM64:AM81)</f>
        <v>610.97184613367631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70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70</v>
      </c>
    </row>
    <row r="5" spans="2:14" ht="13.9" x14ac:dyDescent="0.4">
      <c r="B5" s="4" t="s">
        <v>21</v>
      </c>
      <c r="C5" s="1793">
        <f>Print_Budget!E3</f>
        <v>5.7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5.7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399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40</v>
      </c>
      <c r="D9" s="3"/>
      <c r="E9" s="1190"/>
      <c r="F9" s="3"/>
      <c r="G9" s="1185" t="s">
        <v>223</v>
      </c>
      <c r="H9" s="1801">
        <f>C9</f>
        <v>40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137.75</v>
      </c>
      <c r="D10" s="3"/>
      <c r="E10" s="1190"/>
      <c r="F10" s="3"/>
      <c r="G10" s="1185" t="s">
        <v>421</v>
      </c>
      <c r="H10" s="1795">
        <f t="shared" ref="H10:H21" si="0">C10</f>
        <v>137.75</v>
      </c>
      <c r="I10" s="3"/>
      <c r="J10" s="3"/>
      <c r="K10" s="1190"/>
      <c r="L10" s="3"/>
      <c r="M10" s="648" t="s">
        <v>779</v>
      </c>
      <c r="N10" s="1542">
        <f>Print_Summary!B20</f>
        <v>294.92539942452413</v>
      </c>
    </row>
    <row r="11" spans="2:14" ht="13.9" x14ac:dyDescent="0.4">
      <c r="B11" s="1185" t="s">
        <v>495</v>
      </c>
      <c r="C11" s="1795">
        <f>SUM(Print_Budget!F13:F17)</f>
        <v>49.759062499999999</v>
      </c>
      <c r="D11" s="3"/>
      <c r="E11" s="1190"/>
      <c r="F11" s="3"/>
      <c r="G11" s="1185" t="s">
        <v>495</v>
      </c>
      <c r="H11" s="1795">
        <f t="shared" si="0"/>
        <v>49.759062499999999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70.395393122109937</v>
      </c>
    </row>
    <row r="12" spans="2:14" ht="13.9" x14ac:dyDescent="0.4">
      <c r="B12" s="1185" t="s">
        <v>225</v>
      </c>
      <c r="C12" s="1795">
        <f>SUM(Print_Budget!F19:F22)</f>
        <v>54</v>
      </c>
      <c r="D12" s="3"/>
      <c r="E12" s="1190"/>
      <c r="F12" s="3"/>
      <c r="G12" s="1185" t="s">
        <v>225</v>
      </c>
      <c r="H12" s="1795">
        <f t="shared" si="0"/>
        <v>54</v>
      </c>
      <c r="I12" s="3"/>
      <c r="J12" s="3"/>
      <c r="K12" s="1190"/>
      <c r="L12" s="3"/>
      <c r="M12" s="648" t="s">
        <v>168</v>
      </c>
      <c r="N12" s="182">
        <f>SUM(N10:N11)</f>
        <v>365.32079254663404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18.2</v>
      </c>
    </row>
    <row r="14" spans="2:14" ht="13.9" x14ac:dyDescent="0.4">
      <c r="B14" s="1185" t="s">
        <v>781</v>
      </c>
      <c r="C14" s="1795">
        <f>Print_Budget!F24+Print_Budget!F26</f>
        <v>13.416336924524085</v>
      </c>
      <c r="D14" s="3"/>
      <c r="E14" s="1190"/>
      <c r="F14" s="3"/>
      <c r="G14" s="1185" t="s">
        <v>781</v>
      </c>
      <c r="H14" s="1795">
        <f t="shared" si="0"/>
        <v>13.416336924524085</v>
      </c>
      <c r="I14" s="3"/>
      <c r="J14" s="3"/>
      <c r="K14" s="1190"/>
      <c r="L14" s="3"/>
      <c r="M14" s="652" t="s">
        <v>1014</v>
      </c>
      <c r="N14" s="173">
        <f>SUM(N12:N13)-N8</f>
        <v>383.52079254663403</v>
      </c>
    </row>
    <row r="15" spans="2:14" ht="13.9" x14ac:dyDescent="0.4">
      <c r="B15" s="1185" t="s">
        <v>423</v>
      </c>
      <c r="C15" s="1795">
        <f>Print_Budget!F28</f>
        <v>0</v>
      </c>
      <c r="D15" s="3"/>
      <c r="E15" s="1190"/>
      <c r="F15" s="3"/>
      <c r="G15" s="1185" t="s">
        <v>423</v>
      </c>
      <c r="H15" s="1795">
        <f t="shared" si="0"/>
        <v>0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5</v>
      </c>
      <c r="D16" s="3"/>
      <c r="E16" s="1190"/>
      <c r="F16" s="3"/>
      <c r="G16" s="1185" t="s">
        <v>780</v>
      </c>
      <c r="H16" s="1795">
        <f t="shared" si="0"/>
        <v>5</v>
      </c>
      <c r="I16" s="3"/>
      <c r="J16" s="3"/>
      <c r="K16" s="1190"/>
      <c r="L16" s="3"/>
      <c r="M16" s="652" t="s">
        <v>233</v>
      </c>
      <c r="N16" s="173">
        <f>N7-N14-N15</f>
        <v>15.479207453365973</v>
      </c>
    </row>
    <row r="17" spans="2:14" ht="13.9" x14ac:dyDescent="0.4">
      <c r="B17" s="1185" t="s">
        <v>1</v>
      </c>
      <c r="C17" s="1795">
        <f>Print_Budget!F35</f>
        <v>27</v>
      </c>
      <c r="D17" s="3"/>
      <c r="E17" s="1190"/>
      <c r="F17" s="3"/>
      <c r="G17" s="1185" t="s">
        <v>1</v>
      </c>
      <c r="H17" s="1795">
        <f t="shared" si="0"/>
        <v>27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15.481131883118428</v>
      </c>
      <c r="D18" s="3"/>
      <c r="E18" s="1190"/>
      <c r="F18" s="3"/>
      <c r="G18" s="1185" t="s">
        <v>205</v>
      </c>
      <c r="H18" s="1795">
        <f t="shared" si="0"/>
        <v>15.481131883118428</v>
      </c>
      <c r="I18" s="3"/>
      <c r="J18" s="3"/>
      <c r="K18" s="1190"/>
      <c r="L18" s="3"/>
      <c r="M18" s="648" t="s">
        <v>249</v>
      </c>
      <c r="N18" s="1804">
        <f>Print_Summary!B32</f>
        <v>77.833186408971727</v>
      </c>
    </row>
    <row r="19" spans="2:14" ht="13.9" x14ac:dyDescent="0.4">
      <c r="B19" s="1185" t="s">
        <v>214</v>
      </c>
      <c r="C19" s="1795">
        <f>Trips!E45+Trips!E51+Trips!E72+Trips!E76</f>
        <v>7.182743856600565</v>
      </c>
      <c r="D19" s="3"/>
      <c r="E19" s="1190"/>
      <c r="F19" s="3"/>
      <c r="G19" s="1185" t="s">
        <v>214</v>
      </c>
      <c r="H19" s="1795">
        <f t="shared" si="0"/>
        <v>7.182743856600565</v>
      </c>
      <c r="I19" s="3"/>
      <c r="J19" s="3"/>
      <c r="K19" s="1190"/>
      <c r="L19" s="3"/>
      <c r="M19" s="308" t="s">
        <v>651</v>
      </c>
      <c r="N19" s="173">
        <f>N14+N18</f>
        <v>461.35397895560573</v>
      </c>
    </row>
    <row r="20" spans="2:14" ht="13.9" x14ac:dyDescent="0.4">
      <c r="B20" s="1185" t="s">
        <v>28</v>
      </c>
      <c r="C20" s="1795">
        <f>Print_Budget!F36</f>
        <v>15.73151738239094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-62.353978955605726</v>
      </c>
    </row>
    <row r="22" spans="2:14" ht="13.9" x14ac:dyDescent="0.4">
      <c r="B22" s="1185" t="s">
        <v>792</v>
      </c>
      <c r="C22" s="1795">
        <f>Print_Budget!F39+Print_Budget!F40</f>
        <v>17.5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0.70000000000000007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74.126844199020695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74.126844199020695</v>
      </c>
      <c r="D26" s="3"/>
      <c r="E26" s="1190"/>
      <c r="F26" s="3"/>
      <c r="G26" s="648" t="s">
        <v>648</v>
      </c>
      <c r="H26" s="1802">
        <f>C28</f>
        <v>3.706342209951035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0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3.706342209951035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294.92539942452413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349.58927516424313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383.52079254663408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77.833186408971727</v>
      </c>
    </row>
    <row r="34" spans="2:3" ht="13.5" x14ac:dyDescent="0.35">
      <c r="B34" s="308" t="s">
        <v>651</v>
      </c>
      <c r="C34" s="173">
        <f>C32+C33</f>
        <v>461.35397895560584</v>
      </c>
    </row>
    <row r="35" spans="2:3" ht="13.5" x14ac:dyDescent="0.35">
      <c r="B35" s="308" t="s">
        <v>763</v>
      </c>
      <c r="C35" s="173">
        <f>(C4*C5*C6)-C24-C34</f>
        <v>-62.353978955605839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>
        <f>IF(Machine!B73&gt;0,Machine!B73," ")</f>
        <v>1</v>
      </c>
      <c r="E64" s="1525"/>
      <c r="F64" s="1354">
        <f>IF(Machine!$B73&gt;0,E64*Trips!$M$59*$D64," ")</f>
        <v>0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58</v>
      </c>
      <c r="C4" s="182">
        <f>SUM(A5_Chem_Look_Up!G24:G33)+SUM(A5_Chem_Look_Up!G38:G39)</f>
        <v>14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58</v>
      </c>
      <c r="C6" s="182">
        <f>C4+C5</f>
        <v>14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1.7152658662092624</v>
      </c>
      <c r="C7" s="1456">
        <f>C6/$E$6</f>
        <v>0.41402969184361504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11.04631217838765</v>
      </c>
      <c r="C9" s="1459">
        <f>C7*C8</f>
        <v>2.252321523629266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240</v>
      </c>
      <c r="D15" s="1456">
        <f>C15/$B$12</f>
        <v>108.86205136928049</v>
      </c>
      <c r="E15" s="1456">
        <v>1.3</v>
      </c>
      <c r="F15" s="1456">
        <f>D15*E15</f>
        <v>141.52066678006466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110</v>
      </c>
      <c r="D16" s="1456">
        <f>C16/$B$12</f>
        <v>49.89510687758689</v>
      </c>
      <c r="E16" s="1456">
        <v>0.2</v>
      </c>
      <c r="F16" s="1456">
        <f>D16*E16</f>
        <v>9.9790213755173784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158.75715824686742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240</v>
      </c>
      <c r="D22" s="1456">
        <f>C22/$B$12</f>
        <v>108.86205136928049</v>
      </c>
      <c r="E22" s="1456">
        <v>1.27</v>
      </c>
      <c r="F22" s="1459">
        <f>D22*E22</f>
        <v>138.25480523898622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4.7915489016157444</v>
      </c>
      <c r="D28" s="1456">
        <f>C28/$B$25</f>
        <v>18.138126591269803</v>
      </c>
      <c r="E28" s="1456">
        <v>0.84</v>
      </c>
      <c r="F28" s="1456">
        <f>D28*E28</f>
        <v>15.236026336666633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0</v>
      </c>
      <c r="D29" s="1450">
        <f>C29/$B$25</f>
        <v>0</v>
      </c>
      <c r="E29" s="1450">
        <v>0.84</v>
      </c>
      <c r="F29" s="1450">
        <f>D29*E29</f>
        <v>0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15.236026336666633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325.54662352453721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804.4582613914838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341.64144922605885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462.81681216542495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2024-11-07T05:16:10Z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