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"/>
    </mc:Choice>
  </mc:AlternateContent>
  <xr:revisionPtr revIDLastSave="19" documentId="8_{33109347-335C-47AD-AE66-A8C8308E25EF}" xr6:coauthVersionLast="47" xr6:coauthVersionMax="47" xr10:uidLastSave="{21689A92-3A53-421C-AE72-42D5DF43BFE7}"/>
  <bookViews>
    <workbookView xWindow="1943" yWindow="240" windowWidth="17504" windowHeight="13305" firstSheet="22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C1_Messages_Indicators" sheetId="24" state="hidden" r:id="rId19"/>
    <sheet name="C2_Irrigation_Calculations" sheetId="10" state="hidden" r:id="rId20"/>
    <sheet name="Print_Land_Capitalization" sheetId="35" r:id="rId21"/>
    <sheet name="Print_Summary" sheetId="30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0">Print_Land_Capitalization!$A$1:$F$42</definedName>
    <definedName name="_xlnm.Print_Area" localSheetId="28">Print_Machine_Custom_Costs!$A$1:$H$74</definedName>
    <definedName name="_xlnm.Print_Area" localSheetId="21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0">#REF!</definedName>
    <definedName name="Production" localSheetId="28">#REF!</definedName>
    <definedName name="Production" localSheetId="21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0">#REF!</definedName>
    <definedName name="row" localSheetId="28">#REF!</definedName>
    <definedName name="row" localSheetId="21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0">#REF!</definedName>
    <definedName name="same" localSheetId="28">#REF!</definedName>
    <definedName name="same" localSheetId="21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0">#REF!</definedName>
    <definedName name="Technology" localSheetId="28">#REF!</definedName>
    <definedName name="Technology" localSheetId="21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0">#REF!</definedName>
    <definedName name="Tillage" localSheetId="28">#REF!</definedName>
    <definedName name="Tillage" localSheetId="21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CB39" i="32" s="1"/>
  <c r="AB39" i="32"/>
  <c r="CA39" i="32" s="1"/>
  <c r="AA39" i="32"/>
  <c r="BZ39" i="32" s="1"/>
  <c r="Z39" i="32"/>
  <c r="BY39" i="32" s="1"/>
  <c r="AN39" i="32"/>
  <c r="Y39" i="32"/>
  <c r="BX39" i="32" s="1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<sst xmlns="http://schemas.openxmlformats.org/spreadsheetml/2006/main" count="8711" uniqueCount="1245">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</sst>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70</v>
      </c>
      <c r="Q2" s="1177">
        <f>P2</f>
        <v>70</v>
      </c>
      <c r="R2" s="650">
        <v>220</v>
      </c>
      <c r="S2" s="1177">
        <f>IF(Irrigation!$B$2&lt;3,(Q2*$Q$36)+(R2*$R$36),A1_Link!Q2)</f>
        <v>70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70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70</v>
      </c>
      <c r="L3" s="182"/>
      <c r="M3" s="1190"/>
      <c r="N3" s="3"/>
      <c r="O3" s="648" t="s">
        <v>21</v>
      </c>
      <c r="P3" s="1181">
        <f>Budget!E3</f>
        <v>5.5</v>
      </c>
      <c r="Q3" s="1177">
        <f>P3</f>
        <v>5.5</v>
      </c>
      <c r="R3" s="650">
        <v>4</v>
      </c>
      <c r="S3" s="1177">
        <f>IF(Irrigation!$B$2&lt;3,(Q3*$Q$36)+(R3*$R$36),A1_Link!Q3)</f>
        <v>5.5</v>
      </c>
      <c r="T3" s="650"/>
      <c r="U3" s="1190"/>
      <c r="V3" s="3"/>
      <c r="W3" s="3"/>
      <c r="X3" s="648" t="s">
        <v>21</v>
      </c>
      <c r="Y3" s="650">
        <f>Budget!E3</f>
        <v>5.5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19.2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5.5</v>
      </c>
      <c r="D4" s="3"/>
      <c r="E4" s="1190"/>
      <c r="F4" s="4" t="s">
        <v>786</v>
      </c>
      <c r="G4" s="1189">
        <f>C3</f>
        <v>70</v>
      </c>
      <c r="H4" s="3"/>
      <c r="I4" s="1190"/>
      <c r="J4" s="651" t="s">
        <v>493</v>
      </c>
      <c r="K4" s="1245">
        <f>C4</f>
        <v>5.5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 t="str">
        <f>IF(Irrigation!$B$2&lt;3,(IF(A2_Budget_Look_Up!B7&gt;0,Q4,0)*$Q$36)+(IF(A2_Budget_Look_Up!B7&gt;0,R4,0)*$R$36),A1_Link!Q4)</f>
        <v xml:space="preserve"> </v>
      </c>
      <c r="T4" s="650"/>
      <c r="U4" s="1190"/>
      <c r="V4" s="3"/>
      <c r="W4" s="3"/>
      <c r="X4" s="648" t="s">
        <v>15</v>
      </c>
      <c r="Y4" s="650">
        <f>Budget!D3</f>
        <v>70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19.2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5.5</v>
      </c>
      <c r="H6" s="3"/>
      <c r="I6" s="1190"/>
      <c r="J6" s="652" t="s">
        <v>231</v>
      </c>
      <c r="K6" s="173">
        <f>K3*K4*(K5)</f>
        <v>385</v>
      </c>
      <c r="L6" s="182"/>
      <c r="M6" s="1190"/>
      <c r="N6" s="3"/>
      <c r="O6" s="648" t="s">
        <v>481</v>
      </c>
      <c r="P6" s="1181">
        <f>Budget!F6</f>
        <v>38.4</v>
      </c>
      <c r="Q6" s="1177">
        <f t="shared" ref="Q6:Q26" si="0">P6</f>
        <v>38.4</v>
      </c>
      <c r="R6" s="650">
        <v>125.73</v>
      </c>
      <c r="S6" s="1177">
        <f>IF(Irrigation!$B$2&lt;3,(Q6*$Q$36)+(R6*$R$36),A1_Link!Q6)</f>
        <v>38.4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70.208333333333329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70.208333333333329</v>
      </c>
      <c r="Q7" s="1177">
        <f t="shared" si="0"/>
        <v>70.208333333333329</v>
      </c>
      <c r="R7" s="650">
        <v>104.82639999999999</v>
      </c>
      <c r="S7" s="1177">
        <f>IF(Irrigation!$B$2&lt;3,(Q7*$Q$36)+(R7*$R$36),A1_Link!Q7)</f>
        <v>70.208333333333329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364.73656667535158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60.750000000000007</v>
      </c>
      <c r="AI7" s="3"/>
    </row>
    <row r="8" spans="2:35" ht="13.9" x14ac:dyDescent="0.4">
      <c r="B8" s="1185" t="s">
        <v>223</v>
      </c>
      <c r="C8" s="1186">
        <f>Budget!F6</f>
        <v>38.4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60.750000000000007</v>
      </c>
      <c r="Q8" s="1177">
        <f t="shared" si="0"/>
        <v>60.750000000000007</v>
      </c>
      <c r="R8" s="650">
        <v>30</v>
      </c>
      <c r="S8" s="1177">
        <f>IF(Irrigation!$B$2&lt;3,(Q8*$Q$36)+(R8*$R$36),A1_Link!Q8)</f>
        <v>60.750000000000007</v>
      </c>
      <c r="T8" s="650"/>
      <c r="U8" s="1190"/>
      <c r="V8" s="3"/>
      <c r="W8" s="3"/>
      <c r="X8" s="648" t="s">
        <v>1</v>
      </c>
      <c r="Y8" s="650">
        <f>Budget!F36</f>
        <v>27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176.58333333333334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331.00193425630812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22</v>
      </c>
      <c r="T9" s="650"/>
      <c r="U9" s="1190"/>
      <c r="V9" s="3"/>
      <c r="W9" s="3"/>
      <c r="X9" s="648" t="s">
        <v>55</v>
      </c>
      <c r="Y9" s="650">
        <f>Trips!E45+Trips!E51+(Trips!E72*(1-W10))+Trips!E76</f>
        <v>7.3310455191594208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23.625</v>
      </c>
      <c r="AI9" s="3"/>
    </row>
    <row r="10" spans="2:35" ht="13.9" x14ac:dyDescent="0.4">
      <c r="B10" s="1185" t="s">
        <v>494</v>
      </c>
      <c r="C10" s="1186">
        <f>SUM(Budget!F14:F18)</f>
        <v>46.231390625000003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27</v>
      </c>
      <c r="L10" s="182">
        <v>0</v>
      </c>
      <c r="M10" s="1190"/>
      <c r="N10" s="3"/>
      <c r="O10" s="648" t="s">
        <v>484</v>
      </c>
      <c r="P10" s="1181">
        <f>SUM(Budget!F10:F13)</f>
        <v>23.625</v>
      </c>
      <c r="Q10" s="1177">
        <f t="shared" si="0"/>
        <v>23.625</v>
      </c>
      <c r="R10" s="650">
        <v>22.159999999999997</v>
      </c>
      <c r="S10" s="1177">
        <f>IF(Irrigation!$B$2&lt;3,(Q10*$Q$36)+(R10*$R$36),A1_Link!Q10)</f>
        <v>23.625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70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42.731390625000003</v>
      </c>
      <c r="AI10" s="3"/>
    </row>
    <row r="11" spans="2:35" ht="13.9" x14ac:dyDescent="0.4">
      <c r="B11" s="1185" t="s">
        <v>225</v>
      </c>
      <c r="C11" s="1186">
        <f>SUM(Budget!F20:F23)</f>
        <v>58</v>
      </c>
      <c r="D11" s="3"/>
      <c r="E11" s="1190"/>
      <c r="F11" s="1185" t="s">
        <v>223</v>
      </c>
      <c r="G11" s="1186">
        <f>C8</f>
        <v>38.4</v>
      </c>
      <c r="H11" s="3"/>
      <c r="I11" s="1190"/>
      <c r="J11" s="648" t="s">
        <v>789</v>
      </c>
      <c r="K11" s="665">
        <f>K30+SUM(K32:K35)</f>
        <v>47.383359570856044</v>
      </c>
      <c r="L11" s="182">
        <v>58.670258247720405</v>
      </c>
      <c r="M11" s="1190"/>
      <c r="N11" s="3"/>
      <c r="O11" s="648" t="s">
        <v>183</v>
      </c>
      <c r="P11" s="1181">
        <f>Budget!F14</f>
        <v>42.731390625000003</v>
      </c>
      <c r="Q11" s="1177">
        <f t="shared" si="0"/>
        <v>42.731390625000003</v>
      </c>
      <c r="R11" s="650">
        <v>23.8</v>
      </c>
      <c r="S11" s="1177">
        <f>IF(Irrigation!$B$2&lt;3,(Q11*$Q$36)+(R11*$R$36),A1_Link!Q11)</f>
        <v>42.731390625000003</v>
      </c>
      <c r="T11" s="650"/>
      <c r="U11" s="1190"/>
      <c r="V11" s="3"/>
      <c r="W11" s="3"/>
      <c r="X11" s="648" t="s">
        <v>811</v>
      </c>
      <c r="Y11" s="650">
        <f>Budget!F27</f>
        <v>6.31768163265306</v>
      </c>
      <c r="Z11" s="650">
        <f>Budget!D$3</f>
        <v>70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0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176.58333333333334</v>
      </c>
      <c r="H12" s="3"/>
      <c r="I12" s="1190"/>
      <c r="J12" s="648" t="s">
        <v>790</v>
      </c>
      <c r="K12" s="664">
        <f>SUM(K36:K37)</f>
        <v>18.2</v>
      </c>
      <c r="L12" s="182">
        <v>105.03</v>
      </c>
      <c r="M12" s="1190"/>
      <c r="N12" s="3"/>
      <c r="O12" s="648" t="s">
        <v>184</v>
      </c>
      <c r="P12" s="1181">
        <f>Budget!F15</f>
        <v>0</v>
      </c>
      <c r="Q12" s="1177">
        <f t="shared" si="0"/>
        <v>0</v>
      </c>
      <c r="R12" s="650">
        <v>0</v>
      </c>
      <c r="S12" s="1177">
        <f>IF(Irrigation!$B$2&lt;3,(Q12*$Q$36)+(R12*$R$36),A1_Link!Q12)</f>
        <v>0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70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3.5</v>
      </c>
      <c r="AI12" s="3"/>
    </row>
    <row r="13" spans="2:35" ht="13.9" x14ac:dyDescent="0.4">
      <c r="B13" s="1185" t="s">
        <v>779</v>
      </c>
      <c r="C13" s="1186">
        <f>Budget!F25+Budget!F27</f>
        <v>11.787210297974729</v>
      </c>
      <c r="D13" s="3"/>
      <c r="E13" s="1190"/>
      <c r="F13" s="1185" t="s">
        <v>494</v>
      </c>
      <c r="G13" s="1186">
        <f t="shared" si="2"/>
        <v>46.231390625000003</v>
      </c>
      <c r="H13" s="3"/>
      <c r="I13" s="1190"/>
      <c r="J13" s="652" t="s">
        <v>168</v>
      </c>
      <c r="K13" s="173">
        <f>SUM(K9:K12)-K7</f>
        <v>423.58529382716415</v>
      </c>
      <c r="L13" s="182"/>
      <c r="M13" s="1190"/>
      <c r="N13" s="3"/>
      <c r="O13" s="648" t="s">
        <v>91</v>
      </c>
      <c r="P13" s="1181">
        <f>SUM(Budget!F16:F18)</f>
        <v>3.5</v>
      </c>
      <c r="Q13" s="1177">
        <f t="shared" si="0"/>
        <v>3.5</v>
      </c>
      <c r="R13" s="650">
        <v>0</v>
      </c>
      <c r="S13" s="1177">
        <f>IF(Irrigation!$B$2&lt;3,(Q13*$Q$36)+(R13*$R$36),A1_Link!Q13)</f>
        <v>3.5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18.2</v>
      </c>
      <c r="Z13" s="650">
        <f>SUM(Y7:Y13)-Y5</f>
        <v>423.58529382716404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58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58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58</v>
      </c>
      <c r="Q14" s="1177">
        <f t="shared" si="0"/>
        <v>58</v>
      </c>
      <c r="R14" s="650">
        <v>7.0000000000000009</v>
      </c>
      <c r="S14" s="1177">
        <f>IF(Irrigation!$B$2&lt;3,(Q14*$Q$36)+(R14*$R$36),A1_Link!Q14)</f>
        <v>58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5.4695286653216693</v>
      </c>
      <c r="AI14" s="3"/>
    </row>
    <row r="15" spans="2:35" ht="13.9" x14ac:dyDescent="0.4">
      <c r="B15" s="1185" t="s">
        <v>778</v>
      </c>
      <c r="C15" s="1186">
        <f>Budget!F34+Budget!F35</f>
        <v>5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-38.585293827164151</v>
      </c>
      <c r="L15" s="182"/>
      <c r="M15" s="1190"/>
      <c r="N15" s="3"/>
      <c r="O15" s="648" t="s">
        <v>424</v>
      </c>
      <c r="P15" s="1181">
        <f>Budget!F25</f>
        <v>5.4695286653216693</v>
      </c>
      <c r="Q15" s="1177">
        <f t="shared" si="0"/>
        <v>5.4695286653216693</v>
      </c>
      <c r="R15" s="650">
        <v>10.547472063880164</v>
      </c>
      <c r="S15" s="1177">
        <f>IF(Irrigation!$B$2&lt;3,(Q15*$Q$36)+(R15*$R$36),A1_Link!Q15)</f>
        <v>5.4695286653216693</v>
      </c>
      <c r="T15" s="650"/>
      <c r="U15" s="1190"/>
      <c r="V15" s="3"/>
      <c r="W15" s="3"/>
      <c r="X15" s="648" t="s">
        <v>584</v>
      </c>
      <c r="Y15" s="650">
        <f>Budget!F48</f>
        <v>96.387316224491968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6.4255334977571668</v>
      </c>
      <c r="AI15" s="3"/>
    </row>
    <row r="16" spans="2:35" ht="13.9" x14ac:dyDescent="0.4">
      <c r="B16" s="1185" t="s">
        <v>1</v>
      </c>
      <c r="C16" s="1186">
        <f>Budget!F36</f>
        <v>27</v>
      </c>
      <c r="D16" s="3"/>
      <c r="E16" s="1190"/>
      <c r="F16" s="1185" t="s">
        <v>779</v>
      </c>
      <c r="G16" s="1186">
        <f t="shared" si="2"/>
        <v>11.787210297974729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6.4255334977571668</v>
      </c>
      <c r="Q16" s="1177">
        <f t="shared" si="0"/>
        <v>6.4255334977571668</v>
      </c>
      <c r="R16" s="650">
        <v>9.3388892486480266</v>
      </c>
      <c r="S16" s="1177">
        <f>IF(Irrigation!$B$2&lt;3,(Q16*$Q$36)+(R16*$R$36),A1_Link!Q16)</f>
        <v>6.4255334977571668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6.31768163265306</v>
      </c>
      <c r="AI16" s="3"/>
    </row>
    <row r="17" spans="2:35" ht="13.9" x14ac:dyDescent="0.4">
      <c r="B17" s="1185" t="s">
        <v>226</v>
      </c>
      <c r="C17" s="1186">
        <f>Budget!F26+Budget!F28+Budget!F30</f>
        <v>18.992632543537667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101.20668203571657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6.31768163265306</v>
      </c>
      <c r="Q17" s="1177">
        <f t="shared" si="0"/>
        <v>6.31768163265306</v>
      </c>
      <c r="R17" s="650">
        <v>7.4958759183673482</v>
      </c>
      <c r="S17" s="1177">
        <f>IF(Irrigation!$B$2&lt;3,(Q17*$Q$36)+(R17*$R$36),A1_Link!Q17)</f>
        <v>6.31768163265306</v>
      </c>
      <c r="T17" s="650"/>
      <c r="U17" s="1190"/>
      <c r="V17" s="3"/>
      <c r="W17" s="3"/>
      <c r="X17" s="648" t="s">
        <v>585</v>
      </c>
      <c r="Y17" s="650">
        <f>Budget!F50</f>
        <v>4.8193658112245989</v>
      </c>
      <c r="Z17" s="650">
        <f>SUM(Y15:Y17)</f>
        <v>101.20668203571657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12.567099045780502</v>
      </c>
      <c r="AI17" s="3"/>
    </row>
    <row r="18" spans="2:35" ht="13.9" x14ac:dyDescent="0.4">
      <c r="B18" s="1185" t="s">
        <v>214</v>
      </c>
      <c r="C18" s="1186">
        <f>Trips!E45+Trips!E51+Trips!E72+Trips!E76</f>
        <v>7.3310455191594208</v>
      </c>
      <c r="D18" s="3"/>
      <c r="E18" s="1190"/>
      <c r="F18" s="1185" t="s">
        <v>778</v>
      </c>
      <c r="G18" s="1186">
        <f t="shared" si="2"/>
        <v>5</v>
      </c>
      <c r="H18" s="3"/>
      <c r="I18" s="1190"/>
      <c r="J18" s="308" t="s">
        <v>650</v>
      </c>
      <c r="K18" s="173">
        <f>K13+K17</f>
        <v>524.79197586288069</v>
      </c>
      <c r="L18" s="182"/>
      <c r="M18" s="1190"/>
      <c r="N18" s="3"/>
      <c r="O18" s="648" t="s">
        <v>17</v>
      </c>
      <c r="P18" s="1181">
        <f>(Budget!F28/Budget!D3)*P2</f>
        <v>12.567099045780502</v>
      </c>
      <c r="Q18" s="1177">
        <f t="shared" si="0"/>
        <v>12.567099045780502</v>
      </c>
      <c r="R18" s="650">
        <v>12.958564105965449</v>
      </c>
      <c r="S18" s="1177">
        <f>IF(Irrigation!$B$2&lt;3,(Q18*$Q$36)+(R18*$R$36),A1_Link!Q18)</f>
        <v>12.567099045780502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16.05968150815896</v>
      </c>
      <c r="D19" s="3"/>
      <c r="E19" s="1190"/>
      <c r="F19" s="1185" t="s">
        <v>1</v>
      </c>
      <c r="G19" s="1186">
        <f t="shared" si="2"/>
        <v>27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18.992632543537667</v>
      </c>
      <c r="H20" s="3"/>
      <c r="I20" s="1190"/>
      <c r="J20" s="308" t="s">
        <v>761</v>
      </c>
      <c r="K20" s="173">
        <f>(K3*K4*K5)-K14-K18</f>
        <v>-139.79197586288069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17.5</v>
      </c>
      <c r="D21" s="3"/>
      <c r="E21" s="1190"/>
      <c r="F21" s="1185" t="s">
        <v>214</v>
      </c>
      <c r="G21" s="1186">
        <f t="shared" si="2"/>
        <v>7.3310455191594208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0.70000000000000007</v>
      </c>
      <c r="D22" s="3"/>
      <c r="E22" s="1190"/>
      <c r="F22" s="1185" t="s">
        <v>784</v>
      </c>
      <c r="G22" s="1186">
        <f>SUM(G11:G21)*(0.0475/2)</f>
        <v>9.2464832925763734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38.4</v>
      </c>
      <c r="L23" s="1251">
        <v>1</v>
      </c>
      <c r="M23" s="1190"/>
      <c r="N23" s="3"/>
      <c r="O23" s="648" t="s">
        <v>214</v>
      </c>
      <c r="P23" s="1181">
        <f>Budget!F33</f>
        <v>7.3310455191594217</v>
      </c>
      <c r="Q23" s="1177">
        <f t="shared" si="0"/>
        <v>7.3310455191594217</v>
      </c>
      <c r="R23" s="650">
        <v>11.817977438585899</v>
      </c>
      <c r="S23" s="1177">
        <f>IF(Irrigation!$B$2&lt;3,(Q23*$Q$36)+(R23*$R$36),A1_Link!Q23)</f>
        <v>7.3310455191594217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7.3310455191594217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18.2</v>
      </c>
      <c r="H24" s="3"/>
      <c r="I24" s="1190"/>
      <c r="J24" s="1185" t="s">
        <v>224</v>
      </c>
      <c r="K24" s="1249">
        <f t="shared" ref="K24:K38" si="3">C9*L24</f>
        <v>176.58333333333334</v>
      </c>
      <c r="L24" s="1251">
        <v>1</v>
      </c>
      <c r="M24" s="1190"/>
      <c r="N24" s="3"/>
      <c r="O24" s="648" t="s">
        <v>23</v>
      </c>
      <c r="P24" s="1181">
        <f>Budget!F34</f>
        <v>5</v>
      </c>
      <c r="Q24" s="1177">
        <f t="shared" si="0"/>
        <v>5</v>
      </c>
      <c r="R24" s="650">
        <v>0</v>
      </c>
      <c r="S24" s="1177">
        <f>IF(Irrigation!$B$2&lt;3,(Q24*$Q$36)+(R24*$R$36),A1_Link!Q24)</f>
        <v>5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5</v>
      </c>
      <c r="AI24" s="3"/>
    </row>
    <row r="25" spans="2:35" ht="13.9" x14ac:dyDescent="0.4">
      <c r="B25" s="648" t="s">
        <v>123</v>
      </c>
      <c r="C25" s="665">
        <f>Budget!F48</f>
        <v>96.387316224491968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46.231390625000003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58</v>
      </c>
      <c r="L26" s="1251">
        <v>1</v>
      </c>
      <c r="M26" s="1190"/>
      <c r="N26" s="3"/>
      <c r="O26" s="648" t="s">
        <v>1</v>
      </c>
      <c r="P26" s="1181">
        <f>Budget!F36</f>
        <v>27</v>
      </c>
      <c r="Q26" s="1177">
        <f t="shared" si="0"/>
        <v>27</v>
      </c>
      <c r="R26" s="650">
        <v>0</v>
      </c>
      <c r="S26" s="1177">
        <f>IF(Irrigation!$B$2&lt;3,(Q26*$Q$36)+(R26*$R$36),A1_Link!Q26)</f>
        <v>27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16.05968150815896</v>
      </c>
      <c r="AI26" s="650">
        <f>SUM(AH3:AH26)</f>
        <v>378.38529382716405</v>
      </c>
    </row>
    <row r="27" spans="2:35" ht="13.9" x14ac:dyDescent="0.4">
      <c r="B27" s="648" t="s">
        <v>585</v>
      </c>
      <c r="C27" s="664">
        <f>Budget!F50</f>
        <v>4.8193658112245989</v>
      </c>
      <c r="D27" s="3"/>
      <c r="E27" s="1190"/>
      <c r="F27" s="648" t="s">
        <v>997</v>
      </c>
      <c r="G27" s="1186">
        <f>C25+C26</f>
        <v>96.387316224491968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16.05968150815896</v>
      </c>
      <c r="Q27" s="1177">
        <f>P27</f>
        <v>16.05968150815896</v>
      </c>
      <c r="R27" s="650">
        <v>10.240138351206717</v>
      </c>
      <c r="S27" s="1177">
        <f>IF(Irrigation!$B$2&lt;3,(Q27*$Q$36)+(R27*$R$36),A1_Link!Q27)</f>
        <v>16.05968150815896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4.8193658112245989</v>
      </c>
      <c r="H28" s="3"/>
      <c r="I28" s="1190"/>
      <c r="J28" s="1185" t="s">
        <v>779</v>
      </c>
      <c r="K28" s="1249">
        <f t="shared" si="3"/>
        <v>11.787210297974729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0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17.5</v>
      </c>
      <c r="AI28" s="3"/>
    </row>
    <row r="29" spans="2:35" ht="13.9" x14ac:dyDescent="0.4">
      <c r="B29" s="652" t="s">
        <v>777</v>
      </c>
      <c r="C29" s="173">
        <f>SUM(C8:C14)</f>
        <v>331.00193425630812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17.5</v>
      </c>
      <c r="Q29" s="1177">
        <f>P29</f>
        <v>17.5</v>
      </c>
      <c r="R29" s="650">
        <v>55</v>
      </c>
      <c r="S29" s="1177">
        <f>IF(Irrigation!$B$2&lt;3,(Q29*$Q$36)+(R29*$R$36),A1_Link!Q29)</f>
        <v>17.5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0.70000000000000007</v>
      </c>
      <c r="AI29" s="3"/>
    </row>
    <row r="30" spans="2:35" ht="13.9" x14ac:dyDescent="0.4">
      <c r="B30" s="652" t="s">
        <v>640</v>
      </c>
      <c r="C30" s="173">
        <f>SUM(C8:C18)</f>
        <v>389.32561231900519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0.70000000000000007</v>
      </c>
      <c r="Q30" s="1177">
        <f>P30</f>
        <v>0.70000000000000007</v>
      </c>
      <c r="R30" s="650">
        <v>2.2000000000000002</v>
      </c>
      <c r="S30" s="1177">
        <f>IF(Irrigation!$B$2&lt;3,(Q30*$Q$36)+(R30*$R$36),A1_Link!Q30)</f>
        <v>0.70000000000000007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423.58529382716415</v>
      </c>
      <c r="D31" s="3"/>
      <c r="E31" s="1190"/>
      <c r="F31" s="1308">
        <f>SUM(C8:C22)</f>
        <v>423.58529382716415</v>
      </c>
      <c r="G31" s="3"/>
      <c r="H31" s="3"/>
      <c r="I31" s="1190"/>
      <c r="J31" s="1185" t="s">
        <v>1</v>
      </c>
      <c r="K31" s="1249">
        <f t="shared" si="3"/>
        <v>27</v>
      </c>
      <c r="L31" s="1251">
        <v>1</v>
      </c>
      <c r="M31" s="1190"/>
      <c r="N31" s="534"/>
      <c r="O31" s="1309">
        <f>P31+IF(A2_Budget_Look_Up!B7&gt;0,P4,0)</f>
        <v>423.58529382716404</v>
      </c>
      <c r="P31" s="1178">
        <f>SUM(P6:P30)-IF(A2_Budget_Look_Up!B7&gt;0,P4,0)</f>
        <v>423.58529382716404</v>
      </c>
      <c r="Q31" s="1178">
        <f>SUM(Q6:Q30)-IF(A2_Budget_Look_Up!B7&gt;0,Q4,0)</f>
        <v>423.58529382716404</v>
      </c>
      <c r="R31" s="1178">
        <f>SUM(R6:R30)-IF(A2_Budget_Look_Up!B7&gt;0,R4,0)</f>
        <v>540.40385840201589</v>
      </c>
      <c r="S31" s="1179">
        <f>SUM(S6:S30)-IF(A2_Budget_Look_Up!B7&gt;0,S4,0)</f>
        <v>423.58529382716404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96.387316224491968</v>
      </c>
      <c r="AI31" s="3"/>
    </row>
    <row r="32" spans="2:35" ht="13.9" x14ac:dyDescent="0.4">
      <c r="B32" s="173" t="s">
        <v>249</v>
      </c>
      <c r="C32" s="173">
        <f>SUM(C25:C27)</f>
        <v>101.20668203571657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18.992632543537667</v>
      </c>
      <c r="L32" s="1251">
        <v>1</v>
      </c>
      <c r="M32" s="1190"/>
      <c r="N32" s="183"/>
      <c r="O32" s="648" t="s">
        <v>123</v>
      </c>
      <c r="P32" s="1181">
        <f>Budget!F48</f>
        <v>96.387316224491968</v>
      </c>
      <c r="Q32" s="1177">
        <f>P32</f>
        <v>96.387316224491968</v>
      </c>
      <c r="R32" s="650">
        <v>62.654368717931924</v>
      </c>
      <c r="S32" s="1177">
        <f>IF(Irrigation!$B$2&lt;3,(Q32*$Q$36)+(R32*$R$36),A1_Link!Q32)</f>
        <v>96.387316224491968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524.79197586288069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7.3310455191594208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4.8193658112245989</v>
      </c>
      <c r="AI33" s="3"/>
    </row>
    <row r="34" spans="2:35" ht="13.9" x14ac:dyDescent="0.4">
      <c r="B34" s="308" t="s">
        <v>761</v>
      </c>
      <c r="C34" s="173">
        <f>(C3*C4*C5)-C23-C33</f>
        <v>-139.79197586288069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16.05968150815896</v>
      </c>
      <c r="L34" s="1251">
        <v>1</v>
      </c>
      <c r="M34" s="1190"/>
      <c r="N34" s="182"/>
      <c r="O34" s="648" t="s">
        <v>491</v>
      </c>
      <c r="P34" s="1181">
        <f>Budget!F50</f>
        <v>4.8193658112245989</v>
      </c>
      <c r="Q34" s="1177">
        <f>P34</f>
        <v>4.8193658112245989</v>
      </c>
      <c r="R34" s="650">
        <v>7.4094979429835393</v>
      </c>
      <c r="S34" s="1177">
        <f>IF(Irrigation!$B$2&lt;3,(Q34*$Q$36)+(R34*$R$36),A1_Link!Q34)</f>
        <v>4.8193658112245989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101.20668203571657</v>
      </c>
      <c r="Q35" s="1178">
        <f>SUM(Q32:Q34)</f>
        <v>101.20668203571657</v>
      </c>
      <c r="R35" s="1178">
        <f>SUM(R32:R34)</f>
        <v>81.504477372818926</v>
      </c>
      <c r="S35" s="1179">
        <f>SUM(S32:S34)</f>
        <v>101.20668203571657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17.5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-112.79197586288061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0.70000000000000007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96.387316224491968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4.8193658112245989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30. Machinery Capital Recovery and Operating Costs, Wheat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48.607701685630119</v>
      </c>
      <c r="C60" s="96">
        <f>IF(Trips!H59&gt;0,Trips!H59," ")</f>
        <v>9.0865286271162944</v>
      </c>
      <c r="D60" s="96">
        <f>IF(Trips!I59&gt;0,Trips!I59," ")</f>
        <v>3.9485510204081633</v>
      </c>
      <c r="E60" s="96">
        <f>IF(Trips!J59&gt;0,Trips!J59," ")</f>
        <v>1.8476969387755104</v>
      </c>
      <c r="F60" s="96">
        <f>IF(Trips!K59&gt;0,Trips!K59," ")</f>
        <v>63.490478271930087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>
        <f>IF(Trips!G63&gt;0,Trips!G63," ")</f>
        <v>1.9140515819375326</v>
      </c>
      <c r="C64" s="96">
        <f>IF(Trips!H63&gt;0,Trips!H63," ")</f>
        <v>1.2232506599167985</v>
      </c>
      <c r="D64" s="118" t="str">
        <f>IF(Machine!B73&gt;0,"NA"," ")</f>
        <v>NA</v>
      </c>
      <c r="E64" s="118" t="str">
        <f>IF(Machine!B73&gt;0,"NA"," ")</f>
        <v>NA</v>
      </c>
      <c r="F64" s="96">
        <f>IF(Trips!K63&gt;0,Trips!K63," ")</f>
        <v>3.1373022418543313</v>
      </c>
      <c r="G64" s="528">
        <f>IF(Machine!B73&gt;0,Machine!B73," ")</f>
        <v>1</v>
      </c>
      <c r="H64" s="97">
        <f>IF(Machine!B73&gt;0,Machine!D73," ")</f>
        <v>30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11.515529152064808</v>
      </c>
      <c r="C65" s="96">
        <f>IF(Trips!H64&gt;0,Trips!H64," ")</f>
        <v>2.257319758747407</v>
      </c>
      <c r="D65" s="96">
        <f>IF(Trips!I64&gt;0,Trips!I64," ")</f>
        <v>2.3691306122448981</v>
      </c>
      <c r="E65" s="96">
        <f>IF(Trips!J64&gt;0,Trips!J64," ")</f>
        <v>1.8476969387755104</v>
      </c>
      <c r="F65" s="96">
        <f>IF(Trips!K64&gt;0,Trips!K64," ")</f>
        <v>17.989676461832623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30. Machinery Capital Recovery and Operating Costs, Wheat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13.492879233733163</v>
      </c>
      <c r="U56" s="17"/>
      <c r="V56" s="257">
        <f>SUM(V14:V54)</f>
        <v>16.388830251187134</v>
      </c>
      <c r="W56" s="1147"/>
      <c r="X56" s="1147">
        <f>Z56-(T56+V56)</f>
        <v>4.4683243199392173</v>
      </c>
      <c r="Y56" s="1148">
        <f>(Z56-(T56+V56))/(T56+V56)</f>
        <v>0.14953375817384684</v>
      </c>
      <c r="Z56" s="257">
        <f>SUM(Z14:Z54)</f>
        <v>34.350033804859514</v>
      </c>
      <c r="AA56" s="17"/>
      <c r="AB56" s="17"/>
      <c r="AC56" s="257">
        <f>SUM(AC14:AC54)</f>
        <v>4.9220315455354173</v>
      </c>
      <c r="AD56" s="258"/>
      <c r="AE56" s="17"/>
      <c r="AF56" s="257">
        <f>SUM(AF14:AF54)</f>
        <v>1.5035019522217494</v>
      </c>
      <c r="AG56" s="17"/>
      <c r="AH56" s="257">
        <f>SUM(AH14:AH54)</f>
        <v>5.4695286653216701</v>
      </c>
      <c r="AI56" s="257">
        <f>SUM(AI14:AI54)</f>
        <v>0.54695286653216713</v>
      </c>
      <c r="AJ56" s="257"/>
      <c r="AK56" s="17"/>
      <c r="AL56" s="259">
        <f>SUM(AL14:AL54)</f>
        <v>0.24515520172679706</v>
      </c>
      <c r="AM56" s="260">
        <f>SUM(AM14:AM54)</f>
        <v>3.6356516416084004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3.5</v>
      </c>
      <c r="M69" s="224">
        <f>EquipmentSpecs!C69</f>
        <v>0.7</v>
      </c>
      <c r="N69" s="89">
        <f t="shared" si="31"/>
        <v>8.9090909090909083</v>
      </c>
      <c r="O69" s="226">
        <f t="shared" si="32"/>
        <v>0.11224489795918369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42.935926957738964</v>
      </c>
      <c r="U69" s="269"/>
      <c r="V69" s="269"/>
      <c r="W69" s="1144">
        <f t="shared" si="34"/>
        <v>1.9423886054421771</v>
      </c>
      <c r="X69" s="1144">
        <f t="shared" si="34"/>
        <v>1.9423886054421771</v>
      </c>
      <c r="Y69" s="1144">
        <f t="shared" si="34"/>
        <v>1.7869975170068029</v>
      </c>
      <c r="Z69" s="1136">
        <f t="shared" si="35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6"/>
        <v>14.299999999999999</v>
      </c>
      <c r="AH69" s="89">
        <f t="shared" si="37"/>
        <v>3.9485510204081633</v>
      </c>
      <c r="AI69" s="89">
        <f t="shared" si="38"/>
        <v>0.39485510204081636</v>
      </c>
      <c r="AJ69" s="89">
        <f t="shared" si="39"/>
        <v>3.9485510204081633</v>
      </c>
      <c r="AK69" s="227">
        <f>EquipmentSpecs!L69</f>
        <v>1.1100000000000001</v>
      </c>
      <c r="AL69" s="226">
        <f t="shared" si="40"/>
        <v>0.1245918367346939</v>
      </c>
      <c r="AM69" s="230">
        <f t="shared" si="41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1</v>
      </c>
      <c r="T73" s="89">
        <f t="shared" si="33"/>
        <v>1.6907110615293692</v>
      </c>
      <c r="U73" s="269"/>
      <c r="V73" s="269"/>
      <c r="W73" s="1144">
        <f t="shared" si="34"/>
        <v>7.6486479591836756E-2</v>
      </c>
      <c r="X73" s="1144">
        <f t="shared" si="34"/>
        <v>7.6486479591836756E-2</v>
      </c>
      <c r="Y73" s="1144">
        <f t="shared" si="34"/>
        <v>7.0367561224489811E-2</v>
      </c>
      <c r="Z73" s="1136">
        <f t="shared" si="35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3.5</v>
      </c>
      <c r="M74" s="233">
        <f>EquipmentSpecs!C74</f>
        <v>0.7</v>
      </c>
      <c r="N74" s="235">
        <f t="shared" si="31"/>
        <v>8.9090909090909083</v>
      </c>
      <c r="O74" s="236">
        <f t="shared" si="32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4"/>
        <v>0.51108843537414972</v>
      </c>
      <c r="X74" s="1146">
        <f t="shared" si="34"/>
        <v>0.51108843537414972</v>
      </c>
      <c r="Y74" s="1146">
        <f t="shared" si="34"/>
        <v>0.47020136054421779</v>
      </c>
      <c r="Z74" s="1139">
        <f t="shared" si="35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2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40"/>
        <v>0.1245918367346939</v>
      </c>
      <c r="AM74" s="241">
        <f t="shared" si="41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47.781928229937876</v>
      </c>
      <c r="U83" s="17"/>
      <c r="V83" s="257">
        <f>SUM(V64:V81)</f>
        <v>6.8678607101027476</v>
      </c>
      <c r="W83" s="1147"/>
      <c r="X83" s="1147">
        <f>Z83-(T83+V83)</f>
        <v>7.3874934795918392</v>
      </c>
      <c r="Y83" s="1148">
        <f>(Z83-(T83+V83))/(T83+V83)</f>
        <v>0.13517881080377231</v>
      </c>
      <c r="Z83" s="257">
        <f>SUM(Z64:Z81)</f>
        <v>62.037282419632461</v>
      </c>
      <c r="AA83" s="17"/>
      <c r="AB83" s="17"/>
      <c r="AC83" s="257">
        <f>SUM(AC64:AC81)</f>
        <v>11.929337004964173</v>
      </c>
      <c r="AD83" s="258"/>
      <c r="AE83" s="17"/>
      <c r="AF83" s="257">
        <f>SUM(AF64:AF81)</f>
        <v>0.63776204081632659</v>
      </c>
      <c r="AG83" s="17"/>
      <c r="AH83" s="257">
        <f>SUM(AH64:AH81)</f>
        <v>6.3176816326530609</v>
      </c>
      <c r="AI83" s="257">
        <f>SUM(AI64:AI81)</f>
        <v>0.63176816326530616</v>
      </c>
      <c r="AJ83" s="257"/>
      <c r="AK83" s="17"/>
      <c r="AL83" s="259">
        <f>SUM(AL64:AL81)</f>
        <v>0.2491836734693878</v>
      </c>
      <c r="AM83" s="257">
        <f>SUM(AM64:AM81)</f>
        <v>3.6953938775510209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70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423.58529382716415</v>
      </c>
      <c r="C4" s="121">
        <f>SummaryReport_Verification!B32</f>
        <v>6.0512184832452025</v>
      </c>
      <c r="D4" s="121">
        <f>SummaryReport_Verification!B28</f>
        <v>-38.585293827164151</v>
      </c>
      <c r="E4" s="121">
        <f>SummaryReport_Verification!B29</f>
        <v>101.20668203571657</v>
      </c>
      <c r="F4" s="121">
        <f>SummaryReport_Verification!B30</f>
        <v>524.79197586288069</v>
      </c>
      <c r="G4" s="121">
        <f>SummaryReport_Verification!B31</f>
        <v>-139.79197586288069</v>
      </c>
      <c r="H4" s="121">
        <f>SummaryReport_Verification!B33</f>
        <v>7.4970282266125814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423.58529382716415</v>
      </c>
      <c r="C9" s="122">
        <f t="shared" si="0"/>
        <v>6.0512184832452025</v>
      </c>
      <c r="D9" s="122">
        <f t="shared" si="0"/>
        <v>-38.585293827164151</v>
      </c>
      <c r="E9" s="122">
        <f t="shared" si="0"/>
        <v>101.20668203571657</v>
      </c>
      <c r="F9" s="122">
        <f t="shared" si="0"/>
        <v>524.79197586288069</v>
      </c>
      <c r="G9" s="122">
        <f t="shared" si="0"/>
        <v>-139.79197586288069</v>
      </c>
      <c r="H9" s="122">
        <f t="shared" si="0"/>
        <v>7.4970282266125814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70</v>
      </c>
      <c r="C4" s="113"/>
      <c r="D4" s="113"/>
      <c r="E4" s="113"/>
      <c r="F4" s="113"/>
      <c r="G4" s="163">
        <f>AVERAGE(B4:F4)</f>
        <v>70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5.5</v>
      </c>
      <c r="C5" s="96"/>
      <c r="D5" s="96"/>
      <c r="E5" s="96"/>
      <c r="F5" s="96"/>
      <c r="G5" s="96">
        <f>AVERAGE(B5:F5)</f>
        <v>5.5</v>
      </c>
    </row>
    <row r="6" spans="1:8" ht="13.5" x14ac:dyDescent="0.35">
      <c r="A6" s="107" t="s">
        <v>231</v>
      </c>
      <c r="B6" s="114">
        <f>Budget!F3</f>
        <v>385</v>
      </c>
      <c r="C6" s="114"/>
      <c r="D6" s="114"/>
      <c r="E6" s="114"/>
      <c r="F6" s="114"/>
      <c r="G6" s="114">
        <f>AVERAGE(B6:F6)</f>
        <v>385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38.4</v>
      </c>
      <c r="C9" s="96"/>
      <c r="D9" s="96"/>
      <c r="E9" s="96"/>
      <c r="F9" s="96"/>
      <c r="G9" s="96">
        <f t="shared" ref="G9:G28" si="0">AVERAGE(B9:F9)</f>
        <v>38.4</v>
      </c>
      <c r="H9" s="1898">
        <f>G9/G$23</f>
        <v>9.8632092996069967E-2</v>
      </c>
    </row>
    <row r="10" spans="1:8" ht="13.9" x14ac:dyDescent="0.4">
      <c r="A10" s="91" t="s">
        <v>224</v>
      </c>
      <c r="B10" s="96">
        <f>SUM(Budget!F7:F13)</f>
        <v>176.58333333333334</v>
      </c>
      <c r="C10" s="96"/>
      <c r="D10" s="96"/>
      <c r="E10" s="96"/>
      <c r="F10" s="96"/>
      <c r="G10" s="96">
        <f t="shared" si="0"/>
        <v>176.58333333333334</v>
      </c>
      <c r="H10" s="1898">
        <f>G10/G$23</f>
        <v>0.4535620769502437</v>
      </c>
    </row>
    <row r="11" spans="1:8" ht="13.9" x14ac:dyDescent="0.4">
      <c r="A11" s="91" t="str">
        <f>Budget!A14</f>
        <v>Herbicide</v>
      </c>
      <c r="B11" s="96">
        <f>Budget!F14</f>
        <v>42.731390625000003</v>
      </c>
      <c r="C11" s="96"/>
      <c r="D11" s="96"/>
      <c r="E11" s="96"/>
      <c r="F11" s="96"/>
      <c r="G11" s="96">
        <f t="shared" si="0"/>
        <v>42.731390625000003</v>
      </c>
      <c r="H11" s="1898">
        <f>SUM(G11:G14)/$G$23</f>
        <v>0.11874736509017286</v>
      </c>
    </row>
    <row r="12" spans="1:8" ht="15" customHeight="1" x14ac:dyDescent="0.4">
      <c r="A12" s="91" t="str">
        <f>Budget!A15</f>
        <v>Insecticide</v>
      </c>
      <c r="B12" s="96">
        <f>Budget!F15</f>
        <v>0</v>
      </c>
      <c r="C12" s="96"/>
      <c r="D12" s="96"/>
      <c r="E12" s="96"/>
      <c r="F12" s="96"/>
      <c r="G12" s="96">
        <f t="shared" si="0"/>
        <v>0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3.5</v>
      </c>
      <c r="C13" s="96"/>
      <c r="D13" s="96"/>
      <c r="E13" s="96"/>
      <c r="F13" s="96"/>
      <c r="G13" s="96">
        <f t="shared" si="0"/>
        <v>3.5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58</v>
      </c>
      <c r="C15" s="96"/>
      <c r="D15" s="96"/>
      <c r="E15" s="96"/>
      <c r="F15" s="96"/>
      <c r="G15" s="96">
        <f t="shared" si="0"/>
        <v>58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11.787210297974729</v>
      </c>
      <c r="C17" s="96"/>
      <c r="D17" s="96"/>
      <c r="E17" s="96"/>
      <c r="F17" s="96"/>
      <c r="G17" s="96">
        <f t="shared" si="0"/>
        <v>11.787210297974729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331.001934256308</v>
      </c>
      <c r="C19" s="108"/>
      <c r="D19" s="108"/>
      <c r="E19" s="108"/>
      <c r="F19" s="108"/>
      <c r="G19" s="108">
        <f>AVERAGE(B19:F19)</f>
        <v>331.001934256308</v>
      </c>
    </row>
    <row r="20" spans="1:7" ht="13.9" x14ac:dyDescent="0.4">
      <c r="A20" s="91" t="s">
        <v>778</v>
      </c>
      <c r="B20" s="96">
        <f>SUM(Budget!F34:F36)</f>
        <v>32</v>
      </c>
      <c r="C20" s="108"/>
      <c r="D20" s="108"/>
      <c r="E20" s="108"/>
      <c r="F20" s="108"/>
      <c r="G20" s="96">
        <f t="shared" si="0"/>
        <v>32</v>
      </c>
    </row>
    <row r="21" spans="1:7" ht="15.4" x14ac:dyDescent="0.4">
      <c r="A21" s="91" t="s">
        <v>754</v>
      </c>
      <c r="B21" s="96">
        <f>Budget!F26+Budget!F28+Budget!F30</f>
        <v>18.992632543537667</v>
      </c>
      <c r="C21" s="96"/>
      <c r="D21" s="96"/>
      <c r="E21" s="96"/>
      <c r="F21" s="96"/>
      <c r="G21" s="96">
        <f t="shared" si="0"/>
        <v>18.992632543537667</v>
      </c>
    </row>
    <row r="22" spans="1:7" ht="13.9" x14ac:dyDescent="0.4">
      <c r="A22" s="91" t="s">
        <v>214</v>
      </c>
      <c r="B22" s="96">
        <f>Budget!F33</f>
        <v>7.3310455191594217</v>
      </c>
      <c r="C22" s="96"/>
      <c r="D22" s="96"/>
      <c r="E22" s="96"/>
      <c r="F22" s="96"/>
      <c r="G22" s="96">
        <f t="shared" si="0"/>
        <v>7.3310455191594217</v>
      </c>
    </row>
    <row r="23" spans="1:7" ht="13.9" x14ac:dyDescent="0.4">
      <c r="A23" s="107" t="s">
        <v>640</v>
      </c>
      <c r="B23" s="108">
        <f>SUM(Budget!F6:F18)+SUM(Budget!F20:F23)+SUM(Budget!F25:F36)</f>
        <v>389.32561231900513</v>
      </c>
      <c r="C23" s="96"/>
      <c r="D23" s="96"/>
      <c r="E23" s="96"/>
      <c r="F23" s="96"/>
      <c r="G23" s="108">
        <f t="shared" si="0"/>
        <v>389.32561231900513</v>
      </c>
    </row>
    <row r="24" spans="1:7" ht="13.9" x14ac:dyDescent="0.4">
      <c r="A24" s="91" t="s">
        <v>28</v>
      </c>
      <c r="B24" s="96">
        <f>Budget!F37</f>
        <v>16.05968150815896</v>
      </c>
      <c r="C24" s="96"/>
      <c r="D24" s="96"/>
      <c r="E24" s="96"/>
      <c r="F24" s="96"/>
      <c r="G24" s="96">
        <f t="shared" si="0"/>
        <v>16.05968150815896</v>
      </c>
    </row>
    <row r="25" spans="1:7" ht="15" customHeight="1" x14ac:dyDescent="0.4">
      <c r="A25" s="91" t="s">
        <v>228</v>
      </c>
      <c r="B25" s="96">
        <f>SUM(Budget!F39:F43)</f>
        <v>18.2</v>
      </c>
      <c r="C25" s="96"/>
      <c r="D25" s="96"/>
      <c r="E25" s="96"/>
      <c r="F25" s="96"/>
      <c r="G25" s="96">
        <f t="shared" si="0"/>
        <v>18.2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423.58529382716415</v>
      </c>
      <c r="C27" s="108"/>
      <c r="D27" s="108"/>
      <c r="E27" s="108"/>
      <c r="F27" s="108"/>
      <c r="G27" s="108">
        <f t="shared" si="0"/>
        <v>423.58529382716415</v>
      </c>
    </row>
    <row r="28" spans="1:7" ht="13.5" x14ac:dyDescent="0.35">
      <c r="A28" s="107" t="s">
        <v>233</v>
      </c>
      <c r="B28" s="114">
        <f>B6-B27</f>
        <v>-38.585293827164151</v>
      </c>
      <c r="C28" s="114"/>
      <c r="D28" s="114"/>
      <c r="E28" s="114"/>
      <c r="F28" s="114"/>
      <c r="G28" s="114">
        <f t="shared" si="0"/>
        <v>-38.585293827164151</v>
      </c>
    </row>
    <row r="29" spans="1:7" ht="13.9" x14ac:dyDescent="0.4">
      <c r="A29" s="91" t="s">
        <v>230</v>
      </c>
      <c r="B29" s="96">
        <f>Budget!F51</f>
        <v>101.20668203571657</v>
      </c>
      <c r="C29" s="96"/>
      <c r="D29" s="96"/>
      <c r="E29" s="96"/>
      <c r="F29" s="96"/>
      <c r="G29" s="96">
        <f>AVERAGE(B29:F29)</f>
        <v>101.20668203571657</v>
      </c>
    </row>
    <row r="30" spans="1:7" ht="15.4" x14ac:dyDescent="0.35">
      <c r="A30" s="107" t="s">
        <v>753</v>
      </c>
      <c r="B30" s="108">
        <f>B27+B29</f>
        <v>524.79197586288069</v>
      </c>
      <c r="C30" s="108"/>
      <c r="D30" s="108"/>
      <c r="E30" s="108"/>
      <c r="F30" s="108"/>
      <c r="G30" s="108">
        <f>AVERAGE(B30:F30)</f>
        <v>524.79197586288069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-139.79197586288069</v>
      </c>
      <c r="C31" s="114"/>
      <c r="D31" s="114"/>
      <c r="E31" s="114"/>
      <c r="F31" s="114"/>
      <c r="G31" s="114">
        <f>AVERAGE(B31:F31)</f>
        <v>-139.79197586288069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6.0512184832452025</v>
      </c>
      <c r="C32" s="96"/>
      <c r="D32" s="96"/>
      <c r="E32" s="96"/>
      <c r="F32" s="96"/>
      <c r="G32" s="96">
        <f>AVERAGE(B32:F32)</f>
        <v>6.0512184832452025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7.4970282266125814</v>
      </c>
      <c r="C33" s="98"/>
      <c r="D33" s="98"/>
      <c r="E33" s="98"/>
      <c r="F33" s="98"/>
      <c r="G33" s="98">
        <f>AVERAGE(B33:F33)</f>
        <v>7.4970282266125814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30. 2026 Wheat Enterprise Budget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70</v>
      </c>
      <c r="E3" s="307">
        <f>Budget!E3</f>
        <v>5.5</v>
      </c>
      <c r="F3" s="307">
        <f>Budget!F3</f>
        <v>385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120</v>
      </c>
      <c r="E6" s="307">
        <f>Budget!E6</f>
        <v>0.32</v>
      </c>
      <c r="F6" s="307">
        <f>Budget!F6</f>
        <v>38.4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250</v>
      </c>
      <c r="E7" s="307">
        <f>Budget!E7</f>
        <v>0.28083333333333332</v>
      </c>
      <c r="F7" s="307">
        <f>Budget!F7</f>
        <v>70.208333333333329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150</v>
      </c>
      <c r="E8" s="307">
        <f>Budget!E8</f>
        <v>0.40500000000000003</v>
      </c>
      <c r="F8" s="307">
        <f>Budget!F8</f>
        <v>60.750000000000007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50</v>
      </c>
      <c r="E10" s="307">
        <f>Budget!E10</f>
        <v>0.26750000000000002</v>
      </c>
      <c r="F10" s="307">
        <f>Budget!F10</f>
        <v>13.375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42.731390625000003</v>
      </c>
      <c r="F13" s="307">
        <f>Budget!F14</f>
        <v>42.731390625000003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0</v>
      </c>
      <c r="F14" s="307">
        <f>Budget!F15</f>
        <v>0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3.5</v>
      </c>
      <c r="F15" s="307">
        <f>Budget!F16</f>
        <v>3.5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4</v>
      </c>
      <c r="E19" s="307">
        <f>Budget!E20</f>
        <v>9.5</v>
      </c>
      <c r="F19" s="307">
        <f>Budget!F20</f>
        <v>38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2.2233856363096218</v>
      </c>
      <c r="E24" s="307">
        <f>Budget!E25</f>
        <v>2.46</v>
      </c>
      <c r="F24" s="307">
        <f>Budget!F25</f>
        <v>5.4695286653216693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6.4255334977571668</v>
      </c>
      <c r="F25" s="307">
        <f>Budget!F26</f>
        <v>6.4255334977571668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2.5681632653061222</v>
      </c>
      <c r="E26" s="307">
        <f>Budget!E27</f>
        <v>2.46</v>
      </c>
      <c r="F26" s="307">
        <f>Budget!F27</f>
        <v>6.31768163265306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12.5670990457805</v>
      </c>
      <c r="F27" s="307">
        <f>Budget!F28</f>
        <v>12.5670990457805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0.49433887519618486</v>
      </c>
      <c r="E32" s="307">
        <f>Budget!E33</f>
        <v>14.83</v>
      </c>
      <c r="F32" s="307">
        <f>Budget!F33</f>
        <v>7.3310455191594217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5</v>
      </c>
      <c r="F33" s="307">
        <f>Budget!F34</f>
        <v>5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27</v>
      </c>
      <c r="F35" s="307">
        <f>Budget!F36</f>
        <v>27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389.32561231900507</v>
      </c>
      <c r="F36" s="307">
        <f>Budget!F37</f>
        <v>16.05968150815896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70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70</v>
      </c>
      <c r="E40" s="307">
        <f>Budget!E41</f>
        <v>0.25</v>
      </c>
      <c r="F40" s="307">
        <f>Budget!F41</f>
        <v>17.5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70</v>
      </c>
      <c r="E41" s="307">
        <f>Budget!E42</f>
        <v>0.01</v>
      </c>
      <c r="F41" s="307">
        <f>Budget!F42</f>
        <v>0.70000000000000007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413.33529382716404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-28.335293827164037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96.387316224491968</v>
      </c>
      <c r="F47" s="311">
        <f>Budget!F48</f>
        <v>96.387316224491968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4.8193658112245989</v>
      </c>
      <c r="F49" s="311">
        <f>Budget!F50</f>
        <v>4.8193658112245989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101.20668203571657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514.54197586288058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-129.54197586288058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5.2499999999999998E-2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70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70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70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70</v>
      </c>
      <c r="J30" s="900"/>
    </row>
    <row r="31" spans="2:10" ht="12.75" customHeight="1" x14ac:dyDescent="0.4">
      <c r="B31" s="901">
        <f>IF(A2_Budget_Look_Up!B13&gt;0,Budget!D3*Budget!B41,I31)</f>
        <v>70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70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30. 2026 Wheat Enterprise Budget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28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Wheat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1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30. Details of Chemicals Applied, Wheat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30. Machinery Capital Recovery and Operating Costs, Wheat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30. 2026 Wheat Enterprise Budget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70.208333333333329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423.58529382716404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96.387316224491968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101.20668203571657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-139.79197586288058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Wheat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500</v>
      </c>
      <c r="D5" s="1843"/>
      <c r="E5" s="468">
        <f t="shared" ref="E5:F7" si="0">B5</f>
        <v>1</v>
      </c>
      <c r="F5" s="1844">
        <f t="shared" si="0"/>
        <v>500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70</v>
      </c>
      <c r="C6" s="1822">
        <f>B6*Print_Summary!$I$2</f>
        <v>35000</v>
      </c>
      <c r="D6" s="1845"/>
      <c r="E6" s="1096">
        <f t="shared" si="0"/>
        <v>70</v>
      </c>
      <c r="F6" s="1821">
        <f t="shared" si="0"/>
        <v>35000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5.5</v>
      </c>
      <c r="C7" s="1097">
        <f>B7</f>
        <v>5.5</v>
      </c>
      <c r="D7" s="1846"/>
      <c r="E7" s="1097">
        <f t="shared" si="0"/>
        <v>5.5</v>
      </c>
      <c r="F7" s="1847">
        <f t="shared" si="0"/>
        <v>5.5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385</v>
      </c>
      <c r="C9" s="1829">
        <f>B9*Print_Summary!$I$2</f>
        <v>192500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38.4</v>
      </c>
      <c r="C13" s="1822">
        <f>B13*Print_Summary!$I$2</f>
        <v>19200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-81.775000000000006</v>
      </c>
    </row>
    <row r="14" spans="1:9" ht="13.9" x14ac:dyDescent="0.4">
      <c r="A14" s="1834" t="s">
        <v>224</v>
      </c>
      <c r="B14" s="1835">
        <f>SUM(Budget!F7:F13)</f>
        <v>176.58333333333334</v>
      </c>
      <c r="C14" s="1822">
        <f>B14*Print_Summary!$I$2</f>
        <v>88291.666666666672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85.794533333333348</v>
      </c>
    </row>
    <row r="15" spans="1:9" ht="13.9" x14ac:dyDescent="0.4">
      <c r="A15" s="1834" t="s">
        <v>494</v>
      </c>
      <c r="B15" s="1835">
        <f>SUM(Budget!F14:F18)</f>
        <v>46.231390625000003</v>
      </c>
      <c r="C15" s="1822">
        <f>B15*Print_Summary!$I$2</f>
        <v>23115.6953125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-162.82110937499999</v>
      </c>
    </row>
    <row r="16" spans="1:9" ht="13.9" x14ac:dyDescent="0.4">
      <c r="A16" s="1834" t="s">
        <v>225</v>
      </c>
      <c r="B16" s="1835">
        <f>SUM(Budget!F20:F23)</f>
        <v>58</v>
      </c>
      <c r="C16" s="1822">
        <f>B16*Print_Summary!$I$2</f>
        <v>29000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44</v>
      </c>
    </row>
    <row r="17" spans="1:9" ht="13.9" x14ac:dyDescent="0.4">
      <c r="A17" s="1834" t="s">
        <v>462</v>
      </c>
      <c r="B17" s="1835">
        <f>Budget!F25+Budget!F27</f>
        <v>11.787210297974729</v>
      </c>
      <c r="C17" s="1822">
        <f>B17*Print_Summary!$I$2</f>
        <v>5893.6051489873644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-16.279653450922289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331.001934256308</v>
      </c>
      <c r="C20" s="1827">
        <f>B20*Print_Summary!$I$2</f>
        <v>165500.96712815401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-169.68169036476945</v>
      </c>
    </row>
    <row r="21" spans="1:9" ht="13.9" x14ac:dyDescent="0.4">
      <c r="A21" s="1834" t="s">
        <v>778</v>
      </c>
      <c r="B21" s="1835">
        <f>Budget!F34+Budget!F35</f>
        <v>5</v>
      </c>
      <c r="C21" s="1822">
        <f>B21*Print_Summary!$I$2</f>
        <v>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-19</v>
      </c>
    </row>
    <row r="22" spans="1:9" ht="13.9" x14ac:dyDescent="0.4">
      <c r="A22" s="1834" t="s">
        <v>1</v>
      </c>
      <c r="B22" s="1835">
        <f>Budget!F36</f>
        <v>27</v>
      </c>
      <c r="C22" s="1822">
        <f>B22*Print_Summary!$I$2</f>
        <v>13500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27</v>
      </c>
    </row>
    <row r="23" spans="1:9" ht="15.4" x14ac:dyDescent="0.4">
      <c r="A23" s="1834" t="s">
        <v>750</v>
      </c>
      <c r="B23" s="1835">
        <f>Budget!F26+Budget!F28+Budget!F30</f>
        <v>18.992632543537667</v>
      </c>
      <c r="C23" s="1822">
        <f>B23*Print_Summary!$I$2</f>
        <v>9496.3162717688338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-14.03161126051581</v>
      </c>
    </row>
    <row r="24" spans="1:9" ht="15" customHeight="1" x14ac:dyDescent="0.4">
      <c r="A24" s="1834" t="s">
        <v>214</v>
      </c>
      <c r="B24" s="1835">
        <f>Budget!F33</f>
        <v>7.3310455191594217</v>
      </c>
      <c r="C24" s="1822">
        <f>B24*Print_Summary!$I$2</f>
        <v>3665.522759579711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-15.996800305319567</v>
      </c>
    </row>
    <row r="25" spans="1:9" ht="15" customHeight="1" x14ac:dyDescent="0.4">
      <c r="A25" s="1825" t="s">
        <v>640</v>
      </c>
      <c r="B25" s="1836">
        <f>SUM(Budget!F6:F18)+SUM(Budget!F20:F23)+SUM(Budget!F25:F36)</f>
        <v>389.32561231900513</v>
      </c>
      <c r="C25" s="1829">
        <f>B25*Print_Summary!$I$2</f>
        <v>194662.80615950256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-191.71010193060476</v>
      </c>
    </row>
    <row r="26" spans="1:9" ht="13.9" x14ac:dyDescent="0.4">
      <c r="A26" s="1834" t="s">
        <v>28</v>
      </c>
      <c r="B26" s="1835">
        <f>Budget!F37</f>
        <v>16.05968150815896</v>
      </c>
      <c r="C26" s="1822">
        <f>B26*Print_Summary!$I$2</f>
        <v>8029.8407540794797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2.2600832947307214</v>
      </c>
    </row>
    <row r="27" spans="1:9" ht="13.9" x14ac:dyDescent="0.4">
      <c r="A27" s="1834" t="s">
        <v>228</v>
      </c>
      <c r="B27" s="1835">
        <f>SUM(Budget!F39:F43)</f>
        <v>18.2</v>
      </c>
      <c r="C27" s="1822">
        <f>B27*Print_Summary!$I$2</f>
        <v>9100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-126.58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423.58529382716415</v>
      </c>
      <c r="C29" s="1829">
        <f>B29*Print_Summary!$I$2</f>
        <v>211792.64691358208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-171.25001863587408</v>
      </c>
    </row>
    <row r="30" spans="1:9" ht="13.9" x14ac:dyDescent="0.4">
      <c r="A30" s="1825" t="s">
        <v>233</v>
      </c>
      <c r="B30" s="1826">
        <f>B9-B29-B31</f>
        <v>-38.585293827164151</v>
      </c>
      <c r="C30" s="1829">
        <f>B30*Print_Summary!$I$2</f>
        <v>-19292.646913582073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-223.74998136412592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101.20668203571657</v>
      </c>
      <c r="C32" s="1822">
        <f>B32*Print_Summary!$I$2</f>
        <v>50603.341017858285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-77.388307902407462</v>
      </c>
    </row>
    <row r="33" spans="1:9" ht="13.9" x14ac:dyDescent="0.4">
      <c r="A33" s="1825" t="s">
        <v>650</v>
      </c>
      <c r="B33" s="1836">
        <f>B29+B32</f>
        <v>524.79197586288069</v>
      </c>
      <c r="C33" s="1829">
        <f>B33*Print_Summary!$I$2</f>
        <v>262395.98793144035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-248.6383265382816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-139.79197586288069</v>
      </c>
      <c r="C34" s="1829">
        <f>B34*Print_Summary!$I$2</f>
        <v>-69895.987931440352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-146.3616734617184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6.0512184832452025</v>
      </c>
      <c r="C36" s="1097">
        <f>C29/C6</f>
        <v>6.0512184832452025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7.4970282266125814</v>
      </c>
      <c r="C37" s="1839">
        <f>C33/C6</f>
        <v>7.4970282266125814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-3.1064883525084599E-2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Wheat</v>
      </c>
      <c r="H1" s="1246"/>
      <c r="I1" s="1442"/>
    </row>
    <row r="2" spans="1:9" ht="15" customHeight="1" x14ac:dyDescent="0.4">
      <c r="A2" s="1806" t="str">
        <f>Print_Summary!G1</f>
        <v>Wheat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500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194662.80615950256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500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70</v>
      </c>
      <c r="C6" s="1820"/>
      <c r="D6" s="1821">
        <f>B6*Print_Summary!$I$2</f>
        <v>35000</v>
      </c>
      <c r="E6" s="1097" t="s">
        <v>797</v>
      </c>
      <c r="F6" s="1541">
        <f>B6*0.9</f>
        <v>63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5.5</v>
      </c>
      <c r="C7" s="1097"/>
      <c r="D7" s="1823">
        <f>B7</f>
        <v>5.5</v>
      </c>
      <c r="E7" s="1097" t="s">
        <v>791</v>
      </c>
      <c r="F7" s="1542">
        <f>B7</f>
        <v>5.5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385</v>
      </c>
      <c r="C9" s="1826"/>
      <c r="D9" s="1827">
        <f>B9*Print_Summary!$I$2</f>
        <v>192500</v>
      </c>
      <c r="E9" s="667" t="s">
        <v>13</v>
      </c>
      <c r="F9" s="1828">
        <f>F6*F7</f>
        <v>346.5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38.4</v>
      </c>
      <c r="C13" s="1835">
        <f>B13/$B$6</f>
        <v>0.5485714285714286</v>
      </c>
      <c r="D13" s="1821">
        <f>B13*Print_Summary!$I$2</f>
        <v>19200</v>
      </c>
      <c r="E13" s="4"/>
      <c r="F13" s="1824">
        <f>B13/$F$9</f>
        <v>0.11082251082251082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176.58333333333334</v>
      </c>
      <c r="C14" s="1835">
        <f t="shared" ref="C14:C34" si="0">B14/$B$6</f>
        <v>2.5226190476190475</v>
      </c>
      <c r="D14" s="1821">
        <f>B14*Print_Summary!$I$2</f>
        <v>88291.666666666672</v>
      </c>
      <c r="E14" s="4"/>
      <c r="F14" s="1824">
        <f t="shared" ref="F14:F19" si="1">B14/$F$9</f>
        <v>0.50962000962000964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46.231390625000003</v>
      </c>
      <c r="C15" s="1835">
        <f t="shared" si="0"/>
        <v>0.66044843750000004</v>
      </c>
      <c r="D15" s="1821">
        <f>B15*Print_Summary!$I$2</f>
        <v>23115.6953125</v>
      </c>
      <c r="E15" s="4"/>
      <c r="F15" s="1824">
        <f t="shared" si="1"/>
        <v>0.13342392676767678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58</v>
      </c>
      <c r="C16" s="1835">
        <f t="shared" si="0"/>
        <v>0.82857142857142863</v>
      </c>
      <c r="D16" s="1821">
        <f>B16*Print_Summary!$I$2</f>
        <v>29000</v>
      </c>
      <c r="E16" s="4"/>
      <c r="F16" s="1824">
        <f t="shared" si="1"/>
        <v>0.16738816738816739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11.787210297974729</v>
      </c>
      <c r="C17" s="1835">
        <f t="shared" si="0"/>
        <v>0.16838871854249612</v>
      </c>
      <c r="D17" s="1821">
        <f>B17*Print_Summary!$I$2</f>
        <v>5893.6051489873644</v>
      </c>
      <c r="E17" s="4"/>
      <c r="F17" s="1824">
        <f t="shared" si="1"/>
        <v>3.4017922937878003E-2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331.001934256308</v>
      </c>
      <c r="C20" s="1836">
        <f t="shared" si="0"/>
        <v>4.7285990608043997</v>
      </c>
      <c r="D20" s="1827">
        <f>B20*Print_Summary!$I$2</f>
        <v>165500.96712815401</v>
      </c>
      <c r="E20" s="308"/>
      <c r="F20" s="1837">
        <f t="shared" ref="F20:F28" si="2">B20/$F$9</f>
        <v>0.95527253753624242</v>
      </c>
    </row>
    <row r="21" spans="1:6" ht="13.9" x14ac:dyDescent="0.4">
      <c r="A21" s="1834" t="s">
        <v>778</v>
      </c>
      <c r="B21" s="1835">
        <f>Budget!F34+Budget!F35</f>
        <v>5</v>
      </c>
      <c r="C21" s="1835">
        <f t="shared" si="0"/>
        <v>7.1428571428571425E-2</v>
      </c>
      <c r="D21" s="1821">
        <f>B21*Print_Summary!$I$2</f>
        <v>2500</v>
      </c>
      <c r="E21" s="4"/>
      <c r="F21" s="1824">
        <f t="shared" si="2"/>
        <v>1.443001443001443E-2</v>
      </c>
    </row>
    <row r="22" spans="1:6" ht="13.9" x14ac:dyDescent="0.4">
      <c r="A22" s="1834" t="s">
        <v>1</v>
      </c>
      <c r="B22" s="1835">
        <f>Budget!F36</f>
        <v>27</v>
      </c>
      <c r="C22" s="1835">
        <f t="shared" si="0"/>
        <v>0.38571428571428573</v>
      </c>
      <c r="D22" s="1821">
        <f>B22*Print_Summary!$I$2</f>
        <v>13500</v>
      </c>
      <c r="E22" s="4"/>
      <c r="F22" s="1824">
        <f t="shared" si="2"/>
        <v>7.792207792207792E-2</v>
      </c>
    </row>
    <row r="23" spans="1:6" ht="13.9" x14ac:dyDescent="0.4">
      <c r="A23" s="1834" t="s">
        <v>749</v>
      </c>
      <c r="B23" s="1835">
        <f>Budget!F26+Budget!F28+Budget!F30</f>
        <v>18.992632543537667</v>
      </c>
      <c r="C23" s="1835">
        <f t="shared" si="0"/>
        <v>0.27132332205053811</v>
      </c>
      <c r="D23" s="1821">
        <f>B23*Print_Summary!$I$2</f>
        <v>9496.3162717688338</v>
      </c>
      <c r="E23" s="4"/>
      <c r="F23" s="1824">
        <f t="shared" si="2"/>
        <v>5.4812792333442037E-2</v>
      </c>
    </row>
    <row r="24" spans="1:6" ht="13.9" x14ac:dyDescent="0.4">
      <c r="A24" s="1834" t="s">
        <v>214</v>
      </c>
      <c r="B24" s="1835">
        <f>Budget!F33</f>
        <v>7.3310455191594217</v>
      </c>
      <c r="C24" s="1835">
        <f t="shared" si="0"/>
        <v>0.10472922170227746</v>
      </c>
      <c r="D24" s="1821">
        <f>B24*Print_Summary!$I$2</f>
        <v>3665.522759579711</v>
      </c>
      <c r="E24" s="4"/>
      <c r="F24" s="1824">
        <f t="shared" si="2"/>
        <v>2.1157418525712617E-2</v>
      </c>
    </row>
    <row r="25" spans="1:6" ht="13.5" x14ac:dyDescent="0.35">
      <c r="A25" s="1825" t="s">
        <v>640</v>
      </c>
      <c r="B25" s="1836">
        <f>SUM(Budget!F6:F18)+SUM(Budget!F20:F23)+SUM(Budget!F25:F36)</f>
        <v>389.32561231900513</v>
      </c>
      <c r="C25" s="1836">
        <f t="shared" si="0"/>
        <v>5.5617944617000736</v>
      </c>
      <c r="D25" s="1827">
        <f>B25*Print_Summary!$I$2</f>
        <v>194662.80615950256</v>
      </c>
      <c r="E25" s="308"/>
      <c r="F25" s="1837">
        <f t="shared" si="2"/>
        <v>1.1235948407474896</v>
      </c>
    </row>
    <row r="26" spans="1:6" ht="13.9" x14ac:dyDescent="0.4">
      <c r="A26" s="1834" t="s">
        <v>28</v>
      </c>
      <c r="B26" s="1835">
        <f>Budget!F37</f>
        <v>16.05968150815896</v>
      </c>
      <c r="C26" s="1835">
        <f t="shared" si="0"/>
        <v>0.229424021545128</v>
      </c>
      <c r="D26" s="1821">
        <f>B26*Print_Summary!$I$2</f>
        <v>8029.8407540794797</v>
      </c>
      <c r="E26" s="4"/>
      <c r="F26" s="1824">
        <f t="shared" si="2"/>
        <v>4.634828718083394E-2</v>
      </c>
    </row>
    <row r="27" spans="1:6" ht="13.9" x14ac:dyDescent="0.4">
      <c r="A27" s="1834" t="s">
        <v>228</v>
      </c>
      <c r="B27" s="1835">
        <f>SUM(Budget!F39:F43)</f>
        <v>18.2</v>
      </c>
      <c r="C27" s="1835">
        <f t="shared" si="0"/>
        <v>0.26</v>
      </c>
      <c r="D27" s="1821">
        <f>B27*Print_Summary!$I$2</f>
        <v>9100</v>
      </c>
      <c r="E27" s="4"/>
      <c r="F27" s="1824">
        <f t="shared" si="2"/>
        <v>5.2525252525252523E-2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423.58529382716415</v>
      </c>
      <c r="C29" s="1836">
        <f t="shared" si="0"/>
        <v>6.0512184832452025</v>
      </c>
      <c r="D29" s="1827">
        <f>B29*Print_Summary!$I$2</f>
        <v>211792.64691358208</v>
      </c>
      <c r="E29" s="308"/>
      <c r="F29" s="1824"/>
    </row>
    <row r="30" spans="1:6" ht="13.5" x14ac:dyDescent="0.35">
      <c r="A30" s="1825" t="s">
        <v>233</v>
      </c>
      <c r="B30" s="1826">
        <f>B9-B29-B31</f>
        <v>-38.585293827164151</v>
      </c>
      <c r="C30" s="1826">
        <f t="shared" si="0"/>
        <v>-0.55121848324520217</v>
      </c>
      <c r="D30" s="1827">
        <f>B30*Print_Summary!$I$2</f>
        <v>-19292.646913582073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101.20668203571657</v>
      </c>
      <c r="C32" s="1835">
        <f t="shared" si="0"/>
        <v>1.4458097433673796</v>
      </c>
      <c r="D32" s="1821">
        <f>B32*Print_Summary!$I$2</f>
        <v>50603.341017858285</v>
      </c>
      <c r="E32" s="4"/>
      <c r="F32" s="1824">
        <f>B32/$F$9</f>
        <v>0.29208277643785446</v>
      </c>
    </row>
    <row r="33" spans="1:6" ht="13.5" x14ac:dyDescent="0.35">
      <c r="A33" s="1825" t="s">
        <v>650</v>
      </c>
      <c r="B33" s="1836">
        <f>B29+B32</f>
        <v>524.79197586288069</v>
      </c>
      <c r="C33" s="1836">
        <f t="shared" si="0"/>
        <v>7.4970282266125814</v>
      </c>
      <c r="D33" s="1827">
        <f>B33*Print_Summary!$I$2</f>
        <v>262395.98793144035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-139.79197586288069</v>
      </c>
      <c r="C34" s="1826">
        <f t="shared" si="0"/>
        <v>-1.9970282266125814</v>
      </c>
      <c r="D34" s="1827">
        <f>B34*Print_Summary!$I$2</f>
        <v>-69895.987931440352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6.0512184832452025</v>
      </c>
      <c r="C36" s="1097"/>
      <c r="D36" s="1823">
        <f>D29/D6</f>
        <v>6.0512184832452025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7.4970282266125814</v>
      </c>
      <c r="C37" s="1097"/>
      <c r="D37" s="1823">
        <f>D33/D6</f>
        <v>7.4970282266125814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30. 2026 Wheat Enterprise Budget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70</v>
      </c>
      <c r="E3" s="1258">
        <f>A3_Production_Look_Up!B5</f>
        <v>5.5</v>
      </c>
      <c r="F3" s="9">
        <f>IF('C1_Messages_Indicators'!B3=1,(D3*E3*B3),"Error")</f>
        <v>385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120</v>
      </c>
      <c r="E6" s="10">
        <f>Seed_Chemical!D4</f>
        <v>0.32</v>
      </c>
      <c r="F6" s="9">
        <f t="shared" ref="F6:F11" si="0">D6*E6*B6</f>
        <v>38.4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250</v>
      </c>
      <c r="E7" s="10">
        <f>Fertilizer!E3</f>
        <v>0.28083333333333332</v>
      </c>
      <c r="F7" s="9">
        <f t="shared" si="0"/>
        <v>70.208333333333329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150</v>
      </c>
      <c r="E8" s="10">
        <f>Fertilizer!E4</f>
        <v>0.40500000000000003</v>
      </c>
      <c r="F8" s="9">
        <f t="shared" si="0"/>
        <v>60.750000000000007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76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50</v>
      </c>
      <c r="E10" s="10">
        <f>Fertilizer!E6</f>
        <v>0.26750000000000002</v>
      </c>
      <c r="F10" s="9">
        <f t="shared" si="0"/>
        <v>13.375</v>
      </c>
      <c r="G10" s="1319"/>
      <c r="H10" s="1976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0.125</v>
      </c>
      <c r="E12" s="10">
        <f>Fertilizer!E8</f>
        <v>82</v>
      </c>
      <c r="F12" s="9">
        <f>D12*E12*B12</f>
        <v>10.25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42.731390625000003</v>
      </c>
      <c r="F14" s="9">
        <f t="shared" si="1"/>
        <v>42.731390625000003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0</v>
      </c>
      <c r="F15" s="9">
        <f t="shared" si="1"/>
        <v>0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3.5</v>
      </c>
      <c r="F16" s="9">
        <f t="shared" si="1"/>
        <v>3.5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4</v>
      </c>
      <c r="E20" s="2">
        <v>9.5</v>
      </c>
      <c r="F20" s="9">
        <f>D20*E20*B20</f>
        <v>38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2.2233856363096218</v>
      </c>
      <c r="E25" s="18">
        <f>Irrigation!B14</f>
        <v>2.46</v>
      </c>
      <c r="F25" s="9">
        <f t="shared" ref="F25:F36" si="2">D25*E25*B25</f>
        <v>5.4695286653216693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6.4255334977571668</v>
      </c>
      <c r="F26" s="9">
        <f t="shared" si="2"/>
        <v>6.4255334977571668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2.5681632653061222</v>
      </c>
      <c r="E27" s="18">
        <f>Irrigation!B14</f>
        <v>2.46</v>
      </c>
      <c r="F27" s="9">
        <f t="shared" si="2"/>
        <v>6.31768163265306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12.5670990457805</v>
      </c>
      <c r="F28" s="9">
        <f t="shared" si="2"/>
        <v>12.5670990457805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0.49433887519618486</v>
      </c>
      <c r="E33" s="316">
        <v>14.83</v>
      </c>
      <c r="F33" s="9">
        <f t="shared" si="2"/>
        <v>7.3310455191594217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5</v>
      </c>
      <c r="F34" s="9">
        <f t="shared" si="2"/>
        <v>5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27</v>
      </c>
      <c r="F36" s="9">
        <f t="shared" si="2"/>
        <v>27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389.32561231900507</v>
      </c>
      <c r="F37" s="9">
        <f>((D37/100)*Program_Variables!D34)*SUM(F6:F36)*B37</f>
        <v>16.05968150815896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70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70</v>
      </c>
      <c r="E41" s="2">
        <f>A3_Production_Look_Up!B38</f>
        <v>0.25</v>
      </c>
      <c r="F41" s="9">
        <f>D41*E41*B41</f>
        <v>17.5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70</v>
      </c>
      <c r="E42" s="1963">
        <f>A3_Production_Look_Up!B39</f>
        <v>0.01</v>
      </c>
      <c r="F42" s="9">
        <f>D42*E42*B42</f>
        <v>0.70000000000000007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423.58529382716404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-38.585293827164037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96.387316224491968</v>
      </c>
      <c r="F48" s="9">
        <f>D48*E48</f>
        <v>96.387316224491968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4.8193658112245989</v>
      </c>
      <c r="F50" s="9">
        <f>D50*E50</f>
        <v>4.8193658112245989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101.20668203571657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524.79197586288058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-139.79197586288058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250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150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250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50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0.125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115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3" sqref="H13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0.32</v>
      </c>
      <c r="E4" s="1586">
        <f>A3_Production_Look_Up!B45</f>
        <v>120</v>
      </c>
      <c r="F4" s="1587">
        <f>D4*E4</f>
        <v>38.4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38.4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Zidua SC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5.7421875</v>
      </c>
      <c r="E12" s="1586">
        <f>IF(A5_Chem_Look_Up!$F6&gt;0,A5_Chem_Look_Up!E6,0)</f>
        <v>3</v>
      </c>
      <c r="F12" s="1587">
        <f>D12*E12</f>
        <v>17.2265625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Gramoxone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0.234375</v>
      </c>
      <c r="E13" s="1586">
        <f>IF(A5_Chem_Look_Up!$F7&gt;0,A5_Chem_Look_Up!E7,0)</f>
        <v>40</v>
      </c>
      <c r="F13" s="1587">
        <f t="shared" ref="F13:F25" si="0">D13*E13</f>
        <v>9.375</v>
      </c>
      <c r="G13" s="1574"/>
      <c r="H13" s="1977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Axial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0.21867187500000002</v>
      </c>
      <c r="E14" s="1586">
        <f>IF(A5_Chem_Look_Up!$F8&gt;0,A5_Chem_Look_Up!E8,0)</f>
        <v>15</v>
      </c>
      <c r="F14" s="1587">
        <f t="shared" si="0"/>
        <v>3.2800781250000002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Harmony Extra XP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13.5</v>
      </c>
      <c r="E15" s="1586">
        <f>IF(A5_Chem_Look_Up!$F9&gt;0,A5_Chem_Look_Up!E9,0)</f>
        <v>0.9</v>
      </c>
      <c r="F15" s="1587">
        <f t="shared" si="0"/>
        <v>12.15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Surfactant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0.21867187500000002</v>
      </c>
      <c r="E16" s="1586">
        <f>IF(A5_Chem_Look_Up!$F10&gt;0,A5_Chem_Look_Up!E10,0)</f>
        <v>3.2</v>
      </c>
      <c r="F16" s="1587">
        <f t="shared" si="0"/>
        <v>0.69975000000000009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 xml:space="preserve"> </v>
      </c>
      <c r="B17" s="1602" t="str">
        <f>IF(A5_Chem_Look_Up!$F11&gt;0,A5_Chem_Look_Up!B11," ")</f>
        <v xml:space="preserve"> </v>
      </c>
      <c r="C17" s="1603" t="str">
        <f>IF(A5_Chem_Look_Up!$F11&gt;0,A5_Chem_Look_Up!C11," ")</f>
        <v xml:space="preserve"> </v>
      </c>
      <c r="D17" s="1601">
        <f>IF(A5_Chem_Look_Up!$F11&gt;0,A5_Chem_Look_Up!D11,0)</f>
        <v>0</v>
      </c>
      <c r="E17" s="1586">
        <f>IF(A5_Chem_Look_Up!$F11&gt;0,A5_Chem_Look_Up!E11,0)</f>
        <v>0</v>
      </c>
      <c r="F17" s="1587">
        <f t="shared" si="0"/>
        <v>0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42.731390625000003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 xml:space="preserve"> </v>
      </c>
      <c r="B30" s="1602" t="str">
        <f>IF(A5_Chem_Look_Up!$F24&gt;0,A5_Chem_Look_Up!B24," ")</f>
        <v xml:space="preserve"> </v>
      </c>
      <c r="C30" s="1603" t="str">
        <f>IF(A5_Chem_Look_Up!$F24&gt;0,A5_Chem_Look_Up!C24," ")</f>
        <v xml:space="preserve"> </v>
      </c>
      <c r="D30" s="1601">
        <f>IF(A5_Chem_Look_Up!$F24&gt;0,A5_Chem_Look_Up!D24,0)</f>
        <v>0</v>
      </c>
      <c r="E30" s="1586">
        <f>IF(A5_Chem_Look_Up!$F24&gt;0,A5_Chem_Look_Up!E24,0)</f>
        <v>0</v>
      </c>
      <c r="F30" s="1587">
        <f t="shared" ref="F30:F39" si="1">D30*E30</f>
        <v>0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0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Quilt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0.25</v>
      </c>
      <c r="E44" s="1586">
        <f>IF(A5_Chem_Look_Up!$F38&gt;0,A5_Chem_Look_Up!E38,0)</f>
        <v>14</v>
      </c>
      <c r="F44" s="1587">
        <f>D44*E44</f>
        <v>3.5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3.5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3.5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1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3.5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16" workbookViewId="0">
      <selection activeCell="K27" sqref="K27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34.350033804859514</v>
      </c>
      <c r="C45" s="77">
        <f>SUM(C4:C44)</f>
        <v>6.4255334977571668</v>
      </c>
      <c r="D45" s="77">
        <f>SUM(D4:D44)</f>
        <v>5.4695286653216701</v>
      </c>
      <c r="E45" s="77">
        <f>SUM(E4:E44)</f>
        <v>3.6356516416084004</v>
      </c>
      <c r="F45" s="77">
        <f>SUM(F4:F44)</f>
        <v>49.880747609546745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48.607701685630119</v>
      </c>
      <c r="C59" s="75">
        <f>Z1_Equipment_Calculations!AC69+Z1_Equipment_Calculations!AF69</f>
        <v>9.0865286271162944</v>
      </c>
      <c r="D59" s="75">
        <f>Z1_Equipment_Calculations!AJ69</f>
        <v>3.9485510204081633</v>
      </c>
      <c r="E59" s="75">
        <f>Z1_Equipment_Calculations!AM69</f>
        <v>1.8476969387755104</v>
      </c>
      <c r="F59" s="75">
        <f t="shared" si="2"/>
        <v>63.490478271930087</v>
      </c>
      <c r="G59" s="74">
        <f>IF(Machine!$B69&gt;0,B59/Machine!$B69," ")</f>
        <v>48.607701685630119</v>
      </c>
      <c r="H59" s="75">
        <f>IF(Machine!$B69&gt;0,C59/Machine!$B69," ")</f>
        <v>9.0865286271162944</v>
      </c>
      <c r="I59" s="75">
        <f>IF(Machine!$B69&gt;0,D59/Machine!$B69," ")</f>
        <v>3.9485510204081633</v>
      </c>
      <c r="J59" s="75">
        <f>IF(Machine!$B69&gt;0,E59/Machine!$B69," ")</f>
        <v>1.8476969387755104</v>
      </c>
      <c r="K59" s="76">
        <f>IF(Machine!$B69&gt;0,F59/Machine!$B69," ")</f>
        <v>63.490478271930087</v>
      </c>
      <c r="L59" s="638">
        <f>Z1_Equipment_Calculations!N69</f>
        <v>8.9090909090909083</v>
      </c>
      <c r="M59" s="639">
        <f>Z1_Equipment_Calculations!O69</f>
        <v>0.11224489795918369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1.9140515819375326</v>
      </c>
      <c r="C63" s="48">
        <f>Z1_Equipment_Calculations!AC73+Z1_Equipment_Calculations!AF73</f>
        <v>1.2232506599167985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3.1373022418543313</v>
      </c>
      <c r="G63" s="62">
        <f>IF(Machine!$B73&gt;0,B63/Machine!$B73," ")</f>
        <v>1.9140515819375326</v>
      </c>
      <c r="H63" s="48">
        <f>IF(Machine!$B73&gt;0,C63/Machine!$B73," ")</f>
        <v>1.2232506599167985</v>
      </c>
      <c r="I63" s="48">
        <f>IF(Machine!$B73&gt;0,D63/Machine!$B73," ")</f>
        <v>0</v>
      </c>
      <c r="J63" s="48">
        <f>IF(Machine!$B73&gt;0,E63/Machine!$B73," ")</f>
        <v>0</v>
      </c>
      <c r="K63" s="53">
        <f>IF(Machine!$B73&gt;0,F63/Machine!$B73," ")</f>
        <v>3.1373022418543313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11.515529152064808</v>
      </c>
      <c r="C64" s="72">
        <f>Z1_Equipment_Calculations!AC74+Z1_Equipment_Calculations!AF74</f>
        <v>2.257319758747407</v>
      </c>
      <c r="D64" s="72">
        <f>Z1_Equipment_Calculations!AJ74</f>
        <v>2.3691306122448981</v>
      </c>
      <c r="E64" s="72">
        <f>Z1_Equipment_Calculations!AM74</f>
        <v>1.8476969387755104</v>
      </c>
      <c r="F64" s="72">
        <f t="shared" si="2"/>
        <v>17.989676461832623</v>
      </c>
      <c r="G64" s="71">
        <f>IF(Machine!$B74&gt;0,B64/Machine!$B74," ")</f>
        <v>11.515529152064808</v>
      </c>
      <c r="H64" s="72">
        <f>IF(Machine!$B74&gt;0,C64/Machine!$B74," ")</f>
        <v>2.257319758747407</v>
      </c>
      <c r="I64" s="72">
        <f>IF(Machine!$B74&gt;0,D64/Machine!$B74," ")</f>
        <v>2.3691306122448981</v>
      </c>
      <c r="J64" s="72">
        <f>IF(Machine!$B74&gt;0,E64/Machine!$B74," ")</f>
        <v>1.8476969387755104</v>
      </c>
      <c r="K64" s="73">
        <f>IF(Machine!$B74&gt;0,F64/Machine!$B74," ")</f>
        <v>17.989676461832623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62.037282419632461</v>
      </c>
      <c r="C72" s="77">
        <f>SUM(C54:C71)</f>
        <v>12.5670990457805</v>
      </c>
      <c r="D72" s="77">
        <f>SUM(D54:D71)</f>
        <v>6.3176816326530609</v>
      </c>
      <c r="E72" s="77">
        <f>SUM(E54:E71)</f>
        <v>3.6953938775510209</v>
      </c>
      <c r="F72" s="77">
        <f>SUM(F54:F71)</f>
        <v>84.617456975617046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96.387316224491968</v>
      </c>
      <c r="C74" s="77">
        <f>C45+C51+C72</f>
        <v>18.992632543537667</v>
      </c>
      <c r="D74" s="77">
        <f>D45+D51+D72</f>
        <v>11.787210297974731</v>
      </c>
      <c r="E74" s="77">
        <f>E45+E51+E72</f>
        <v>7.3310455191594208</v>
      </c>
      <c r="F74" s="77">
        <f>F45+F51+F72</f>
        <v>134.49820458516379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42.935926957738964</v>
      </c>
      <c r="D59" s="1288">
        <f>SUM(Z2_Machine_Custom_Calculations!W69:Y69)</f>
        <v>5.6717747278911572</v>
      </c>
      <c r="E59" s="1288">
        <f>Z2_Machine_Custom_Calculations!AC69+Z2_Machine_Custom_Calculations!AF69</f>
        <v>9.0865286271162944</v>
      </c>
      <c r="F59" s="1288">
        <f>Z2_Machine_Custom_Calculations!AJ69</f>
        <v>3.9485510204081633</v>
      </c>
      <c r="G59" s="1288">
        <f>Z2_Machine_Custom_Calculations!AM69</f>
        <v>1.8476969387755104</v>
      </c>
      <c r="H59" s="1289">
        <f t="shared" si="10"/>
        <v>63.490478271930087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47.669917930021199</v>
      </c>
      <c r="T60" s="1292">
        <f t="shared" si="18"/>
        <v>6.2971281850340146</v>
      </c>
      <c r="U60" s="1292">
        <f t="shared" si="18"/>
        <v>12.511630474883329</v>
      </c>
      <c r="V60" s="1292">
        <f t="shared" si="18"/>
        <v>3.9485510204081633</v>
      </c>
      <c r="W60" s="1292">
        <f t="shared" si="18"/>
        <v>1.8476969387755104</v>
      </c>
      <c r="X60" s="1292">
        <f t="shared" si="18"/>
        <v>72.274924549122218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44.915201533779076</v>
      </c>
      <c r="T61" s="1292">
        <f t="shared" si="18"/>
        <v>5.9332340770975067</v>
      </c>
      <c r="U61" s="1292">
        <f t="shared" si="18"/>
        <v>10.518558609286933</v>
      </c>
      <c r="V61" s="1292">
        <f t="shared" si="18"/>
        <v>3.9485510204081633</v>
      </c>
      <c r="W61" s="1292">
        <f t="shared" si="18"/>
        <v>1.8476969387755104</v>
      </c>
      <c r="X61" s="1292">
        <f t="shared" si="18"/>
        <v>67.163242179347179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49.32925497185208</v>
      </c>
      <c r="T62" s="1292">
        <f t="shared" si="18"/>
        <v>6.5163242421768715</v>
      </c>
      <c r="U62" s="1292">
        <f t="shared" si="18"/>
        <v>13.712181638018166</v>
      </c>
      <c r="V62" s="1292">
        <f t="shared" si="18"/>
        <v>3.9485510204081633</v>
      </c>
      <c r="W62" s="1292">
        <f t="shared" si="18"/>
        <v>1.8476969387755104</v>
      </c>
      <c r="X62" s="1292">
        <f t="shared" si="18"/>
        <v>75.354008811230784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44.626638019268334</v>
      </c>
      <c r="T63" s="1292">
        <f t="shared" si="18"/>
        <v>5.8951152482993203</v>
      </c>
      <c r="U63" s="1292">
        <f t="shared" si="18"/>
        <v>10.309779287033093</v>
      </c>
      <c r="V63" s="1292">
        <f t="shared" si="18"/>
        <v>3.9485510204081633</v>
      </c>
      <c r="W63" s="1292">
        <f t="shared" si="18"/>
        <v>1.8476969387755104</v>
      </c>
      <c r="X63" s="1292">
        <f t="shared" si="18"/>
        <v>66.627780513784415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10.023150920772292</v>
      </c>
      <c r="D64" s="1298">
        <f>SUM(Z2_Machine_Custom_Calculations!W74:Y74)</f>
        <v>1.4923782312925171</v>
      </c>
      <c r="E64" s="1298">
        <f>Z2_Machine_Custom_Calculations!AC74+Z2_Machine_Custom_Calculations!AF74</f>
        <v>2.257319758747407</v>
      </c>
      <c r="F64" s="1298">
        <f>Z2_Machine_Custom_Calculations!AJ74</f>
        <v>2.3691306122448981</v>
      </c>
      <c r="G64" s="1298">
        <f>Z2_Machine_Custom_Calculations!AM74</f>
        <v>1.8476969387755104</v>
      </c>
      <c r="H64" s="1299">
        <f t="shared" si="10"/>
        <v>17.989676461832623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10.023150920772292</v>
      </c>
      <c r="T64" s="1292">
        <f t="shared" si="19"/>
        <v>1.4923782312925171</v>
      </c>
      <c r="U64" s="1292">
        <f t="shared" si="19"/>
        <v>2.257319758747407</v>
      </c>
      <c r="V64" s="1292">
        <f t="shared" si="19"/>
        <v>2.3691306122448981</v>
      </c>
      <c r="W64" s="1292">
        <f t="shared" si="19"/>
        <v>1.8476969387755104</v>
      </c>
      <c r="X64" s="1292">
        <f t="shared" si="19"/>
        <v>17.989676461832623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1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>
        <f>IF(AE2&gt;0,A2_Budget_Look_Up!$C$4," ")</f>
        <v>28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70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70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5.5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250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250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150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150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100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50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50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0.125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0.125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4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4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2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5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5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27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27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0.25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0.01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16.95</v>
      </c>
      <c r="H39" s="1049">
        <f>(1+2.2)+(0.005*500*Budget!$E$3)</f>
        <v>16.95</v>
      </c>
      <c r="I39" s="1049">
        <f>(1+2.2)+(0.005*500*Budget!$E$3)</f>
        <v>16.95</v>
      </c>
      <c r="J39" s="1049">
        <f>(1+2.2)+(0.005*500*Budget!$E$3)</f>
        <v>16.95</v>
      </c>
      <c r="K39" s="1049">
        <f>(1+2.2)+(0.005*500*Budget!$E$3)</f>
        <v>16.95</v>
      </c>
      <c r="L39" s="1049">
        <f>(1+2.2)+(0.005*500*Budget!$E$3)</f>
        <v>16.95</v>
      </c>
      <c r="M39" s="1049">
        <f>(1+2.2)+(0.005*500*Budget!$E$3)</f>
        <v>16.95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2.75E-2</v>
      </c>
      <c r="W39" s="1886">
        <f>(Budget!$E$3*(0.01/2))</f>
        <v>2.75E-2</v>
      </c>
      <c r="X39" s="1886">
        <f>(Budget!$E$3*(0.01/2))</f>
        <v>2.75E-2</v>
      </c>
      <c r="Y39" s="1886">
        <f>(Budget!$E$3*(0.01/2))</f>
        <v>2.75E-2</v>
      </c>
      <c r="Z39" s="1886">
        <f>(Budget!$E$3*(0.01/2))</f>
        <v>2.75E-2</v>
      </c>
      <c r="AA39" s="1886">
        <f>(Budget!$E$3*(0.01/2))</f>
        <v>2.75E-2</v>
      </c>
      <c r="AB39" s="1886">
        <f>(Budget!$E$3*(0.01/2))</f>
        <v>2.75E-2</v>
      </c>
      <c r="AC39" s="1886">
        <f>(Budget!$E$3*(0.01/2))</f>
        <v>2.75E-2</v>
      </c>
      <c r="AD39" s="1886">
        <f>(Budget!$E$3*(0.01/2))</f>
        <v>2.75E-2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2.75E-2</v>
      </c>
      <c r="AM39" s="1886">
        <f>(Budget!$E$3*(0.01/2))</f>
        <v>2.75E-2</v>
      </c>
      <c r="AN39" s="1886">
        <f>(Budget!$E$3*(0.01/2))</f>
        <v>2.75E-2</v>
      </c>
      <c r="AO39" s="1049">
        <f>(1+2.2)+(0.005*500*Budget!$E$3)</f>
        <v>16.95</v>
      </c>
      <c r="AP39" s="1049">
        <f>(1+2.2)+(0.005*500*Budget!$E$3)</f>
        <v>16.95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0.01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0.32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0.32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120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120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3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1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1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1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1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1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1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1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1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1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3.5</v>
      </c>
      <c r="M69" s="224">
        <f>EquipmentSpecs!C69</f>
        <v>0.7</v>
      </c>
      <c r="N69" s="89">
        <f t="shared" si="30"/>
        <v>8.9090909090909083</v>
      </c>
      <c r="O69" s="226">
        <f t="shared" si="31"/>
        <v>0.11224489795918369</v>
      </c>
      <c r="P69" s="270"/>
      <c r="Q69" s="20"/>
      <c r="R69" s="339">
        <f>Machine!H69</f>
        <v>325</v>
      </c>
      <c r="S69" s="1197">
        <v>1</v>
      </c>
      <c r="T69" s="89">
        <f t="shared" si="32"/>
        <v>42.935926957738964</v>
      </c>
      <c r="U69" s="269"/>
      <c r="V69" s="269"/>
      <c r="W69" s="1144">
        <f t="shared" si="33"/>
        <v>1.9423886054421771</v>
      </c>
      <c r="X69" s="1144">
        <f t="shared" si="33"/>
        <v>1.9423886054421771</v>
      </c>
      <c r="Y69" s="1144">
        <f t="shared" si="33"/>
        <v>1.7869975170068029</v>
      </c>
      <c r="Z69" s="1136">
        <f t="shared" si="34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5"/>
        <v>14.299999999999999</v>
      </c>
      <c r="AH69" s="89">
        <f t="shared" si="36"/>
        <v>3.9485510204081633</v>
      </c>
      <c r="AI69" s="89">
        <f t="shared" si="37"/>
        <v>0.39485510204081636</v>
      </c>
      <c r="AJ69" s="89">
        <f t="shared" si="38"/>
        <v>3.9485510204081633</v>
      </c>
      <c r="AK69" s="227">
        <f>EquipmentSpecs!L69</f>
        <v>1.1100000000000001</v>
      </c>
      <c r="AL69" s="226">
        <f t="shared" si="39"/>
        <v>0.1245918367346939</v>
      </c>
      <c r="AM69" s="230">
        <f t="shared" si="40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3.5</v>
      </c>
      <c r="M74" s="233">
        <f>EquipmentSpecs!C74</f>
        <v>0.7</v>
      </c>
      <c r="N74" s="235">
        <f t="shared" si="30"/>
        <v>8.9090909090909083</v>
      </c>
      <c r="O74" s="236">
        <f t="shared" si="31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3"/>
        <v>0.51108843537414972</v>
      </c>
      <c r="X74" s="1146">
        <f t="shared" si="33"/>
        <v>0.51108843537414972</v>
      </c>
      <c r="Y74" s="1146">
        <f t="shared" si="33"/>
        <v>0.47020136054421779</v>
      </c>
      <c r="Z74" s="1139">
        <f t="shared" si="34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1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39"/>
        <v>0.1245918367346939</v>
      </c>
      <c r="AM74" s="241">
        <f t="shared" si="40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301.45491777108435</v>
      </c>
      <c r="U83" s="17"/>
      <c r="V83" s="257">
        <f>SUM(V64:V81)</f>
        <v>1537.4836020947846</v>
      </c>
      <c r="W83" s="1147"/>
      <c r="X83" s="1147">
        <f>Z83-(T83+V83)</f>
        <v>265.63668398527329</v>
      </c>
      <c r="Y83" s="1148">
        <f>(Z83-(T83+V83))/(T83+V83)</f>
        <v>0.14445109562697542</v>
      </c>
      <c r="Z83" s="257">
        <f>SUM(Z64:Z81)</f>
        <v>2104.5752038511423</v>
      </c>
      <c r="AA83" s="17"/>
      <c r="AB83" s="17"/>
      <c r="AC83" s="257">
        <f>SUM(AC64:AC81)</f>
        <v>111.18009884491087</v>
      </c>
      <c r="AD83" s="258"/>
      <c r="AE83" s="17"/>
      <c r="AF83" s="257">
        <f>SUM(AF64:AF81)</f>
        <v>142.72949949508899</v>
      </c>
      <c r="AG83" s="17"/>
      <c r="AH83" s="257">
        <f>SUM(AH64:AH81)</f>
        <v>970.30588149575181</v>
      </c>
      <c r="AI83" s="257">
        <f>SUM(AI64:AI81)</f>
        <v>97.030588149575181</v>
      </c>
      <c r="AJ83" s="257"/>
      <c r="AK83" s="17"/>
      <c r="AL83" s="259">
        <f>SUM(AL64:AL81)</f>
        <v>42.048991475132567</v>
      </c>
      <c r="AM83" s="257">
        <f>SUM(AM64:AM81)</f>
        <v>623.58654357621606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70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70</v>
      </c>
    </row>
    <row r="5" spans="2:14" ht="13.9" x14ac:dyDescent="0.4">
      <c r="B5" s="4" t="s">
        <v>21</v>
      </c>
      <c r="C5" s="1792">
        <f>Print_Budget!E3</f>
        <v>5.5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385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38.4</v>
      </c>
      <c r="D9" s="3"/>
      <c r="E9" s="1190"/>
      <c r="F9" s="3"/>
      <c r="G9" s="1185" t="s">
        <v>223</v>
      </c>
      <c r="H9" s="1800">
        <f>C9</f>
        <v>38.4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166.33333333333334</v>
      </c>
      <c r="D10" s="3"/>
      <c r="E10" s="1190"/>
      <c r="F10" s="3"/>
      <c r="G10" s="1185" t="s">
        <v>420</v>
      </c>
      <c r="H10" s="1794">
        <f t="shared" ref="H10:H21" si="0">C10</f>
        <v>166.33333333333334</v>
      </c>
      <c r="I10" s="3"/>
      <c r="J10" s="3"/>
      <c r="K10" s="1190"/>
      <c r="L10" s="3"/>
      <c r="M10" s="648" t="s">
        <v>777</v>
      </c>
      <c r="N10" s="1542">
        <f>Print_Summary!B20</f>
        <v>331.001934256308</v>
      </c>
    </row>
    <row r="11" spans="2:14" ht="13.9" x14ac:dyDescent="0.4">
      <c r="B11" s="1185" t="s">
        <v>494</v>
      </c>
      <c r="C11" s="1794">
        <f>SUM(Print_Budget!F13:F17)</f>
        <v>46.231390625000003</v>
      </c>
      <c r="D11" s="3"/>
      <c r="E11" s="1190"/>
      <c r="F11" s="3"/>
      <c r="G11" s="1185" t="s">
        <v>494</v>
      </c>
      <c r="H11" s="1794">
        <f t="shared" si="0"/>
        <v>46.231390625000003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74.383359570856044</v>
      </c>
    </row>
    <row r="12" spans="2:14" ht="13.9" x14ac:dyDescent="0.4">
      <c r="B12" s="1185" t="s">
        <v>225</v>
      </c>
      <c r="C12" s="1794">
        <f>SUM(Print_Budget!F19:F22)</f>
        <v>58</v>
      </c>
      <c r="D12" s="3"/>
      <c r="E12" s="1190"/>
      <c r="F12" s="3"/>
      <c r="G12" s="1185" t="s">
        <v>225</v>
      </c>
      <c r="H12" s="1794">
        <f t="shared" si="0"/>
        <v>58</v>
      </c>
      <c r="I12" s="3"/>
      <c r="J12" s="3"/>
      <c r="K12" s="1190"/>
      <c r="L12" s="3"/>
      <c r="M12" s="648" t="s">
        <v>168</v>
      </c>
      <c r="N12" s="182">
        <f>SUM(N10:N11)</f>
        <v>405.38529382716405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18.2</v>
      </c>
    </row>
    <row r="14" spans="2:14" ht="13.9" x14ac:dyDescent="0.4">
      <c r="B14" s="1185" t="s">
        <v>779</v>
      </c>
      <c r="C14" s="1794">
        <f>Print_Budget!F24+Print_Budget!F26</f>
        <v>11.787210297974729</v>
      </c>
      <c r="D14" s="3"/>
      <c r="E14" s="1190"/>
      <c r="F14" s="3"/>
      <c r="G14" s="1185" t="s">
        <v>779</v>
      </c>
      <c r="H14" s="1794">
        <f t="shared" si="0"/>
        <v>11.787210297974729</v>
      </c>
      <c r="I14" s="3"/>
      <c r="J14" s="3"/>
      <c r="K14" s="1190"/>
      <c r="L14" s="3"/>
      <c r="M14" s="652" t="s">
        <v>1007</v>
      </c>
      <c r="N14" s="173">
        <f>SUM(N12:N13)-N8</f>
        <v>423.58529382716404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5</v>
      </c>
      <c r="D16" s="3"/>
      <c r="E16" s="1190"/>
      <c r="F16" s="3"/>
      <c r="G16" s="1185" t="s">
        <v>778</v>
      </c>
      <c r="H16" s="1794">
        <f t="shared" si="0"/>
        <v>5</v>
      </c>
      <c r="I16" s="3"/>
      <c r="J16" s="3"/>
      <c r="K16" s="1190"/>
      <c r="L16" s="3"/>
      <c r="M16" s="652" t="s">
        <v>233</v>
      </c>
      <c r="N16" s="173">
        <f>N7-N14-N15</f>
        <v>-38.585293827164037</v>
      </c>
    </row>
    <row r="17" spans="2:14" ht="13.9" x14ac:dyDescent="0.4">
      <c r="B17" s="1185" t="s">
        <v>1</v>
      </c>
      <c r="C17" s="1794">
        <f>Print_Budget!F35</f>
        <v>27</v>
      </c>
      <c r="D17" s="3"/>
      <c r="E17" s="1190"/>
      <c r="F17" s="3"/>
      <c r="G17" s="1185" t="s">
        <v>1</v>
      </c>
      <c r="H17" s="1794">
        <f t="shared" si="0"/>
        <v>27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18.992632543537667</v>
      </c>
      <c r="D18" s="3"/>
      <c r="E18" s="1190"/>
      <c r="F18" s="3"/>
      <c r="G18" s="1185" t="s">
        <v>205</v>
      </c>
      <c r="H18" s="1794">
        <f t="shared" si="0"/>
        <v>18.992632543537667</v>
      </c>
      <c r="I18" s="3"/>
      <c r="J18" s="3"/>
      <c r="K18" s="1190"/>
      <c r="L18" s="3"/>
      <c r="M18" s="648" t="s">
        <v>249</v>
      </c>
      <c r="N18" s="1803">
        <f>Print_Summary!B32</f>
        <v>101.20668203571657</v>
      </c>
    </row>
    <row r="19" spans="2:14" ht="13.9" x14ac:dyDescent="0.4">
      <c r="B19" s="1185" t="s">
        <v>214</v>
      </c>
      <c r="C19" s="1794">
        <f>Trips!E45+Trips!E51+Trips!E72+Trips!E76</f>
        <v>7.3310455191594208</v>
      </c>
      <c r="D19" s="3"/>
      <c r="E19" s="1190"/>
      <c r="F19" s="3"/>
      <c r="G19" s="1185" t="s">
        <v>214</v>
      </c>
      <c r="H19" s="1794">
        <f t="shared" si="0"/>
        <v>7.3310455191594208</v>
      </c>
      <c r="I19" s="3"/>
      <c r="J19" s="3"/>
      <c r="K19" s="1190"/>
      <c r="L19" s="3"/>
      <c r="M19" s="308" t="s">
        <v>650</v>
      </c>
      <c r="N19" s="173">
        <f>N14+N18</f>
        <v>524.79197586288058</v>
      </c>
    </row>
    <row r="20" spans="2:14" ht="13.9" x14ac:dyDescent="0.4">
      <c r="B20" s="1185" t="s">
        <v>28</v>
      </c>
      <c r="C20" s="1794">
        <f>Print_Budget!F36</f>
        <v>16.05968150815896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-139.79197586288058</v>
      </c>
    </row>
    <row r="22" spans="2:14" ht="13.9" x14ac:dyDescent="0.4">
      <c r="B22" s="1185" t="s">
        <v>790</v>
      </c>
      <c r="C22" s="1794">
        <f>Print_Budget!F39+Print_Budget!F40</f>
        <v>17.5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0.70000000000000007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96.387316224491968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96.387316224491968</v>
      </c>
      <c r="D26" s="3"/>
      <c r="E26" s="1190"/>
      <c r="F26" s="3"/>
      <c r="G26" s="648" t="s">
        <v>647</v>
      </c>
      <c r="H26" s="1801">
        <f>C28</f>
        <v>4.8193658112245989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4.8193658112245989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320.75193425630812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379.07561231900519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413.33529382716415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101.20668203571657</v>
      </c>
    </row>
    <row r="34" spans="2:3" ht="13.5" x14ac:dyDescent="0.35">
      <c r="B34" s="308" t="s">
        <v>650</v>
      </c>
      <c r="C34" s="173">
        <f>C32+C33</f>
        <v>514.54197586288069</v>
      </c>
    </row>
    <row r="35" spans="2:3" ht="13.5" x14ac:dyDescent="0.35">
      <c r="B35" s="308" t="s">
        <v>761</v>
      </c>
      <c r="C35" s="173">
        <f>(C4*C5*C6)-C24-C34</f>
        <v>-129.54197586288069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>
        <f>IF(Machine!B73&gt;0,Machine!B73," ")</f>
        <v>1</v>
      </c>
      <c r="E64" s="1525"/>
      <c r="F64" s="1354">
        <f>IF(Machine!$B73&gt;0,E64*Trips!$M$59*$D64," ")</f>
        <v>0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58</v>
      </c>
      <c r="C4" s="182">
        <f>SUM(A5_Chem_Look_Up!G24:G33)+SUM(A5_Chem_Look_Up!G38:G39)</f>
        <v>14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58</v>
      </c>
      <c r="C6" s="182">
        <f>C4+C5</f>
        <v>14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1.7152658662092624</v>
      </c>
      <c r="C7" s="1456">
        <f>C6/$E$6</f>
        <v>0.41402969184361504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11.04631217838765</v>
      </c>
      <c r="C9" s="1459">
        <f>C7*C8</f>
        <v>2.252321523629266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250</v>
      </c>
      <c r="D15" s="1456">
        <f>C15/$B$12</f>
        <v>113.39797017633384</v>
      </c>
      <c r="E15" s="1456">
        <v>1.3</v>
      </c>
      <c r="F15" s="1456">
        <f>D15*E15</f>
        <v>147.41736122923399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150</v>
      </c>
      <c r="D16" s="1456">
        <f>C16/$B$12</f>
        <v>68.038782105800308</v>
      </c>
      <c r="E16" s="1456">
        <v>0.2</v>
      </c>
      <c r="F16" s="1456">
        <f>D16*E16</f>
        <v>13.607756421160062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168.28258774167944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250</v>
      </c>
      <c r="D22" s="1456">
        <f>C22/$B$12</f>
        <v>113.39797017633384</v>
      </c>
      <c r="E22" s="1456">
        <v>1.27</v>
      </c>
      <c r="F22" s="1459">
        <f>D22*E22</f>
        <v>144.01542212394398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4.7915489016157444</v>
      </c>
      <c r="D28" s="1456">
        <f>C28/$B$25</f>
        <v>18.138126591269803</v>
      </c>
      <c r="E28" s="1456">
        <v>0.84</v>
      </c>
      <c r="F28" s="1456">
        <f>D28*E28</f>
        <v>15.236026336666633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15.236026336666633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340.83266990430695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842.23161060053292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355.87650961047797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486.35510099005495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28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Zidua SC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5.7421875</v>
      </c>
      <c r="E6" s="1165">
        <f>VLOOKUP(1,$I$6:$P$3099,6,FALSE)</f>
        <v>3</v>
      </c>
      <c r="F6" s="82">
        <f>D6*E6</f>
        <v>17.2265625</v>
      </c>
      <c r="G6" s="1166">
        <f>VLOOKUP(1,$I$6:$P$3099,8,FALSE)</f>
        <v>3</v>
      </c>
      <c r="H6" s="1073">
        <f>VLOOKUP(1,$I$6:$Q$3099,9,FALSE)</f>
        <v>28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Gramoxone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0.234375</v>
      </c>
      <c r="E7" s="1165">
        <f>VLOOKUP(2,$I$6:$P$3099,6,FALSE)</f>
        <v>40</v>
      </c>
      <c r="F7" s="82">
        <f>D7*E7</f>
        <v>9.375</v>
      </c>
      <c r="G7" s="1166">
        <f>VLOOKUP(2,$I$6:$P$3099,8,FALSE)</f>
        <v>40</v>
      </c>
      <c r="H7" s="1073">
        <f>VLOOKUP(2,$I$6:$Q$3099,9,FALSE)</f>
        <v>28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Axial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0.21867187500000002</v>
      </c>
      <c r="E8" s="1165">
        <f>VLOOKUP(3,$I$6:$P$3099,6,FALSE)</f>
        <v>15</v>
      </c>
      <c r="F8" s="82">
        <f t="shared" ref="F8:F19" si="2">D8*E8</f>
        <v>3.2800781250000002</v>
      </c>
      <c r="G8" s="1166">
        <f>VLOOKUP(3,$I$6:$P$3099,8,FALSE)</f>
        <v>15</v>
      </c>
      <c r="H8" s="1073">
        <f>VLOOKUP(3,$I$6:$Q$3099,9,FALSE)</f>
        <v>28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Harmony Extra XP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13.5</v>
      </c>
      <c r="E9" s="1165">
        <f>VLOOKUP(4,$I$6:$P$3099,6,FALSE)</f>
        <v>0.9</v>
      </c>
      <c r="F9" s="82">
        <f t="shared" si="2"/>
        <v>12.15</v>
      </c>
      <c r="G9" s="1166">
        <f>VLOOKUP(4,$I$6:$P$3099,8,FALSE)</f>
        <v>0</v>
      </c>
      <c r="H9" s="1073">
        <f>VLOOKUP(4,$I$6:$Q$3099,9,FALSE)</f>
        <v>28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Surfactant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0.21867187500000002</v>
      </c>
      <c r="E10" s="1165">
        <f>VLOOKUP(5,$I$6:$P$3099,6,FALSE)</f>
        <v>3.2</v>
      </c>
      <c r="F10" s="82">
        <f t="shared" si="2"/>
        <v>0.69975000000000009</v>
      </c>
      <c r="G10" s="1166">
        <f>VLOOKUP(5,$I$6:$P$3099,8,FALSE)</f>
        <v>0</v>
      </c>
      <c r="H10" s="1073">
        <f>VLOOKUP(5,$I$6:$Q$3099,9,FALSE)</f>
        <v>28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Other</v>
      </c>
      <c r="B11" s="1166" t="str">
        <f>VLOOKUP(6,$I$6:$P$3099,3,FALSE)</f>
        <v/>
      </c>
      <c r="C11" s="1166">
        <f>VLOOKUP(6,$I$6:$P$3099,4,FALSE)</f>
        <v>0</v>
      </c>
      <c r="D11" s="1165">
        <f>VLOOKUP(6,$I$6:$P$3099,5,FALSE)</f>
        <v>0</v>
      </c>
      <c r="E11" s="1165">
        <f>VLOOKUP(6,$I$6:$P$3099,6,FALSE)</f>
        <v>0</v>
      </c>
      <c r="F11" s="82">
        <f t="shared" si="2"/>
        <v>0</v>
      </c>
      <c r="G11" s="1166">
        <f>VLOOKUP(6,$I$6:$P$3099,8,FALSE)</f>
        <v>0</v>
      </c>
      <c r="H11" s="1073">
        <f>VLOOKUP(6,$I$6:$Q$3099,9,FALSE)</f>
        <v>28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28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28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28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28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28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28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28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28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42.731390625000003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Other</v>
      </c>
      <c r="B24" s="1166" t="str">
        <f>VLOOKUP(15,$I$6:$P$3099,3,FALSE)</f>
        <v/>
      </c>
      <c r="C24" s="1166">
        <f>VLOOKUP(15,$I$6:$P$3099,4,FALSE)</f>
        <v>0</v>
      </c>
      <c r="D24" s="1165">
        <f>VLOOKUP(15,$I$6:$P$3099,5,FALSE)</f>
        <v>0</v>
      </c>
      <c r="E24" s="1165">
        <f>VLOOKUP(15,$I$6:$P$3099,6,FALSE)</f>
        <v>0</v>
      </c>
      <c r="F24" s="82">
        <f t="shared" ref="F24:F33" si="4">D24*E24</f>
        <v>0</v>
      </c>
      <c r="G24" s="1166">
        <f>VLOOKUP(15,$I$6:$P$3099,8,FALSE)</f>
        <v>0</v>
      </c>
      <c r="H24" s="1073">
        <f>VLOOKUP(15,$I$6:$Q$3099,9,FALSE)</f>
        <v>28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28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28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28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28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28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28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28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28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28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0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Quilt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0.25</v>
      </c>
      <c r="E38" s="1165">
        <f>VLOOKUP(25,$I$6:$P$3099,6,FALSE)</f>
        <v>14</v>
      </c>
      <c r="F38" s="82">
        <f>D38*E38</f>
        <v>3.5</v>
      </c>
      <c r="G38" s="1166">
        <f>VLOOKUP(25,$I$6:$P$3099,8,FALSE)</f>
        <v>14</v>
      </c>
      <c r="H38" s="1073">
        <f>VLOOKUP(25,$I$6:$Q$3099,9,FALSE)</f>
        <v>28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28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3.5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28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28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28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28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28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28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28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28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28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28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28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28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28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28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1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28</v>
      </c>
    </row>
    <row r="1681" spans="9:17" ht="13.9" x14ac:dyDescent="0.4">
      <c r="I1681" s="1073">
        <f t="shared" ref="I1681:I1693" si="337">IF($A$1=28,I1680+1,0)</f>
        <v>2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28</v>
      </c>
    </row>
    <row r="1682" spans="9:17" ht="13.9" x14ac:dyDescent="0.4">
      <c r="I1682" s="1073">
        <f t="shared" si="337"/>
        <v>3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28</v>
      </c>
    </row>
    <row r="1683" spans="9:17" ht="13.9" x14ac:dyDescent="0.4">
      <c r="I1683" s="1073">
        <f t="shared" si="337"/>
        <v>4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28</v>
      </c>
    </row>
    <row r="1684" spans="9:17" ht="13.9" x14ac:dyDescent="0.4">
      <c r="I1684" s="1073">
        <f t="shared" si="337"/>
        <v>5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28</v>
      </c>
    </row>
    <row r="1685" spans="9:17" ht="13.9" x14ac:dyDescent="0.4">
      <c r="I1685" s="1073">
        <f t="shared" si="337"/>
        <v>6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28</v>
      </c>
    </row>
    <row r="1686" spans="9:17" ht="13.9" x14ac:dyDescent="0.4">
      <c r="I1686" s="1073">
        <f t="shared" si="337"/>
        <v>7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28</v>
      </c>
    </row>
    <row r="1687" spans="9:17" ht="13.9" x14ac:dyDescent="0.4">
      <c r="I1687" s="1073">
        <f t="shared" si="337"/>
        <v>8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28</v>
      </c>
    </row>
    <row r="1688" spans="9:17" ht="13.9" x14ac:dyDescent="0.4">
      <c r="I1688" s="1073">
        <f t="shared" si="337"/>
        <v>9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28</v>
      </c>
    </row>
    <row r="1689" spans="9:17" ht="13.9" x14ac:dyDescent="0.4">
      <c r="I1689" s="1073">
        <f t="shared" si="337"/>
        <v>10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28</v>
      </c>
    </row>
    <row r="1690" spans="9:17" ht="13.9" x14ac:dyDescent="0.4">
      <c r="I1690" s="1073">
        <f t="shared" si="337"/>
        <v>11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28</v>
      </c>
    </row>
    <row r="1691" spans="9:17" ht="13.9" x14ac:dyDescent="0.4">
      <c r="I1691" s="1073">
        <f t="shared" si="337"/>
        <v>12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28</v>
      </c>
    </row>
    <row r="1692" spans="9:17" ht="13.9" x14ac:dyDescent="0.4">
      <c r="I1692" s="1073">
        <f t="shared" si="337"/>
        <v>13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28</v>
      </c>
    </row>
    <row r="1693" spans="9:17" ht="13.9" x14ac:dyDescent="0.4">
      <c r="I1693" s="1073">
        <f t="shared" si="337"/>
        <v>14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28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15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28</v>
      </c>
    </row>
    <row r="1699" spans="9:17" ht="13.9" x14ac:dyDescent="0.4">
      <c r="I1699" s="1073">
        <f t="shared" ref="I1699:I1707" si="340">IF($A$1=28,I1698+1,0)</f>
        <v>16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28</v>
      </c>
    </row>
    <row r="1700" spans="9:17" ht="13.9" x14ac:dyDescent="0.4">
      <c r="I1700" s="1073">
        <f t="shared" si="340"/>
        <v>17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28</v>
      </c>
    </row>
    <row r="1701" spans="9:17" ht="13.9" x14ac:dyDescent="0.4">
      <c r="I1701" s="1073">
        <f t="shared" si="340"/>
        <v>18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28</v>
      </c>
    </row>
    <row r="1702" spans="9:17" ht="13.9" x14ac:dyDescent="0.4">
      <c r="I1702" s="1073">
        <f t="shared" si="340"/>
        <v>19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28</v>
      </c>
    </row>
    <row r="1703" spans="9:17" ht="13.9" x14ac:dyDescent="0.4">
      <c r="I1703" s="1073">
        <f t="shared" si="340"/>
        <v>20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28</v>
      </c>
    </row>
    <row r="1704" spans="9:17" ht="13.9" x14ac:dyDescent="0.4">
      <c r="I1704" s="1073">
        <f t="shared" si="340"/>
        <v>21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28</v>
      </c>
    </row>
    <row r="1705" spans="9:17" ht="13.9" x14ac:dyDescent="0.4">
      <c r="I1705" s="1073">
        <f t="shared" si="340"/>
        <v>22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28</v>
      </c>
    </row>
    <row r="1706" spans="9:17" ht="13.9" x14ac:dyDescent="0.4">
      <c r="I1706" s="1073">
        <f t="shared" si="340"/>
        <v>23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28</v>
      </c>
    </row>
    <row r="1707" spans="9:17" ht="13.9" x14ac:dyDescent="0.4">
      <c r="I1707" s="1073">
        <f t="shared" si="340"/>
        <v>24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28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25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28</v>
      </c>
    </row>
    <row r="1713" spans="9:17" ht="13.9" x14ac:dyDescent="0.4">
      <c r="I1713" s="1073">
        <f>IF($A$1=28,I1712+1,0)</f>
        <v>26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28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27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28</v>
      </c>
    </row>
    <row r="1719" spans="9:17" ht="13.9" x14ac:dyDescent="0.4">
      <c r="I1719" s="1073">
        <f t="shared" ref="I1719:I1724" si="343">IF($A$1=28,I1718+1,0)</f>
        <v>28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28</v>
      </c>
    </row>
    <row r="1720" spans="9:17" ht="13.9" x14ac:dyDescent="0.4">
      <c r="I1720" s="1073">
        <f t="shared" si="343"/>
        <v>29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28</v>
      </c>
    </row>
    <row r="1721" spans="9:17" ht="13.9" x14ac:dyDescent="0.4">
      <c r="I1721" s="1073">
        <f t="shared" si="343"/>
        <v>30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28</v>
      </c>
    </row>
    <row r="1722" spans="9:17" ht="13.9" x14ac:dyDescent="0.4">
      <c r="I1722" s="1073">
        <f t="shared" si="343"/>
        <v>31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28</v>
      </c>
    </row>
    <row r="1723" spans="9:17" ht="13.9" x14ac:dyDescent="0.4">
      <c r="I1723" s="1073">
        <f t="shared" si="343"/>
        <v>32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28</v>
      </c>
    </row>
    <row r="1724" spans="9:17" ht="13.9" x14ac:dyDescent="0.4">
      <c r="I1724" s="1073">
        <f t="shared" si="343"/>
        <v>33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28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34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28</v>
      </c>
    </row>
    <row r="1730" spans="9:17" ht="13.9" x14ac:dyDescent="0.4">
      <c r="I1730" s="1073">
        <f t="shared" ref="I1730:I1735" si="346">IF($A$1=28,I1729+1,0)</f>
        <v>35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28</v>
      </c>
    </row>
    <row r="1731" spans="9:17" ht="13.9" x14ac:dyDescent="0.4">
      <c r="I1731" s="1073">
        <f t="shared" si="346"/>
        <v>36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28</v>
      </c>
    </row>
    <row r="1732" spans="9:17" ht="13.9" x14ac:dyDescent="0.4">
      <c r="I1732" s="1073">
        <f t="shared" si="346"/>
        <v>37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28</v>
      </c>
    </row>
    <row r="1733" spans="9:17" ht="13.9" x14ac:dyDescent="0.4">
      <c r="I1733" s="1073">
        <f t="shared" si="346"/>
        <v>38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28</v>
      </c>
    </row>
    <row r="1734" spans="9:17" ht="13.9" x14ac:dyDescent="0.4">
      <c r="I1734" s="1073">
        <f t="shared" si="346"/>
        <v>39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28</v>
      </c>
    </row>
    <row r="1735" spans="9:17" ht="13.9" x14ac:dyDescent="0.4">
      <c r="I1735" s="1073">
        <f t="shared" si="346"/>
        <v>40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28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3.5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3.5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3.5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3.5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3.5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3.5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30. Details of Chemicals Applied, Wheat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Zidua SC</v>
      </c>
      <c r="B4" s="104" t="e">
        <f>Seed_Chemical!#REF!</f>
        <v>#REF!</v>
      </c>
      <c r="C4" s="104" t="str">
        <f>Seed_Chemical!C12</f>
        <v>oz</v>
      </c>
      <c r="D4" s="96">
        <f>Seed_Chemical!D12</f>
        <v>5.7421875</v>
      </c>
      <c r="E4" s="96">
        <f>Seed_Chemical!E12</f>
        <v>3</v>
      </c>
      <c r="F4" s="96">
        <f>Seed_Chemical!F12</f>
        <v>17.2265625</v>
      </c>
      <c r="G4" s="106" t="e">
        <f>Seed_Chemical!#REF!</f>
        <v>#REF!</v>
      </c>
    </row>
    <row r="5" spans="1:7" ht="13.9" x14ac:dyDescent="0.4">
      <c r="A5" s="96" t="str">
        <f>Seed_Chemical!A13</f>
        <v>Gramoxone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0.234375</v>
      </c>
      <c r="E5" s="96">
        <f>Seed_Chemical!E13</f>
        <v>40</v>
      </c>
      <c r="F5" s="96">
        <f>Seed_Chemical!F13</f>
        <v>9.375</v>
      </c>
      <c r="G5" s="106" t="e">
        <f>Seed_Chemical!#REF!</f>
        <v>#REF!</v>
      </c>
    </row>
    <row r="6" spans="1:7" ht="13.9" x14ac:dyDescent="0.4">
      <c r="A6" s="96" t="str">
        <f>Seed_Chemical!A14</f>
        <v>Axial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0.21867187500000002</v>
      </c>
      <c r="E6" s="96">
        <f>Seed_Chemical!E14</f>
        <v>15</v>
      </c>
      <c r="F6" s="96">
        <f>Seed_Chemical!F14</f>
        <v>3.2800781250000002</v>
      </c>
      <c r="G6" s="106" t="e">
        <f>Seed_Chemical!#REF!</f>
        <v>#REF!</v>
      </c>
    </row>
    <row r="7" spans="1:7" ht="13.9" x14ac:dyDescent="0.4">
      <c r="A7" s="96" t="str">
        <f>Seed_Chemical!A15</f>
        <v>Harmony Extra XP</v>
      </c>
      <c r="B7" s="104" t="e">
        <f>Seed_Chemical!#REF!</f>
        <v>#REF!</v>
      </c>
      <c r="C7" s="104" t="str">
        <f>Seed_Chemical!C15</f>
        <v>oz</v>
      </c>
      <c r="D7" s="96">
        <f>Seed_Chemical!D15</f>
        <v>13.5</v>
      </c>
      <c r="E7" s="96">
        <f>Seed_Chemical!E15</f>
        <v>0.9</v>
      </c>
      <c r="F7" s="96">
        <f>Seed_Chemical!F15</f>
        <v>12.15</v>
      </c>
      <c r="G7" s="106" t="e">
        <f>Seed_Chemical!#REF!</f>
        <v>#REF!</v>
      </c>
    </row>
    <row r="8" spans="1:7" ht="13.9" x14ac:dyDescent="0.4">
      <c r="A8" s="96" t="str">
        <f>Seed_Chemical!A16</f>
        <v>Surfactant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0.21867187500000002</v>
      </c>
      <c r="E8" s="96">
        <f>Seed_Chemical!E16</f>
        <v>3.2</v>
      </c>
      <c r="F8" s="96">
        <f>Seed_Chemical!F16</f>
        <v>0.69975000000000009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42.731390625000003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 xml:space="preserve"> </v>
      </c>
      <c r="B22" s="104" t="e">
        <f>Seed_Chemical!#REF!</f>
        <v>#REF!</v>
      </c>
      <c r="C22" s="104" t="str">
        <f>Seed_Chemical!C30</f>
        <v xml:space="preserve"> </v>
      </c>
      <c r="D22" s="96">
        <f>Seed_Chemical!D30</f>
        <v>0</v>
      </c>
      <c r="E22" s="96">
        <f>Seed_Chemical!E30</f>
        <v>0</v>
      </c>
      <c r="F22" s="96">
        <f>Seed_Chemical!F30</f>
        <v>0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0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Quilt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0.25</v>
      </c>
      <c r="E36" s="96">
        <f>Seed_Chemical!E44</f>
        <v>14</v>
      </c>
      <c r="F36" s="96">
        <f>Seed_Chemical!F44</f>
        <v>3.5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3.5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30. Details of Chemicals Applied, Wheat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Zidua SC</v>
      </c>
      <c r="B4" s="104" t="e">
        <f>Seed_Chemical!#REF!</f>
        <v>#REF!</v>
      </c>
      <c r="C4" s="104" t="str">
        <f>Seed_Chemical!C12</f>
        <v>oz</v>
      </c>
      <c r="D4" s="96">
        <f>Seed_Chemical!D12</f>
        <v>5.7421875</v>
      </c>
      <c r="E4" s="96">
        <f>Seed_Chemical!E12</f>
        <v>3</v>
      </c>
      <c r="F4" s="96">
        <f>Seed_Chemical!F12</f>
        <v>17.2265625</v>
      </c>
      <c r="G4" s="106" t="e">
        <f>Seed_Chemical!#REF!</f>
        <v>#REF!</v>
      </c>
    </row>
    <row r="5" spans="1:7" ht="13.9" x14ac:dyDescent="0.4">
      <c r="A5" s="96" t="str">
        <f>Seed_Chemical!A13</f>
        <v>Gramoxone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0.234375</v>
      </c>
      <c r="E5" s="96">
        <f>Seed_Chemical!E13</f>
        <v>40</v>
      </c>
      <c r="F5" s="96">
        <f>Seed_Chemical!F13</f>
        <v>9.375</v>
      </c>
      <c r="G5" s="106" t="e">
        <f>Seed_Chemical!#REF!</f>
        <v>#REF!</v>
      </c>
    </row>
    <row r="6" spans="1:7" ht="13.9" x14ac:dyDescent="0.4">
      <c r="A6" s="96" t="str">
        <f>Seed_Chemical!A14</f>
        <v>Axial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0.21867187500000002</v>
      </c>
      <c r="E6" s="96">
        <f>Seed_Chemical!E14</f>
        <v>15</v>
      </c>
      <c r="F6" s="96">
        <f>Seed_Chemical!F14</f>
        <v>3.2800781250000002</v>
      </c>
      <c r="G6" s="106" t="e">
        <f>Seed_Chemical!#REF!</f>
        <v>#REF!</v>
      </c>
    </row>
    <row r="7" spans="1:7" ht="13.9" x14ac:dyDescent="0.4">
      <c r="A7" s="96" t="str">
        <f>Seed_Chemical!A15</f>
        <v>Harmony Extra XP</v>
      </c>
      <c r="B7" s="104" t="e">
        <f>Seed_Chemical!#REF!</f>
        <v>#REF!</v>
      </c>
      <c r="C7" s="104" t="str">
        <f>Seed_Chemical!C15</f>
        <v>oz</v>
      </c>
      <c r="D7" s="96">
        <f>Seed_Chemical!D15</f>
        <v>13.5</v>
      </c>
      <c r="E7" s="96">
        <f>Seed_Chemical!E15</f>
        <v>0.9</v>
      </c>
      <c r="F7" s="96">
        <f>Seed_Chemical!F15</f>
        <v>12.15</v>
      </c>
      <c r="G7" s="106" t="e">
        <f>Seed_Chemical!#REF!</f>
        <v>#REF!</v>
      </c>
    </row>
    <row r="8" spans="1:7" ht="13.9" x14ac:dyDescent="0.4">
      <c r="A8" s="96" t="str">
        <f>Seed_Chemical!A16</f>
        <v>Surfactant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0.21867187500000002</v>
      </c>
      <c r="E8" s="96">
        <f>Seed_Chemical!E16</f>
        <v>3.2</v>
      </c>
      <c r="F8" s="96">
        <f>Seed_Chemical!F16</f>
        <v>0.69975000000000009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42.731390625000003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 xml:space="preserve"> </v>
      </c>
      <c r="B18" s="104" t="e">
        <f>Seed_Chemical!#REF!</f>
        <v>#REF!</v>
      </c>
      <c r="C18" s="104" t="str">
        <f>Seed_Chemical!C30</f>
        <v xml:space="preserve"> </v>
      </c>
      <c r="D18" s="96">
        <f>Seed_Chemical!D30</f>
        <v>0</v>
      </c>
      <c r="E18" s="96">
        <f>Seed_Chemical!E30</f>
        <v>0</v>
      </c>
      <c r="F18" s="96">
        <f>Seed_Chemical!F30</f>
        <v>0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0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3.5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C1_Messages_Indicators</vt:lpstr>
      <vt:lpstr>C2_Irrigation_Calculations</vt:lpstr>
      <vt:lpstr>Print_Land_Capitalization</vt:lpstr>
      <vt:lpstr>Print_Summary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2025-10-29T17:38:25Z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