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1" documentId="8_{F74CC138-4EDB-45E7-894F-BF205AAAB7E8}" xr6:coauthVersionLast="47" xr6:coauthVersionMax="47" xr10:uidLastSave="{2BB43244-5BD7-4453-87F8-A6EA7F741CDC}"/>
  <bookViews>
    <workbookView xWindow="44670" yWindow="1470" windowWidth="17505" windowHeight="12525" firstSheet="16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D73" i="39"/>
  <c r="D73" i="11"/>
  <c r="AL73" i="11"/>
  <c r="AM73" i="11" s="1"/>
  <c r="E63" i="12" s="1"/>
  <c r="J63" i="12" s="1"/>
  <c r="AM73" i="39"/>
  <c r="F64" i="41" l="1"/>
  <c r="F61" i="4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9" i="15" l="1"/>
  <c r="G19" i="15" s="1"/>
  <c r="B17" i="15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AH16" i="2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K28" i="27" l="1"/>
  <c r="K9" i="27" s="1"/>
  <c r="C30" i="37"/>
  <c r="F17" i="30"/>
  <c r="C17" i="30"/>
  <c r="D20" i="30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<sst xmlns="http://schemas.openxmlformats.org/spreadsheetml/2006/main" count="8711" uniqueCount="1245">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</sst>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170</v>
      </c>
      <c r="Q2" s="1177">
        <f>P2</f>
        <v>170</v>
      </c>
      <c r="R2" s="650">
        <v>220</v>
      </c>
      <c r="S2" s="1177">
        <f>IF(Irrigation!$B$2&lt;3,(Q2*$Q$36)+(R2*$R$36),A1_Link!Q2)</f>
        <v>193.36018302798851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170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170</v>
      </c>
      <c r="L3" s="182"/>
      <c r="M3" s="1190"/>
      <c r="N3" s="3"/>
      <c r="O3" s="648" t="s">
        <v>21</v>
      </c>
      <c r="P3" s="1181">
        <f>Budget!E3</f>
        <v>5.8</v>
      </c>
      <c r="Q3" s="1177">
        <f>P3</f>
        <v>5.8</v>
      </c>
      <c r="R3" s="650">
        <v>4</v>
      </c>
      <c r="S3" s="1177">
        <f>IF(Irrigation!$B$2&lt;3,(Q3*$Q$36)+(R3*$R$36),A1_Link!Q3)</f>
        <v>4.9590334109924132</v>
      </c>
      <c r="T3" s="650"/>
      <c r="U3" s="1190"/>
      <c r="V3" s="3"/>
      <c r="W3" s="3"/>
      <c r="X3" s="648" t="s">
        <v>21</v>
      </c>
      <c r="Y3" s="650">
        <f>Budget!E3</f>
        <v>5.8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17.513513513513516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5.8</v>
      </c>
      <c r="D4" s="3"/>
      <c r="E4" s="1190"/>
      <c r="F4" s="4" t="s">
        <v>786</v>
      </c>
      <c r="G4" s="1189">
        <f>C3</f>
        <v>170</v>
      </c>
      <c r="H4" s="3"/>
      <c r="I4" s="1190"/>
      <c r="J4" s="651" t="s">
        <v>493</v>
      </c>
      <c r="K4" s="1245">
        <f>C4</f>
        <v>5.8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170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17.513513513513516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5.8</v>
      </c>
      <c r="H6" s="3"/>
      <c r="I6" s="1190"/>
      <c r="J6" s="652" t="s">
        <v>231</v>
      </c>
      <c r="K6" s="173">
        <f>K3*K4*(K5)</f>
        <v>986</v>
      </c>
      <c r="L6" s="182"/>
      <c r="M6" s="1190"/>
      <c r="N6" s="3"/>
      <c r="O6" s="648" t="s">
        <v>481</v>
      </c>
      <c r="P6" s="1181">
        <f>Budget!F6</f>
        <v>35.027027027027032</v>
      </c>
      <c r="Q6" s="1177">
        <f t="shared" ref="Q6:Q26" si="0">P6</f>
        <v>35.027027027027032</v>
      </c>
      <c r="R6" s="650">
        <v>125.73</v>
      </c>
      <c r="S6" s="1177">
        <f>IF(Irrigation!$B$2&lt;3,(Q6*$Q$36)+(R6*$R$36),A1_Link!Q6)</f>
        <v>77.403788023653931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92.674999999999997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92.674999999999997</v>
      </c>
      <c r="Q7" s="1177">
        <f t="shared" si="0"/>
        <v>92.674999999999997</v>
      </c>
      <c r="R7" s="650">
        <v>104.82639999999999</v>
      </c>
      <c r="S7" s="1177">
        <f>IF(Irrigation!$B$2&lt;3,(Q7*$Q$36)+(R7*$R$36),A1_Link!Q7)</f>
        <v>98.352178560925992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617.61277532926681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35.234999999999999</v>
      </c>
      <c r="AI7" s="3"/>
    </row>
    <row r="8" spans="2:35" ht="13.9" x14ac:dyDescent="0.4">
      <c r="B8" s="1185" t="s">
        <v>223</v>
      </c>
      <c r="C8" s="1186">
        <f>Budget!F6</f>
        <v>35.027027027027032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35.234999999999999</v>
      </c>
      <c r="Q8" s="1177">
        <f t="shared" si="0"/>
        <v>35.234999999999999</v>
      </c>
      <c r="R8" s="650">
        <v>30</v>
      </c>
      <c r="S8" s="1177">
        <f>IF(Irrigation!$B$2&lt;3,(Q8*$Q$36)+(R8*$R$36),A1_Link!Q8)</f>
        <v>32.789188836969601</v>
      </c>
      <c r="T8" s="650"/>
      <c r="U8" s="1190"/>
      <c r="V8" s="3"/>
      <c r="W8" s="3"/>
      <c r="X8" s="648" t="s">
        <v>1</v>
      </c>
      <c r="Y8" s="650">
        <f>Budget!F36</f>
        <v>32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159.34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546.03917584363626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12.296861774604995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9.43</v>
      </c>
      <c r="AI9" s="3"/>
    </row>
    <row r="10" spans="2:35" ht="13.9" x14ac:dyDescent="0.4">
      <c r="B10" s="1185" t="s">
        <v>494</v>
      </c>
      <c r="C10" s="1186">
        <f>SUM(Budget!F14:F18)</f>
        <v>147.92837499999999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32</v>
      </c>
      <c r="L10" s="182">
        <v>0</v>
      </c>
      <c r="M10" s="1190"/>
      <c r="N10" s="3"/>
      <c r="O10" s="648" t="s">
        <v>484</v>
      </c>
      <c r="P10" s="1181">
        <f>SUM(Budget!F10:F13)</f>
        <v>9.43</v>
      </c>
      <c r="Q10" s="1177">
        <f t="shared" si="0"/>
        <v>9.43</v>
      </c>
      <c r="R10" s="650">
        <v>22.159999999999997</v>
      </c>
      <c r="S10" s="1177">
        <f>IF(Irrigation!$B$2&lt;3,(Q10*$Q$36)+(R10*$R$36),A1_Link!Q10)</f>
        <v>15.377502598925878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170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127.5680625</v>
      </c>
      <c r="AI10" s="3"/>
    </row>
    <row r="11" spans="2:35" ht="13.9" x14ac:dyDescent="0.4">
      <c r="B11" s="1185" t="s">
        <v>225</v>
      </c>
      <c r="C11" s="1186">
        <f>SUM(Budget!F20:F23)</f>
        <v>99</v>
      </c>
      <c r="D11" s="3"/>
      <c r="E11" s="1190"/>
      <c r="F11" s="1185" t="s">
        <v>223</v>
      </c>
      <c r="G11" s="1186">
        <f>C8</f>
        <v>35.027027027027032</v>
      </c>
      <c r="H11" s="3"/>
      <c r="I11" s="1190"/>
      <c r="J11" s="648" t="s">
        <v>789</v>
      </c>
      <c r="K11" s="665">
        <f>K30+SUM(K32:K35)</f>
        <v>92.715215545949789</v>
      </c>
      <c r="L11" s="182">
        <v>58.670258247720405</v>
      </c>
      <c r="M11" s="1190"/>
      <c r="N11" s="3"/>
      <c r="O11" s="648" t="s">
        <v>183</v>
      </c>
      <c r="P11" s="1181">
        <f>Budget!F14</f>
        <v>127.5680625</v>
      </c>
      <c r="Q11" s="1177">
        <f t="shared" si="0"/>
        <v>127.5680625</v>
      </c>
      <c r="R11" s="650">
        <v>23.8</v>
      </c>
      <c r="S11" s="1177">
        <f>IF(Irrigation!$B$2&lt;3,(Q11*$Q$36)+(R11*$R$36),A1_Link!Q11)</f>
        <v>79.087243850804938</v>
      </c>
      <c r="T11" s="650"/>
      <c r="U11" s="1190"/>
      <c r="V11" s="3"/>
      <c r="W11" s="3"/>
      <c r="X11" s="648" t="s">
        <v>811</v>
      </c>
      <c r="Y11" s="650">
        <f>Budget!F27</f>
        <v>8.8447542857142842</v>
      </c>
      <c r="Z11" s="650">
        <f>Budget!D$3</f>
        <v>170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9.0399999999999991</v>
      </c>
      <c r="AI11" s="3"/>
    </row>
    <row r="12" spans="2:35" ht="13.9" x14ac:dyDescent="0.4">
      <c r="B12" s="1185" t="s">
        <v>421</v>
      </c>
      <c r="C12" s="1186">
        <f>Budget!F31+Budget!F32</f>
        <v>0.65</v>
      </c>
      <c r="D12" s="3"/>
      <c r="E12" s="1190"/>
      <c r="F12" s="1185" t="s">
        <v>420</v>
      </c>
      <c r="G12" s="1186">
        <f t="shared" ref="G12:G21" si="2">C9</f>
        <v>159.34</v>
      </c>
      <c r="H12" s="3"/>
      <c r="I12" s="1190"/>
      <c r="J12" s="648" t="s">
        <v>790</v>
      </c>
      <c r="K12" s="664">
        <f>SUM(K36:K37)</f>
        <v>112.795</v>
      </c>
      <c r="L12" s="182">
        <v>105.03</v>
      </c>
      <c r="M12" s="1190"/>
      <c r="N12" s="3"/>
      <c r="O12" s="648" t="s">
        <v>184</v>
      </c>
      <c r="P12" s="1181">
        <f>Budget!F15</f>
        <v>9.0399999999999991</v>
      </c>
      <c r="Q12" s="1177">
        <f t="shared" si="0"/>
        <v>9.0399999999999991</v>
      </c>
      <c r="R12" s="650">
        <v>0</v>
      </c>
      <c r="S12" s="1177">
        <f>IF(Irrigation!$B$2&lt;3,(Q12*$Q$36)+(R12*$R$36),A1_Link!Q12)</f>
        <v>4.8164789085396738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170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11.3203125</v>
      </c>
      <c r="AI12" s="3"/>
    </row>
    <row r="13" spans="2:35" ht="13.9" x14ac:dyDescent="0.4">
      <c r="B13" s="1185" t="s">
        <v>779</v>
      </c>
      <c r="C13" s="1186">
        <f>Budget!F25+Budget!F27</f>
        <v>16.926300282774665</v>
      </c>
      <c r="D13" s="3"/>
      <c r="E13" s="1190"/>
      <c r="F13" s="1185" t="s">
        <v>494</v>
      </c>
      <c r="G13" s="1186">
        <f t="shared" si="2"/>
        <v>147.92837499999999</v>
      </c>
      <c r="H13" s="3"/>
      <c r="I13" s="1190"/>
      <c r="J13" s="652" t="s">
        <v>168</v>
      </c>
      <c r="K13" s="173">
        <f>SUM(K9:K12)-K7</f>
        <v>783.54939138958605</v>
      </c>
      <c r="L13" s="182"/>
      <c r="M13" s="1190"/>
      <c r="N13" s="3"/>
      <c r="O13" s="648" t="s">
        <v>91</v>
      </c>
      <c r="P13" s="1181">
        <f>SUM(Budget!F16:F18)</f>
        <v>11.3203125</v>
      </c>
      <c r="Q13" s="1177">
        <f t="shared" si="0"/>
        <v>11.3203125</v>
      </c>
      <c r="R13" s="650">
        <v>0</v>
      </c>
      <c r="S13" s="1177">
        <f>IF(Irrigation!$B$2&lt;3,(Q13*$Q$36)+(R13*$R$36),A1_Link!Q13)</f>
        <v>6.0314210613194721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112.795</v>
      </c>
      <c r="Z13" s="650">
        <f>SUM(Y7:Y13)-Y5</f>
        <v>783.54939138958605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99</v>
      </c>
      <c r="AI13" s="3"/>
    </row>
    <row r="14" spans="2:35" ht="13.9" x14ac:dyDescent="0.4">
      <c r="B14" s="1185" t="s">
        <v>422</v>
      </c>
      <c r="C14" s="1186">
        <f>Budget!F29</f>
        <v>87.167473533834581</v>
      </c>
      <c r="D14" s="3"/>
      <c r="E14" s="1190"/>
      <c r="F14" s="1185" t="s">
        <v>225</v>
      </c>
      <c r="G14" s="1186">
        <f t="shared" si="2"/>
        <v>99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99</v>
      </c>
      <c r="Q14" s="1177">
        <f t="shared" si="0"/>
        <v>99</v>
      </c>
      <c r="R14" s="650">
        <v>7.0000000000000009</v>
      </c>
      <c r="S14" s="1177">
        <f>IF(Irrigation!$B$2&lt;3,(Q14*$Q$36)+(R14*$R$36),A1_Link!Q14)</f>
        <v>56.017263228501108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8.0815459970603811</v>
      </c>
      <c r="AI14" s="3"/>
    </row>
    <row r="15" spans="2:35" ht="13.9" x14ac:dyDescent="0.4">
      <c r="B15" s="1185" t="s">
        <v>778</v>
      </c>
      <c r="C15" s="1186">
        <f>Budget!F34+Budget!F35</f>
        <v>12.5</v>
      </c>
      <c r="D15" s="3"/>
      <c r="E15" s="1190"/>
      <c r="F15" s="1185" t="s">
        <v>780</v>
      </c>
      <c r="G15" s="1186">
        <f t="shared" si="2"/>
        <v>0.65</v>
      </c>
      <c r="H15" s="3"/>
      <c r="I15" s="1190"/>
      <c r="J15" s="652" t="s">
        <v>233</v>
      </c>
      <c r="K15" s="173">
        <f>(K3*K4*K5)-K13-K14</f>
        <v>202.45060861041395</v>
      </c>
      <c r="L15" s="182"/>
      <c r="M15" s="1190"/>
      <c r="N15" s="3"/>
      <c r="O15" s="648" t="s">
        <v>424</v>
      </c>
      <c r="P15" s="1181">
        <f>Budget!F25</f>
        <v>8.0815459970603811</v>
      </c>
      <c r="Q15" s="1177">
        <f t="shared" si="0"/>
        <v>8.0815459970603811</v>
      </c>
      <c r="R15" s="650">
        <v>10.547472063880164</v>
      </c>
      <c r="S15" s="1177">
        <f>IF(Irrigation!$B$2&lt;3,(Q15*$Q$36)+(R15*$R$36),A1_Link!Q15)</f>
        <v>9.233635682148341</v>
      </c>
      <c r="T15" s="650"/>
      <c r="U15" s="1190"/>
      <c r="V15" s="3"/>
      <c r="W15" s="3"/>
      <c r="X15" s="648" t="s">
        <v>584</v>
      </c>
      <c r="Y15" s="650">
        <f>Budget!F48</f>
        <v>135.43362590513254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7.4694245408143791</v>
      </c>
      <c r="AI15" s="3"/>
    </row>
    <row r="16" spans="2:35" ht="13.9" x14ac:dyDescent="0.4">
      <c r="B16" s="1185" t="s">
        <v>1</v>
      </c>
      <c r="C16" s="1186">
        <f>Budget!F36</f>
        <v>32</v>
      </c>
      <c r="D16" s="3"/>
      <c r="E16" s="1190"/>
      <c r="F16" s="1185" t="s">
        <v>779</v>
      </c>
      <c r="G16" s="1186">
        <f t="shared" si="2"/>
        <v>16.926300282774665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7.4694245408143791</v>
      </c>
      <c r="Q16" s="1177">
        <f t="shared" si="0"/>
        <v>7.4694245408143791</v>
      </c>
      <c r="R16" s="650">
        <v>9.3388892486480266</v>
      </c>
      <c r="S16" s="1177">
        <f>IF(Irrigation!$B$2&lt;3,(Q16*$Q$36)+(R16*$R$36),A1_Link!Q16)</f>
        <v>8.3428452956015615</v>
      </c>
      <c r="T16" s="650"/>
      <c r="U16" s="1190"/>
      <c r="V16" s="3"/>
      <c r="W16" s="3"/>
      <c r="X16" s="648" t="s">
        <v>303</v>
      </c>
      <c r="Y16" s="650">
        <f>Budget!F49</f>
        <v>80.206130048143748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8.8447542857142842</v>
      </c>
      <c r="AI16" s="3"/>
    </row>
    <row r="17" spans="2:35" ht="13.9" x14ac:dyDescent="0.4">
      <c r="B17" s="1185" t="s">
        <v>226</v>
      </c>
      <c r="C17" s="1186">
        <f>Budget!F26+Budget!F28+Budget!F30</f>
        <v>39.274902791925427</v>
      </c>
      <c r="D17" s="3"/>
      <c r="E17" s="1190"/>
      <c r="F17" s="1185" t="s">
        <v>422</v>
      </c>
      <c r="G17" s="1186">
        <f t="shared" si="2"/>
        <v>87.167473533834581</v>
      </c>
      <c r="H17" s="3"/>
      <c r="I17" s="1190"/>
      <c r="J17" s="648" t="s">
        <v>249</v>
      </c>
      <c r="K17" s="978">
        <f>SUM(K40:K42)</f>
        <v>222.41143724853291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8.8447542857142842</v>
      </c>
      <c r="Q17" s="1177">
        <f t="shared" si="0"/>
        <v>8.8447542857142842</v>
      </c>
      <c r="R17" s="650">
        <v>7.4958759183673482</v>
      </c>
      <c r="S17" s="1177">
        <f>IF(Irrigation!$B$2&lt;3,(Q17*$Q$36)+(R17*$R$36),A1_Link!Q17)</f>
        <v>8.2145533748399089</v>
      </c>
      <c r="T17" s="650"/>
      <c r="U17" s="1190"/>
      <c r="V17" s="3"/>
      <c r="W17" s="3"/>
      <c r="X17" s="648" t="s">
        <v>585</v>
      </c>
      <c r="Y17" s="650">
        <f>Budget!F50</f>
        <v>6.7716812952566272</v>
      </c>
      <c r="Z17" s="650">
        <f>SUM(Y15:Y17)</f>
        <v>222.41143724853291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20.507040751111052</v>
      </c>
      <c r="AI17" s="3"/>
    </row>
    <row r="18" spans="2:35" ht="13.9" x14ac:dyDescent="0.4">
      <c r="B18" s="1185" t="s">
        <v>214</v>
      </c>
      <c r="C18" s="1186">
        <f>Trips!E45+Trips!E51+Trips!E72+Trips!E76</f>
        <v>12.296861774604995</v>
      </c>
      <c r="D18" s="3"/>
      <c r="E18" s="1190"/>
      <c r="F18" s="1185" t="s">
        <v>778</v>
      </c>
      <c r="G18" s="1186">
        <f t="shared" si="2"/>
        <v>12.5</v>
      </c>
      <c r="H18" s="3"/>
      <c r="I18" s="1190"/>
      <c r="J18" s="308" t="s">
        <v>650</v>
      </c>
      <c r="K18" s="173">
        <f>K13+K17</f>
        <v>1005.960828638119</v>
      </c>
      <c r="L18" s="182"/>
      <c r="M18" s="1190"/>
      <c r="N18" s="3"/>
      <c r="O18" s="648" t="s">
        <v>17</v>
      </c>
      <c r="P18" s="1181">
        <f>(Budget!F28/Budget!D3)*P2</f>
        <v>20.507040751111052</v>
      </c>
      <c r="Q18" s="1177">
        <f t="shared" si="0"/>
        <v>20.507040751111052</v>
      </c>
      <c r="R18" s="650">
        <v>12.958564105965449</v>
      </c>
      <c r="S18" s="1177">
        <f>IF(Irrigation!$B$2&lt;3,(Q18*$Q$36)+(R18*$R$36),A1_Link!Q18)</f>
        <v>16.980364830849091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87.167473533834581</v>
      </c>
      <c r="AI18" s="3"/>
    </row>
    <row r="19" spans="2:35" ht="13.9" x14ac:dyDescent="0.4">
      <c r="B19" s="1185" t="s">
        <v>28</v>
      </c>
      <c r="C19" s="1186">
        <f>Budget!F37</f>
        <v>28.643450979419374</v>
      </c>
      <c r="D19" s="3"/>
      <c r="E19" s="1190"/>
      <c r="F19" s="1185" t="s">
        <v>1</v>
      </c>
      <c r="G19" s="1186">
        <f t="shared" si="2"/>
        <v>32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87.167473533834581</v>
      </c>
      <c r="Q19" s="1177">
        <f t="shared" si="0"/>
        <v>87.167473533834581</v>
      </c>
      <c r="R19" s="650">
        <v>27.046874608695653</v>
      </c>
      <c r="S19" s="1177">
        <f>IF(Irrigation!$B$2&lt;3,(Q19*$Q$36)+(R19*$R$36),A1_Link!Q19)</f>
        <v>59.078909640963865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11.298437499999999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39.274902791925427</v>
      </c>
      <c r="H20" s="3"/>
      <c r="I20" s="1190"/>
      <c r="J20" s="308" t="s">
        <v>761</v>
      </c>
      <c r="K20" s="173">
        <f>(K3*K4*K5)-K14-K18</f>
        <v>-19.960828638118983</v>
      </c>
      <c r="L20" s="182"/>
      <c r="M20" s="1190"/>
      <c r="N20" s="3"/>
      <c r="O20" s="648" t="s">
        <v>295</v>
      </c>
      <c r="P20" s="1181">
        <f>Budget!F30</f>
        <v>11.298437499999999</v>
      </c>
      <c r="Q20" s="1177">
        <f t="shared" si="0"/>
        <v>11.298437499999999</v>
      </c>
      <c r="R20" s="650">
        <v>1.6916666666666667</v>
      </c>
      <c r="S20" s="1177">
        <f>IF(Irrigation!$B$2&lt;3,(Q20*$Q$36)+(R20*$R$36),A1_Link!Q20)</f>
        <v>6.8101190005078278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110.5</v>
      </c>
      <c r="D21" s="3"/>
      <c r="E21" s="1190"/>
      <c r="F21" s="1185" t="s">
        <v>214</v>
      </c>
      <c r="G21" s="1186">
        <f t="shared" si="2"/>
        <v>12.296861774604995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2.2949999999999999</v>
      </c>
      <c r="D22" s="3"/>
      <c r="E22" s="1190"/>
      <c r="F22" s="1185" t="s">
        <v>784</v>
      </c>
      <c r="G22" s="1186">
        <f>SUM(G11:G21)*(0.0475/2)</f>
        <v>15.250134834741459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0.65</v>
      </c>
      <c r="Q22" s="1177">
        <f t="shared" si="0"/>
        <v>0.65</v>
      </c>
      <c r="R22" s="650">
        <v>0</v>
      </c>
      <c r="S22" s="1177">
        <f>IF(Irrigation!$B$2&lt;3,(Q22*$Q$36)+(R22*$R$36),A1_Link!Q22)</f>
        <v>0.34631762063614913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0.65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35.027027027027032</v>
      </c>
      <c r="L23" s="1251">
        <v>1</v>
      </c>
      <c r="M23" s="1190"/>
      <c r="N23" s="3"/>
      <c r="O23" s="648" t="s">
        <v>214</v>
      </c>
      <c r="P23" s="1181">
        <f>Budget!F33</f>
        <v>64.572611774604994</v>
      </c>
      <c r="Q23" s="1177">
        <f t="shared" si="0"/>
        <v>64.572611774604994</v>
      </c>
      <c r="R23" s="650">
        <v>11.817977438585899</v>
      </c>
      <c r="S23" s="1177">
        <f>IF(Irrigation!$B$2&lt;3,(Q23*$Q$36)+(R23*$R$36),A1_Link!Q23)</f>
        <v>39.925453501324711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64.572611774604994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112.795</v>
      </c>
      <c r="H24" s="3"/>
      <c r="I24" s="1190"/>
      <c r="J24" s="1185" t="s">
        <v>224</v>
      </c>
      <c r="K24" s="1249">
        <f t="shared" ref="K24:K38" si="3">C9*L24</f>
        <v>159.34</v>
      </c>
      <c r="L24" s="1251">
        <v>1</v>
      </c>
      <c r="M24" s="1190"/>
      <c r="N24" s="3"/>
      <c r="O24" s="648" t="s">
        <v>23</v>
      </c>
      <c r="P24" s="1181">
        <f>Budget!F34</f>
        <v>8</v>
      </c>
      <c r="Q24" s="1177">
        <f t="shared" si="0"/>
        <v>8</v>
      </c>
      <c r="R24" s="650">
        <v>0</v>
      </c>
      <c r="S24" s="1177">
        <f>IF(Irrigation!$B$2&lt;3,(Q24*$Q$36)+(R24*$R$36),A1_Link!Q24)</f>
        <v>4.2623707155218353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8</v>
      </c>
      <c r="AI24" s="3"/>
    </row>
    <row r="25" spans="2:35" ht="13.9" x14ac:dyDescent="0.4">
      <c r="B25" s="648" t="s">
        <v>123</v>
      </c>
      <c r="C25" s="665">
        <f>Budget!F48</f>
        <v>135.43362590513254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147.92837499999999</v>
      </c>
      <c r="L25" s="1251">
        <v>1</v>
      </c>
      <c r="M25" s="1190"/>
      <c r="N25" s="3"/>
      <c r="O25" s="648" t="s">
        <v>487</v>
      </c>
      <c r="P25" s="1181">
        <f>Budget!F35</f>
        <v>4.5</v>
      </c>
      <c r="Q25" s="1177">
        <f t="shared" si="0"/>
        <v>4.5</v>
      </c>
      <c r="R25" s="650">
        <v>0</v>
      </c>
      <c r="S25" s="1177">
        <f>IF(Irrigation!$B$2&lt;3,(Q25*$Q$36)+(R25*$R$36),A1_Link!Q25)</f>
        <v>2.3975835274810322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4.5</v>
      </c>
      <c r="AI25" s="3"/>
    </row>
    <row r="26" spans="2:35" ht="13.9" x14ac:dyDescent="0.4">
      <c r="B26" s="648" t="s">
        <v>303</v>
      </c>
      <c r="C26" s="665">
        <f>Budget!F49</f>
        <v>80.206130048143748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99</v>
      </c>
      <c r="L26" s="1251">
        <v>1</v>
      </c>
      <c r="M26" s="1190"/>
      <c r="N26" s="3"/>
      <c r="O26" s="648" t="s">
        <v>1</v>
      </c>
      <c r="P26" s="1181">
        <f>Budget!F36</f>
        <v>32</v>
      </c>
      <c r="Q26" s="1177">
        <f t="shared" si="0"/>
        <v>32</v>
      </c>
      <c r="R26" s="650">
        <v>0</v>
      </c>
      <c r="S26" s="1177">
        <f>IF(Irrigation!$B$2&lt;3,(Q26*$Q$36)+(R26*$R$36),A1_Link!Q26)</f>
        <v>17.049482862087341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28.643450979419374</v>
      </c>
      <c r="AI26" s="650">
        <f>SUM(AH3:AH26)</f>
        <v>691.03014138958599</v>
      </c>
    </row>
    <row r="27" spans="2:35" ht="13.9" x14ac:dyDescent="0.4">
      <c r="B27" s="648" t="s">
        <v>585</v>
      </c>
      <c r="C27" s="664">
        <f>Budget!F50</f>
        <v>6.7716812952566272</v>
      </c>
      <c r="D27" s="3"/>
      <c r="E27" s="1190"/>
      <c r="F27" s="648" t="s">
        <v>997</v>
      </c>
      <c r="G27" s="1186">
        <f>C25+C26</f>
        <v>215.63975595327628</v>
      </c>
      <c r="H27" s="3"/>
      <c r="I27" s="1190"/>
      <c r="J27" s="1185" t="s">
        <v>421</v>
      </c>
      <c r="K27" s="1249">
        <f t="shared" si="3"/>
        <v>0.65</v>
      </c>
      <c r="L27" s="1251">
        <v>1</v>
      </c>
      <c r="M27" s="1190"/>
      <c r="N27" s="173"/>
      <c r="O27" s="648" t="s">
        <v>263</v>
      </c>
      <c r="P27" s="1181">
        <f>SUM(P6:P26)*((Budget!D37/100)/2)</f>
        <v>28.643450979419374</v>
      </c>
      <c r="Q27" s="1177">
        <f>P27</f>
        <v>28.643450979419374</v>
      </c>
      <c r="R27" s="650">
        <v>10.240138351206717</v>
      </c>
      <c r="S27" s="1177">
        <f>IF(Irrigation!$B$2&lt;3,(Q27*$Q$36)+(R27*$R$36),A1_Link!Q27)</f>
        <v>20.045355953092567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68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6.7716812952566272</v>
      </c>
      <c r="H28" s="3"/>
      <c r="I28" s="1190"/>
      <c r="J28" s="1185" t="s">
        <v>779</v>
      </c>
      <c r="K28" s="1249">
        <f t="shared" si="3"/>
        <v>16.926300282774665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68</v>
      </c>
      <c r="Q28" s="1177">
        <f>P28</f>
        <v>68</v>
      </c>
      <c r="R28" s="650">
        <v>41.8</v>
      </c>
      <c r="S28" s="1177">
        <f>IF(Irrigation!$B$2&lt;3,(Q28*$Q$36)+(R28*$R$36),A1_Link!Q28)</f>
        <v>55.759264093334011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42.5</v>
      </c>
      <c r="AI28" s="3"/>
    </row>
    <row r="29" spans="2:35" ht="13.9" x14ac:dyDescent="0.4">
      <c r="B29" s="652" t="s">
        <v>777</v>
      </c>
      <c r="C29" s="173">
        <f>SUM(C8:C14)</f>
        <v>546.03917584363626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87.167473533834581</v>
      </c>
      <c r="L29" s="1251">
        <v>1</v>
      </c>
      <c r="M29" s="1190"/>
      <c r="N29" s="3"/>
      <c r="O29" s="648" t="s">
        <v>489</v>
      </c>
      <c r="P29" s="1181">
        <f>Budget!F41</f>
        <v>42.5</v>
      </c>
      <c r="Q29" s="1177">
        <f>P29</f>
        <v>42.5</v>
      </c>
      <c r="R29" s="650">
        <v>55</v>
      </c>
      <c r="S29" s="1177">
        <f>IF(Irrigation!$B$2&lt;3,(Q29*$Q$36)+(R29*$R$36),A1_Link!Q29)</f>
        <v>48.340045756997128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2.2949999999999999</v>
      </c>
      <c r="AI29" s="3"/>
    </row>
    <row r="30" spans="2:35" ht="13.9" x14ac:dyDescent="0.4">
      <c r="B30" s="652" t="s">
        <v>640</v>
      </c>
      <c r="C30" s="173">
        <f>SUM(C8:C18)</f>
        <v>642.11094041016668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12.5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2.2949999999999999</v>
      </c>
      <c r="Q30" s="1177">
        <f>P30</f>
        <v>2.2949999999999999</v>
      </c>
      <c r="R30" s="650">
        <v>2.2000000000000002</v>
      </c>
      <c r="S30" s="1177">
        <f>IF(Irrigation!$B$2&lt;3,(Q30*$Q$36)+(R30*$R$36),A1_Link!Q30)</f>
        <v>2.2506156522468217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783.54939138958605</v>
      </c>
      <c r="D31" s="3"/>
      <c r="E31" s="1190"/>
      <c r="F31" s="1308">
        <f>SUM(C8:C22)</f>
        <v>783.54939138958605</v>
      </c>
      <c r="G31" s="3"/>
      <c r="H31" s="3"/>
      <c r="I31" s="1190"/>
      <c r="J31" s="1185" t="s">
        <v>1</v>
      </c>
      <c r="K31" s="1249">
        <f t="shared" si="3"/>
        <v>32</v>
      </c>
      <c r="L31" s="1251">
        <v>1</v>
      </c>
      <c r="M31" s="1190"/>
      <c r="N31" s="534"/>
      <c r="O31" s="1309">
        <f>P31+IF(A2_Budget_Look_Up!B7&gt;0,P4,0)</f>
        <v>835.82514138958595</v>
      </c>
      <c r="P31" s="1178">
        <f>SUM(P6:P30)-IF(A2_Budget_Look_Up!B7&gt;0,P4,0)</f>
        <v>835.82514138958595</v>
      </c>
      <c r="Q31" s="1178">
        <f>SUM(Q6:Q30)-IF(A2_Budget_Look_Up!B7&gt;0,Q4,0)</f>
        <v>835.82514138958595</v>
      </c>
      <c r="R31" s="1178">
        <f>SUM(R6:R30)-IF(A2_Budget_Look_Up!B7&gt;0,R4,0)</f>
        <v>540.40385840201589</v>
      </c>
      <c r="S31" s="1179">
        <f>SUM(S6:S30)-IF(A2_Budget_Look_Up!B7&gt;0,S4,0)</f>
        <v>697.80323657052929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135.43362590513254</v>
      </c>
      <c r="AI31" s="3"/>
    </row>
    <row r="32" spans="2:35" ht="13.9" x14ac:dyDescent="0.4">
      <c r="B32" s="173" t="s">
        <v>249</v>
      </c>
      <c r="C32" s="173">
        <f>SUM(C25:C27)</f>
        <v>222.41143724853291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39.274902791925427</v>
      </c>
      <c r="L32" s="1251">
        <v>1</v>
      </c>
      <c r="M32" s="1190"/>
      <c r="N32" s="183"/>
      <c r="O32" s="648" t="s">
        <v>123</v>
      </c>
      <c r="P32" s="1181">
        <f>Budget!F48</f>
        <v>135.43362590513254</v>
      </c>
      <c r="Q32" s="1177">
        <f>P32</f>
        <v>135.43362590513254</v>
      </c>
      <c r="R32" s="650">
        <v>62.654368717931924</v>
      </c>
      <c r="S32" s="1177">
        <f>IF(Irrigation!$B$2&lt;3,(Q32*$Q$36)+(R32*$R$36),A1_Link!Q32)</f>
        <v>101.43089053445142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80.206130048143748</v>
      </c>
      <c r="AI32" s="3"/>
    </row>
    <row r="33" spans="2:35" ht="13.9" x14ac:dyDescent="0.4">
      <c r="B33" s="308" t="s">
        <v>650</v>
      </c>
      <c r="C33" s="173">
        <f>C31+C32</f>
        <v>1005.960828638119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12.296861774604995</v>
      </c>
      <c r="L33" s="1251">
        <v>1</v>
      </c>
      <c r="M33" s="1190"/>
      <c r="N33" s="182"/>
      <c r="O33" s="648" t="s">
        <v>303</v>
      </c>
      <c r="P33" s="1181">
        <f>Budget!F49</f>
        <v>80.206130048143748</v>
      </c>
      <c r="Q33" s="1177">
        <f>P33</f>
        <v>80.206130048143748</v>
      </c>
      <c r="R33" s="650">
        <v>11.440610711903465</v>
      </c>
      <c r="S33" s="1177">
        <f>IF(Irrigation!$B$2&lt;3,(Q33*$Q$36)+(R33*$R$36),A1_Link!Q33)</f>
        <v>48.078627693958609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6.7716812952566272</v>
      </c>
      <c r="AI33" s="3"/>
    </row>
    <row r="34" spans="2:35" ht="13.9" x14ac:dyDescent="0.4">
      <c r="B34" s="308" t="s">
        <v>761</v>
      </c>
      <c r="C34" s="173">
        <f>(C3*C4*C5)-C23-C33</f>
        <v>-19.960828638118983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28.643450979419374</v>
      </c>
      <c r="L34" s="1251">
        <v>1</v>
      </c>
      <c r="M34" s="1190"/>
      <c r="N34" s="182"/>
      <c r="O34" s="648" t="s">
        <v>491</v>
      </c>
      <c r="P34" s="1181">
        <f>Budget!F50</f>
        <v>6.7716812952566272</v>
      </c>
      <c r="Q34" s="1177">
        <f>P34</f>
        <v>6.7716812952566272</v>
      </c>
      <c r="R34" s="650">
        <v>7.4094979429835393</v>
      </c>
      <c r="S34" s="1177">
        <f>IF(Irrigation!$B$2&lt;3,(Q34*$Q$36)+(R34*$R$36),A1_Link!Q34)</f>
        <v>7.0696715678406026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222.41143724853291</v>
      </c>
      <c r="Q35" s="1178">
        <f>SUM(Q32:Q34)</f>
        <v>222.41143724853291</v>
      </c>
      <c r="R35" s="1178">
        <f>SUM(R32:R34)</f>
        <v>81.504477372818926</v>
      </c>
      <c r="S35" s="1179">
        <f>SUM(S32:S34)</f>
        <v>156.57918979625063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110.5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-40.236578638118857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2.2949999999999999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135.43362590513254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80.206130048143748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6.7716812952566272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10. Machinery Capital Recovery and Operating Costs, Rice, Conventional Seed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 t="str">
        <f>IF(Trips!G10&gt;0,Trips!G10," ")</f>
        <v xml:space="preserve"> </v>
      </c>
      <c r="C11" s="96" t="str">
        <f>IF(Trips!H10&gt;0,Trips!H10," ")</f>
        <v xml:space="preserve"> </v>
      </c>
      <c r="D11" s="96" t="str">
        <f>IF(Trips!I10&gt;0,Trips!I10," ")</f>
        <v xml:space="preserve"> </v>
      </c>
      <c r="E11" s="96" t="str">
        <f>IF(Trips!J10&gt;0,Trips!J10," ")</f>
        <v xml:space="preserve"> </v>
      </c>
      <c r="F11" s="96" t="str">
        <f>IF(Trips!K10&gt;0,Trips!K10," ")</f>
        <v xml:space="preserve"> </v>
      </c>
      <c r="G11" s="528" t="str">
        <f>IF(Machine!B20&gt;0,Machine!B20," ")</f>
        <v xml:space="preserve"> </v>
      </c>
      <c r="H11" s="97" t="str">
        <f>IF(Machine!B20&gt;0,Machine!D20," ")</f>
        <v xml:space="preserve"> 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>
        <f>IF(Trips!G15&gt;0,Trips!G15," ")</f>
        <v>0.2848391797680131</v>
      </c>
      <c r="C16" s="96">
        <f>IF(Trips!H15&gt;0,Trips!H15," ")</f>
        <v>2.3048128981700555E-2</v>
      </c>
      <c r="D16" s="96">
        <f>IF(Trips!I15&gt;0,Trips!I15," ")</f>
        <v>7.8815609788038712E-2</v>
      </c>
      <c r="E16" s="96">
        <f>IF(Trips!J15&gt;0,Trips!J15," ")</f>
        <v>6.4174264221459137E-2</v>
      </c>
      <c r="F16" s="96">
        <f>IF(Trips!K15&gt;0,Trips!K15," ")</f>
        <v>0.45087718275921151</v>
      </c>
      <c r="G16" s="528">
        <f>IF(Machine!B25&gt;0,Machine!B25," ")</f>
        <v>1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>
        <f>IF(Trips!G17&gt;0,Trips!G17," ")</f>
        <v>4.4752474296676494</v>
      </c>
      <c r="C18" s="96">
        <f>IF(Trips!H17&gt;0,Trips!H17," ")</f>
        <v>0.48523465365719193</v>
      </c>
      <c r="D18" s="96">
        <f>IF(Trips!I17&gt;0,Trips!I17," ")</f>
        <v>0.81502142857142845</v>
      </c>
      <c r="E18" s="96">
        <f>IF(Trips!J17&gt;0,Trips!J17," ")</f>
        <v>0.50492619047619047</v>
      </c>
      <c r="F18" s="96">
        <f>IF(Trips!K17&gt;0,Trips!K17," ")</f>
        <v>6.2804297023724605</v>
      </c>
      <c r="G18" s="528">
        <f>IF(Machine!B27&gt;0,Machine!B27," ")</f>
        <v>1</v>
      </c>
      <c r="H18" s="97">
        <f>IF(Machine!B27&gt;0,Machine!D27," ")</f>
        <v>45</v>
      </c>
    </row>
    <row r="19" spans="1:8" ht="13.9" x14ac:dyDescent="0.4">
      <c r="A19" s="91" t="str">
        <f>Machine!A28</f>
        <v>Field Cultivator</v>
      </c>
      <c r="B19" s="96">
        <f>IF(Trips!G18&gt;0,Trips!G18," ")</f>
        <v>5.5774602530790922</v>
      </c>
      <c r="C19" s="96">
        <f>IF(Trips!H18&gt;0,Trips!H18," ")</f>
        <v>0.98421540662822871</v>
      </c>
      <c r="D19" s="96">
        <f>IF(Trips!I18&gt;0,Trips!I18," ")</f>
        <v>0.82187034813925552</v>
      </c>
      <c r="E19" s="96">
        <f>IF(Trips!J18&gt;0,Trips!J18," ")</f>
        <v>0.50916926770708282</v>
      </c>
      <c r="F19" s="96">
        <f>IF(Trips!K18&gt;0,Trips!K18," ")</f>
        <v>7.8927152755536598</v>
      </c>
      <c r="G19" s="528">
        <f>IF(Machine!B28&gt;0,Machine!B28," ")</f>
        <v>1</v>
      </c>
      <c r="H19" s="97">
        <f>IF(Machine!B28&gt;0,Machine!D28," ")</f>
        <v>42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>
        <f>IF(Trips!G22&gt;0,Trips!G22," ")</f>
        <v>5.3107606503887093</v>
      </c>
      <c r="C23" s="96">
        <f>IF(Trips!H22&gt;0,Trips!H22," ")</f>
        <v>0.47808343853108243</v>
      </c>
      <c r="D23" s="96">
        <f>IF(Trips!I22&gt;0,Trips!I22," ")</f>
        <v>1.4177170771422756</v>
      </c>
      <c r="E23" s="96">
        <f>IF(Trips!J22&gt;0,Trips!J22," ")</f>
        <v>1.0359568491756563</v>
      </c>
      <c r="F23" s="96">
        <f>IF(Trips!K22&gt;0,Trips!K22," ")</f>
        <v>8.2425180152377227</v>
      </c>
      <c r="G23" s="528">
        <f>IF(Machine!B32&gt;0,Machine!B32," ")</f>
        <v>1</v>
      </c>
      <c r="H23" s="97">
        <f>IF(Machine!B32&gt;0,Machine!D32," ")</f>
        <v>17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 t="str">
        <f>IF(Trips!G25&gt;0,Trips!G25," ")</f>
        <v xml:space="preserve"> </v>
      </c>
      <c r="C26" s="96" t="str">
        <f>IF(Trips!H25&gt;0,Trips!H25," ")</f>
        <v xml:space="preserve"> </v>
      </c>
      <c r="D26" s="96" t="str">
        <f>IF(Trips!I25&gt;0,Trips!I25," ")</f>
        <v xml:space="preserve"> </v>
      </c>
      <c r="E26" s="96" t="str">
        <f>IF(Trips!J25&gt;0,Trips!J25," ")</f>
        <v xml:space="preserve"> </v>
      </c>
      <c r="F26" s="96" t="str">
        <f>IF(Trips!K25&gt;0,Trips!K25," ")</f>
        <v xml:space="preserve"> </v>
      </c>
      <c r="G26" s="528" t="str">
        <f>IF(Machine!B35&gt;0,Machine!B35," ")</f>
        <v xml:space="preserve"> </v>
      </c>
      <c r="H26" s="97" t="str">
        <f>IF(Machine!B35&gt;0,Machine!D35," ")</f>
        <v xml:space="preserve"> 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>
        <f>IF(Trips!G27&gt;0,Trips!G27," ")</f>
        <v>13.965842305470707</v>
      </c>
      <c r="C28" s="96">
        <f>IF(Trips!H27&gt;0,Trips!H27," ")</f>
        <v>3.6733904333868472</v>
      </c>
      <c r="D28" s="96">
        <f>IF(Trips!I27&gt;0,Trips!I27," ")</f>
        <v>1.7782285714285715</v>
      </c>
      <c r="E28" s="96">
        <f>IF(Trips!J27&gt;0,Trips!J27," ")</f>
        <v>1.1758071428571433</v>
      </c>
      <c r="F28" s="96">
        <f>IF(Trips!K27&gt;0,Trips!K27," ")</f>
        <v>20.593268453143267</v>
      </c>
      <c r="G28" s="528">
        <f>IF(Machine!B37&gt;0,Machine!B37," ")</f>
        <v>1</v>
      </c>
      <c r="H28" s="97">
        <f>IF(Machine!B37&gt;0,Machine!D37," ")</f>
        <v>30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>
        <f>IF(Trips!G33&gt;0,Trips!G33," ")</f>
        <v>0.71841770975066488</v>
      </c>
      <c r="C34" s="96">
        <f>IF(Trips!H33&gt;0,Trips!H33," ")</f>
        <v>7.9294183957279787E-2</v>
      </c>
      <c r="D34" s="96">
        <f>IF(Trips!I33&gt;0,Trips!I33," ")</f>
        <v>0.23959945375563776</v>
      </c>
      <c r="E34" s="96">
        <f>IF(Trips!J33&gt;0,Trips!J33," ")</f>
        <v>0.19508976323323582</v>
      </c>
      <c r="F34" s="96">
        <f>IF(Trips!K33&gt;0,Trips!K33," ")</f>
        <v>1.2324011106968182</v>
      </c>
      <c r="G34" s="528">
        <f>IF(Machine!B43&gt;0,Machine!B43," ")</f>
        <v>3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0.91913585321238644</v>
      </c>
      <c r="C37" s="96">
        <f>IF(Trips!H36&gt;0,Trips!C36," ")</f>
        <v>8.7653087866037427E-2</v>
      </c>
      <c r="D37" s="96">
        <f>IF(Trips!I36&gt;0,Trips!D36," ")</f>
        <v>0.35939918063345666</v>
      </c>
      <c r="E37" s="96">
        <f>IF(Trips!J36&gt;0,Trips!E36," ")</f>
        <v>0.87790393454956128</v>
      </c>
      <c r="F37" s="96">
        <f>IF(Trips!K36&gt;0,Trips!F36," ")</f>
        <v>2.2440920562614419</v>
      </c>
      <c r="G37" s="121" t="str">
        <f>IF(Machine!B46&gt;0,"All"," ")</f>
        <v>All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2.1235549869692725</v>
      </c>
      <c r="C38" s="96">
        <f>IF(Trips!H37&gt;0,Trips!C37," ")</f>
        <v>0.23312074966214308</v>
      </c>
      <c r="D38" s="96">
        <f>IF(Trips!I37&gt;0,Trips!D37," ")</f>
        <v>0.71879836126691332</v>
      </c>
      <c r="E38" s="96">
        <f>IF(Trips!J37&gt;0,Trips!E37," ")</f>
        <v>0.58526928969970748</v>
      </c>
      <c r="F38" s="96">
        <f>IF(Trips!K37&gt;0,Trips!F37," ")</f>
        <v>3.6607433875980364</v>
      </c>
      <c r="G38" s="121" t="str">
        <f>IF(Machine!B47&gt;0,"All"," ")</f>
        <v>All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68.050782359882163</v>
      </c>
      <c r="C60" s="96">
        <f>IF(Trips!H59&gt;0,Trips!H59," ")</f>
        <v>12.721140077962811</v>
      </c>
      <c r="D60" s="96">
        <f>IF(Trips!I59&gt;0,Trips!I59," ")</f>
        <v>5.5279714285714281</v>
      </c>
      <c r="E60" s="96">
        <f>IF(Trips!J59&gt;0,Trips!J59," ")</f>
        <v>2.5867757142857144</v>
      </c>
      <c r="F60" s="96">
        <f>IF(Trips!K59&gt;0,Trips!K59," ")</f>
        <v>88.886669580702119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>
        <f>IF(Trips!G62&gt;0,Trips!G62," ")</f>
        <v>7.2378775283988324</v>
      </c>
      <c r="C63" s="96">
        <f>IF(Trips!H62&gt;0,Trips!H62," ")</f>
        <v>4.6256530109018721</v>
      </c>
      <c r="D63" s="118" t="str">
        <f>IF(Machine!B72&gt;0,"NA"," ")</f>
        <v>NA</v>
      </c>
      <c r="E63" s="118" t="str">
        <f>IF(Machine!B72&gt;0,"NA"," ")</f>
        <v>NA</v>
      </c>
      <c r="F63" s="96">
        <f>IF(Trips!K62&gt;0,Trips!K62," ")</f>
        <v>11.863530539300704</v>
      </c>
      <c r="G63" s="528">
        <f>IF(Machine!B72&gt;0,Machine!B72," ")</f>
        <v>1</v>
      </c>
      <c r="H63" s="97">
        <f>IF(Machine!B72&gt;0,Machine!D72," ")</f>
        <v>30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16.121740812890732</v>
      </c>
      <c r="C65" s="96">
        <f>IF(Trips!H64&gt;0,Trips!H64," ")</f>
        <v>3.1602476622463698</v>
      </c>
      <c r="D65" s="96">
        <f>IF(Trips!I64&gt;0,Trips!I64," ")</f>
        <v>3.316782857142857</v>
      </c>
      <c r="E65" s="96">
        <f>IF(Trips!J64&gt;0,Trips!J64," ")</f>
        <v>2.5867757142857144</v>
      </c>
      <c r="F65" s="96">
        <f>IF(Trips!K64&gt;0,Trips!K64," ")</f>
        <v>25.185547046565674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10. Machinery Capital Recovery and Operating Costs, Rice, Conventional Seed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 t="str">
        <f>IF(Trips!G10&gt;0,Trips!G10," ")</f>
        <v xml:space="preserve"> </v>
      </c>
      <c r="C6" s="96" t="str">
        <f>IF(Trips!H10&gt;0,Trips!H10," ")</f>
        <v xml:space="preserve"> </v>
      </c>
      <c r="D6" s="96" t="str">
        <f>IF(Trips!I10&gt;0,Trips!I10," ")</f>
        <v xml:space="preserve"> </v>
      </c>
      <c r="E6" s="96" t="str">
        <f>IF(Trips!J10&gt;0,Trips!J10," ")</f>
        <v xml:space="preserve"> </v>
      </c>
      <c r="F6" s="96" t="str">
        <f>IF(Trips!K10&gt;0,Trips!K10," ")</f>
        <v xml:space="preserve"> </v>
      </c>
      <c r="G6" s="528" t="str">
        <f>IF(Machine!B20&gt;0,Machine!B20," ")</f>
        <v xml:space="preserve"> </v>
      </c>
      <c r="H6" s="97" t="str">
        <f>IF(Machine!B20&gt;0,Machine!D20," ")</f>
        <v xml:space="preserve"> 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 t="str">
        <f>IF(Trips!G25&gt;0,Trips!G25," ")</f>
        <v xml:space="preserve"> </v>
      </c>
      <c r="C9" s="96" t="str">
        <f>IF(Trips!H25&gt;0,Trips!H25," ")</f>
        <v xml:space="preserve"> </v>
      </c>
      <c r="D9" s="96" t="str">
        <f>IF(Trips!I25&gt;0,Trips!I25," ")</f>
        <v xml:space="preserve"> </v>
      </c>
      <c r="E9" s="96" t="str">
        <f>IF(Trips!J25&gt;0,Trips!J25," ")</f>
        <v xml:space="preserve"> </v>
      </c>
      <c r="F9" s="96" t="str">
        <f>IF(Trips!K25&gt;0,Trips!K25," ")</f>
        <v xml:space="preserve"> </v>
      </c>
      <c r="G9" s="528" t="str">
        <f>IF(Machine!B35&gt;0,Machine!B35," ")</f>
        <v xml:space="preserve"> </v>
      </c>
      <c r="H9" s="97" t="str">
        <f>IF(Machine!B35&gt;0,Machine!D35," ")</f>
        <v xml:space="preserve"> 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0</v>
      </c>
      <c r="T20" s="89">
        <f t="shared" si="14"/>
        <v>0</v>
      </c>
      <c r="U20" s="89">
        <f t="shared" si="6"/>
        <v>75.989555598878766</v>
      </c>
      <c r="V20" s="89">
        <f t="shared" si="15"/>
        <v>0</v>
      </c>
      <c r="W20" s="1144">
        <f t="shared" si="7"/>
        <v>0</v>
      </c>
      <c r="X20" s="1144">
        <f t="shared" si="2"/>
        <v>0</v>
      </c>
      <c r="Y20" s="1144">
        <f t="shared" si="2"/>
        <v>0</v>
      </c>
      <c r="Z20" s="1136">
        <f t="shared" si="8"/>
        <v>0</v>
      </c>
      <c r="AA20" s="227">
        <f>EquipmentSpecs!J20</f>
        <v>0.18</v>
      </c>
      <c r="AB20" s="228">
        <f>EquipmentSpecs!K20</f>
        <v>1.7</v>
      </c>
      <c r="AC20" s="89">
        <f t="shared" si="16"/>
        <v>0</v>
      </c>
      <c r="AD20" s="84">
        <f t="shared" si="17"/>
        <v>3.0000000000000001E-3</v>
      </c>
      <c r="AE20" s="229">
        <v>2</v>
      </c>
      <c r="AF20" s="89">
        <f t="shared" si="9"/>
        <v>0</v>
      </c>
      <c r="AG20" s="229">
        <f t="shared" si="18"/>
        <v>10.119999999999999</v>
      </c>
      <c r="AH20" s="89">
        <f t="shared" si="19"/>
        <v>0</v>
      </c>
      <c r="AI20" s="89">
        <f t="shared" si="20"/>
        <v>0</v>
      </c>
      <c r="AJ20" s="89">
        <f t="shared" si="10"/>
        <v>0</v>
      </c>
      <c r="AK20" s="227">
        <f>EquipmentSpecs!L20</f>
        <v>1.04</v>
      </c>
      <c r="AL20" s="226">
        <f t="shared" si="21"/>
        <v>0</v>
      </c>
      <c r="AM20" s="230">
        <f t="shared" si="22"/>
        <v>0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1</v>
      </c>
      <c r="T25" s="89">
        <f t="shared" si="14"/>
        <v>9.6675745882133443E-2</v>
      </c>
      <c r="U25" s="89">
        <f t="shared" si="6"/>
        <v>36.514461781279415</v>
      </c>
      <c r="V25" s="89">
        <f t="shared" si="15"/>
        <v>0.15193271942633152</v>
      </c>
      <c r="W25" s="1144">
        <f t="shared" si="7"/>
        <v>1.2407778924502771E-2</v>
      </c>
      <c r="X25" s="1144">
        <f t="shared" si="2"/>
        <v>1.2407778924502771E-2</v>
      </c>
      <c r="Y25" s="1144">
        <f t="shared" si="2"/>
        <v>1.141515661054255E-2</v>
      </c>
      <c r="Z25" s="1136">
        <f t="shared" si="8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6.2988757011192475E-3</v>
      </c>
      <c r="AD25" s="84">
        <f t="shared" si="17"/>
        <v>3.0000000000000001E-3</v>
      </c>
      <c r="AE25" s="229">
        <v>2</v>
      </c>
      <c r="AF25" s="89">
        <f t="shared" si="9"/>
        <v>1.6749253280581307E-2</v>
      </c>
      <c r="AG25" s="229">
        <f t="shared" si="18"/>
        <v>7.6999999999999993</v>
      </c>
      <c r="AH25" s="89">
        <f t="shared" si="19"/>
        <v>7.8815609788038712E-2</v>
      </c>
      <c r="AI25" s="89">
        <f t="shared" si="20"/>
        <v>7.8815609788038723E-3</v>
      </c>
      <c r="AJ25" s="89">
        <f t="shared" si="10"/>
        <v>7.8815609788038712E-2</v>
      </c>
      <c r="AK25" s="227">
        <f>EquipmentSpecs!L25</f>
        <v>1.04</v>
      </c>
      <c r="AL25" s="226">
        <f t="shared" si="21"/>
        <v>4.32732732444094E-3</v>
      </c>
      <c r="AM25" s="230">
        <f t="shared" si="22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1</v>
      </c>
      <c r="T27" s="89">
        <f>J27*O27*S27</f>
        <v>1.418091043494039</v>
      </c>
      <c r="U27" s="89">
        <f t="shared" si="6"/>
        <v>75.989555598878766</v>
      </c>
      <c r="V27" s="89">
        <f>U27*O27*S27</f>
        <v>2.4877533082966266</v>
      </c>
      <c r="W27" s="1144">
        <f t="shared" si="7"/>
        <v>0.19500105406746032</v>
      </c>
      <c r="X27" s="1144">
        <f t="shared" si="2"/>
        <v>0.19500105406746032</v>
      </c>
      <c r="Y27" s="1144">
        <f t="shared" si="2"/>
        <v>0.17940096974206349</v>
      </c>
      <c r="Z27" s="1136">
        <f t="shared" si="8"/>
        <v>4.4752474296676494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0.25853251080004908</v>
      </c>
      <c r="AD27" s="84">
        <f>IF(Q27=4,0.003,0.007)</f>
        <v>3.0000000000000001E-3</v>
      </c>
      <c r="AE27" s="229">
        <v>2</v>
      </c>
      <c r="AF27" s="89">
        <f t="shared" si="9"/>
        <v>0.22670214285714285</v>
      </c>
      <c r="AG27" s="229">
        <f>0.044*R27</f>
        <v>10.119999999999999</v>
      </c>
      <c r="AH27" s="89">
        <f>AG27*O27*$AI$11*S27</f>
        <v>0.81502142857142845</v>
      </c>
      <c r="AI27" s="89">
        <f>AH27*0.1</f>
        <v>8.1502142857142856E-2</v>
      </c>
      <c r="AJ27" s="89">
        <f t="shared" si="10"/>
        <v>0.81502142857142845</v>
      </c>
      <c r="AK27" s="227">
        <f>EquipmentSpecs!L27</f>
        <v>1.04</v>
      </c>
      <c r="AL27" s="226">
        <f>O27*S27*AK27</f>
        <v>3.4047619047619049E-2</v>
      </c>
      <c r="AM27" s="230">
        <f>AL27*$AL$11</f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1</v>
      </c>
      <c r="T28" s="89">
        <f t="shared" si="14"/>
        <v>2.3601274451929384</v>
      </c>
      <c r="U28" s="89">
        <f t="shared" si="6"/>
        <v>75.989555598878766</v>
      </c>
      <c r="V28" s="89">
        <f t="shared" si="15"/>
        <v>2.5086587982823123</v>
      </c>
      <c r="W28" s="1144">
        <f t="shared" si="7"/>
        <v>0.24269657863145258</v>
      </c>
      <c r="X28" s="1144">
        <f t="shared" si="2"/>
        <v>0.24269657863145258</v>
      </c>
      <c r="Y28" s="1144">
        <f t="shared" si="2"/>
        <v>0.22328085234093634</v>
      </c>
      <c r="Z28" s="1136">
        <f t="shared" si="8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16"/>
        <v>0.75560820374707627</v>
      </c>
      <c r="AD28" s="84">
        <f t="shared" si="17"/>
        <v>3.0000000000000001E-3</v>
      </c>
      <c r="AE28" s="229">
        <v>2</v>
      </c>
      <c r="AF28" s="89">
        <f t="shared" si="9"/>
        <v>0.22860720288115244</v>
      </c>
      <c r="AG28" s="229">
        <f t="shared" si="18"/>
        <v>10.119999999999999</v>
      </c>
      <c r="AH28" s="89">
        <f t="shared" si="19"/>
        <v>0.82187034813925552</v>
      </c>
      <c r="AI28" s="89">
        <f t="shared" si="20"/>
        <v>8.2187034813925558E-2</v>
      </c>
      <c r="AJ28" s="89">
        <f t="shared" si="10"/>
        <v>0.82187034813925552</v>
      </c>
      <c r="AK28" s="227">
        <f>EquipmentSpecs!L28</f>
        <v>1.04</v>
      </c>
      <c r="AL28" s="226">
        <f t="shared" si="21"/>
        <v>3.4333733493397356E-2</v>
      </c>
      <c r="AM28" s="230">
        <f t="shared" si="22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1</v>
      </c>
      <c r="T32" s="89">
        <f t="shared" si="14"/>
        <v>0.52419284654898324</v>
      </c>
      <c r="U32" s="89">
        <f t="shared" si="6"/>
        <v>61.186395417279016</v>
      </c>
      <c r="V32" s="89">
        <f t="shared" si="15"/>
        <v>4.1098128409733512</v>
      </c>
      <c r="W32" s="1144">
        <f t="shared" si="7"/>
        <v>0.2317653982419092</v>
      </c>
      <c r="X32" s="1144">
        <f t="shared" si="7"/>
        <v>0.2317653982419092</v>
      </c>
      <c r="Y32" s="1144">
        <f t="shared" si="7"/>
        <v>0.21322416638255648</v>
      </c>
      <c r="Z32" s="1136">
        <f t="shared" si="8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16"/>
        <v>9.6438740790394481E-2</v>
      </c>
      <c r="AD32" s="84">
        <f t="shared" si="17"/>
        <v>3.0000000000000001E-3</v>
      </c>
      <c r="AE32" s="229">
        <v>2</v>
      </c>
      <c r="AF32" s="89">
        <f t="shared" si="9"/>
        <v>0.38164469774068793</v>
      </c>
      <c r="AG32" s="229">
        <f t="shared" si="18"/>
        <v>8.58</v>
      </c>
      <c r="AH32" s="89">
        <f t="shared" si="19"/>
        <v>1.4177170771422756</v>
      </c>
      <c r="AI32" s="89">
        <f t="shared" si="20"/>
        <v>0.14177170771422756</v>
      </c>
      <c r="AJ32" s="89">
        <f t="shared" si="10"/>
        <v>1.4177170771422756</v>
      </c>
      <c r="AK32" s="227">
        <f>EquipmentSpecs!L32</f>
        <v>1.04</v>
      </c>
      <c r="AL32" s="226">
        <f t="shared" si="21"/>
        <v>6.9855485446773863E-2</v>
      </c>
      <c r="AM32" s="230">
        <f t="shared" si="22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0</v>
      </c>
      <c r="T35" s="89">
        <f t="shared" si="14"/>
        <v>0</v>
      </c>
      <c r="U35" s="89">
        <f t="shared" si="6"/>
        <v>61.186395417279016</v>
      </c>
      <c r="V35" s="89">
        <f t="shared" si="15"/>
        <v>0</v>
      </c>
      <c r="W35" s="1144">
        <f t="shared" si="7"/>
        <v>0</v>
      </c>
      <c r="X35" s="1144">
        <f t="shared" si="7"/>
        <v>0</v>
      </c>
      <c r="Y35" s="1144">
        <f t="shared" si="7"/>
        <v>0</v>
      </c>
      <c r="Z35" s="1136">
        <f t="shared" si="8"/>
        <v>0</v>
      </c>
      <c r="AA35" s="227">
        <f>EquipmentSpecs!J35</f>
        <v>0.32</v>
      </c>
      <c r="AB35" s="228">
        <f>EquipmentSpecs!K35</f>
        <v>2.1</v>
      </c>
      <c r="AC35" s="89">
        <f t="shared" si="16"/>
        <v>0</v>
      </c>
      <c r="AD35" s="84">
        <f t="shared" si="17"/>
        <v>3.0000000000000001E-3</v>
      </c>
      <c r="AE35" s="229">
        <v>2</v>
      </c>
      <c r="AF35" s="89">
        <f t="shared" si="9"/>
        <v>0</v>
      </c>
      <c r="AG35" s="229">
        <f t="shared" si="18"/>
        <v>8.58</v>
      </c>
      <c r="AH35" s="89">
        <f t="shared" si="19"/>
        <v>0</v>
      </c>
      <c r="AI35" s="89">
        <f t="shared" si="20"/>
        <v>0</v>
      </c>
      <c r="AJ35" s="89">
        <f t="shared" si="10"/>
        <v>0</v>
      </c>
      <c r="AK35" s="227">
        <f>EquipmentSpecs!L35</f>
        <v>1.1599999999999999</v>
      </c>
      <c r="AL35" s="226">
        <f t="shared" si="21"/>
        <v>0</v>
      </c>
      <c r="AM35" s="230">
        <f t="shared" si="22"/>
        <v>0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1</v>
      </c>
      <c r="T37" s="89">
        <f t="shared" si="14"/>
        <v>6.6617995841222237</v>
      </c>
      <c r="U37" s="89">
        <f t="shared" si="6"/>
        <v>75.989555598878766</v>
      </c>
      <c r="V37" s="89">
        <f t="shared" si="15"/>
        <v>5.4278253999199126</v>
      </c>
      <c r="W37" s="1144">
        <f t="shared" si="7"/>
        <v>0.64254017857142864</v>
      </c>
      <c r="X37" s="1144">
        <f t="shared" si="7"/>
        <v>0.64254017857142864</v>
      </c>
      <c r="Y37" s="1144">
        <f t="shared" si="7"/>
        <v>0.59113696428571427</v>
      </c>
      <c r="Z37" s="1136">
        <f t="shared" si="8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16"/>
        <v>3.17876757624399</v>
      </c>
      <c r="AD37" s="84">
        <f t="shared" si="17"/>
        <v>3.0000000000000001E-3</v>
      </c>
      <c r="AE37" s="229">
        <v>2</v>
      </c>
      <c r="AF37" s="89">
        <f t="shared" si="9"/>
        <v>0.4946228571428572</v>
      </c>
      <c r="AG37" s="229">
        <f t="shared" si="18"/>
        <v>10.119999999999999</v>
      </c>
      <c r="AH37" s="89">
        <f t="shared" si="19"/>
        <v>1.7782285714285715</v>
      </c>
      <c r="AI37" s="89">
        <f t="shared" si="20"/>
        <v>0.17782285714285717</v>
      </c>
      <c r="AJ37" s="89">
        <f t="shared" si="10"/>
        <v>1.7782285714285715</v>
      </c>
      <c r="AK37" s="227">
        <f>EquipmentSpecs!L37</f>
        <v>1.1100000000000001</v>
      </c>
      <c r="AL37" s="226">
        <f t="shared" si="21"/>
        <v>7.9285714285714307E-2</v>
      </c>
      <c r="AM37" s="230">
        <f t="shared" si="22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3</v>
      </c>
      <c r="T43" s="89">
        <f t="shared" si="14"/>
        <v>0.49509880444991672</v>
      </c>
      <c r="U43" s="89">
        <f t="shared" ref="U43:U51" si="24">(((P43-(AQ43*P43))*AS43)+(AR43*(AQ43*P43)))/AO43</f>
        <v>36.514461781279415</v>
      </c>
      <c r="V43" s="89">
        <f t="shared" si="15"/>
        <v>1.3856264011681438</v>
      </c>
      <c r="W43" s="1144">
        <f t="shared" si="7"/>
        <v>3.133880406780068E-2</v>
      </c>
      <c r="X43" s="1144">
        <f t="shared" si="7"/>
        <v>3.133880406780068E-2</v>
      </c>
      <c r="Y43" s="1144">
        <f t="shared" si="7"/>
        <v>2.8831699742376621E-2</v>
      </c>
      <c r="Z43" s="1136">
        <f t="shared" si="8"/>
        <v>2.1552531292519945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8.5129361952937785E-2</v>
      </c>
      <c r="AD43" s="84">
        <f t="shared" si="17"/>
        <v>3.0000000000000001E-3</v>
      </c>
      <c r="AE43" s="229">
        <v>2</v>
      </c>
      <c r="AF43" s="89">
        <f t="shared" si="9"/>
        <v>0.15275318991890158</v>
      </c>
      <c r="AG43" s="229">
        <f t="shared" si="18"/>
        <v>7.6999999999999993</v>
      </c>
      <c r="AH43" s="89">
        <f t="shared" si="19"/>
        <v>0.71879836126691332</v>
      </c>
      <c r="AI43" s="89">
        <f t="shared" si="20"/>
        <v>7.187983612669134E-2</v>
      </c>
      <c r="AJ43" s="89">
        <f t="shared" si="10"/>
        <v>0.71879836126691332</v>
      </c>
      <c r="AK43" s="227">
        <f>EquipmentSpecs!L43</f>
        <v>1.04</v>
      </c>
      <c r="AL43" s="226">
        <f t="shared" si="21"/>
        <v>3.9465225198901381E-2</v>
      </c>
      <c r="AM43" s="230">
        <f t="shared" si="22"/>
        <v>0.58526928969970748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1</v>
      </c>
      <c r="T46" s="89">
        <f t="shared" si="14"/>
        <v>0.1090799877383949</v>
      </c>
      <c r="U46" s="89">
        <f t="shared" si="24"/>
        <v>36.514461781279415</v>
      </c>
      <c r="V46" s="89">
        <f t="shared" si="15"/>
        <v>0.69281320058407203</v>
      </c>
      <c r="W46" s="1144">
        <f t="shared" si="7"/>
        <v>4.0151597565040928E-2</v>
      </c>
      <c r="X46" s="1144">
        <f t="shared" si="7"/>
        <v>4.0151597565040928E-2</v>
      </c>
      <c r="Y46" s="1144">
        <f t="shared" si="7"/>
        <v>3.6939469759837647E-2</v>
      </c>
      <c r="Z46" s="1136">
        <f t="shared" si="8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16"/>
        <v>1.1276492906586638E-2</v>
      </c>
      <c r="AD46" s="84">
        <f t="shared" si="17"/>
        <v>3.0000000000000001E-3</v>
      </c>
      <c r="AE46" s="229">
        <v>2</v>
      </c>
      <c r="AF46" s="89">
        <f t="shared" si="9"/>
        <v>7.6376594959450789E-2</v>
      </c>
      <c r="AG46" s="229">
        <f t="shared" si="18"/>
        <v>7.6999999999999993</v>
      </c>
      <c r="AH46" s="89">
        <f t="shared" si="19"/>
        <v>0.35939918063345666</v>
      </c>
      <c r="AI46" s="89">
        <f t="shared" si="20"/>
        <v>3.593991806334567E-2</v>
      </c>
      <c r="AJ46" s="89">
        <f t="shared" si="10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22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3</v>
      </c>
      <c r="T47" s="89">
        <f t="shared" si="14"/>
        <v>0.4674049215526041</v>
      </c>
      <c r="U47" s="89">
        <f t="shared" si="24"/>
        <v>36.514461781279415</v>
      </c>
      <c r="V47" s="89">
        <f t="shared" si="15"/>
        <v>1.3856264011681438</v>
      </c>
      <c r="W47" s="1144">
        <f t="shared" si="7"/>
        <v>3.0881696832023339E-2</v>
      </c>
      <c r="X47" s="1144">
        <f t="shared" si="7"/>
        <v>3.0881696832023339E-2</v>
      </c>
      <c r="Y47" s="1144">
        <f t="shared" si="7"/>
        <v>2.8411161085461469E-2</v>
      </c>
      <c r="Z47" s="1136">
        <f t="shared" si="8"/>
        <v>2.1235549869692725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8.0367559743241501E-2</v>
      </c>
      <c r="AD47" s="84">
        <f t="shared" si="17"/>
        <v>3.0000000000000001E-3</v>
      </c>
      <c r="AE47" s="229">
        <v>2</v>
      </c>
      <c r="AF47" s="89">
        <f t="shared" si="9"/>
        <v>0.15275318991890158</v>
      </c>
      <c r="AG47" s="229">
        <f t="shared" si="18"/>
        <v>7.6999999999999993</v>
      </c>
      <c r="AH47" s="89">
        <f t="shared" si="19"/>
        <v>0.71879836126691332</v>
      </c>
      <c r="AI47" s="89">
        <f t="shared" si="20"/>
        <v>7.187983612669134E-2</v>
      </c>
      <c r="AJ47" s="89">
        <f t="shared" si="10"/>
        <v>0.71879836126691332</v>
      </c>
      <c r="AK47" s="227">
        <f>EquipmentSpecs!L47</f>
        <v>1.04</v>
      </c>
      <c r="AL47" s="226">
        <f t="shared" si="21"/>
        <v>3.9465225198901381E-2</v>
      </c>
      <c r="AM47" s="230">
        <f t="shared" si="22"/>
        <v>0.58526928969970748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15.982553990968116</v>
      </c>
      <c r="U56" s="17"/>
      <c r="V56" s="257">
        <f>SUM(V14:V54)</f>
        <v>22.340649562404117</v>
      </c>
      <c r="W56" s="1147"/>
      <c r="X56" s="1147">
        <f>Z56-(T56+V56)</f>
        <v>5.7000216505885888</v>
      </c>
      <c r="Y56" s="1148">
        <f>(Z56-(T56+V56))/(T56+V56)</f>
        <v>0.14873552109625288</v>
      </c>
      <c r="Z56" s="257">
        <f>SUM(Z14:Z54)</f>
        <v>44.02322520396082</v>
      </c>
      <c r="AA56" s="17"/>
      <c r="AB56" s="17"/>
      <c r="AC56" s="257">
        <f>SUM(AC14:AC54)</f>
        <v>5.3573374709382326</v>
      </c>
      <c r="AD56" s="258"/>
      <c r="AE56" s="17"/>
      <c r="AF56" s="257">
        <f>SUM(AF14:AF54)</f>
        <v>2.1120870698761465</v>
      </c>
      <c r="AG56" s="17"/>
      <c r="AH56" s="257">
        <f>SUM(AH14:AH54)</f>
        <v>8.0815459970603811</v>
      </c>
      <c r="AI56" s="257">
        <f>SUM(AI14:AI54)</f>
        <v>0.80815459970603831</v>
      </c>
      <c r="AJ56" s="257"/>
      <c r="AK56" s="17"/>
      <c r="AL56" s="259">
        <f>SUM(AL14:AL54)</f>
        <v>0.41733110897057096</v>
      </c>
      <c r="AM56" s="260">
        <f>SUM(AM14:AM54)</f>
        <v>6.1890203460335655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2.5</v>
      </c>
      <c r="M69" s="224">
        <f>EquipmentSpecs!C69</f>
        <v>0.7</v>
      </c>
      <c r="N69" s="89">
        <f t="shared" si="31"/>
        <v>6.3636363636363633</v>
      </c>
      <c r="O69" s="226">
        <f t="shared" si="32"/>
        <v>0.15714285714285714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60.11029774083454</v>
      </c>
      <c r="U69" s="269"/>
      <c r="V69" s="269"/>
      <c r="W69" s="1144">
        <f t="shared" si="34"/>
        <v>2.7193440476190478</v>
      </c>
      <c r="X69" s="1144">
        <f t="shared" si="34"/>
        <v>2.7193440476190478</v>
      </c>
      <c r="Y69" s="1144">
        <f t="shared" si="34"/>
        <v>2.5017965238095239</v>
      </c>
      <c r="Z69" s="1136">
        <f t="shared" si="35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6"/>
        <v>14.299999999999999</v>
      </c>
      <c r="AH69" s="89">
        <f t="shared" si="37"/>
        <v>5.5279714285714281</v>
      </c>
      <c r="AI69" s="89">
        <f t="shared" si="38"/>
        <v>0.55279714285714288</v>
      </c>
      <c r="AJ69" s="89">
        <f t="shared" si="39"/>
        <v>5.5279714285714281</v>
      </c>
      <c r="AK69" s="227">
        <f>EquipmentSpecs!L69</f>
        <v>1.1100000000000001</v>
      </c>
      <c r="AL69" s="226">
        <f t="shared" si="40"/>
        <v>0.17442857142857143</v>
      </c>
      <c r="AM69" s="230">
        <f t="shared" si="41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1</v>
      </c>
      <c r="T72" s="89">
        <f t="shared" si="33"/>
        <v>6.3933280141131181</v>
      </c>
      <c r="U72" s="269"/>
      <c r="V72" s="269"/>
      <c r="W72" s="1144">
        <f t="shared" si="34"/>
        <v>0.28922928571428569</v>
      </c>
      <c r="X72" s="1144">
        <f t="shared" si="34"/>
        <v>0.28922928571428569</v>
      </c>
      <c r="Y72" s="1144">
        <f t="shared" si="34"/>
        <v>0.26609094285714285</v>
      </c>
      <c r="Z72" s="1136">
        <f t="shared" si="35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2.5</v>
      </c>
      <c r="M74" s="233">
        <f>EquipmentSpecs!C74</f>
        <v>0.7</v>
      </c>
      <c r="N74" s="235">
        <f t="shared" si="31"/>
        <v>6.3636363636363633</v>
      </c>
      <c r="O74" s="236">
        <f t="shared" si="32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4"/>
        <v>0.71552380952380945</v>
      </c>
      <c r="X74" s="1146">
        <f t="shared" si="34"/>
        <v>0.71552380952380945</v>
      </c>
      <c r="Y74" s="1146">
        <f t="shared" si="34"/>
        <v>0.65828190476190485</v>
      </c>
      <c r="Z74" s="1139">
        <f t="shared" si="35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2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40"/>
        <v>0.17442857142857143</v>
      </c>
      <c r="AM74" s="241">
        <f t="shared" si="41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70.921032049885028</v>
      </c>
      <c r="U83" s="17"/>
      <c r="V83" s="257">
        <f>SUM(V64:V81)</f>
        <v>9.6150049941438454</v>
      </c>
      <c r="W83" s="1147"/>
      <c r="X83" s="1147">
        <f>Z83-(T83+V83)</f>
        <v>10.874363657142851</v>
      </c>
      <c r="Y83" s="1148">
        <f>(Z83-(T83+V83))/(T83+V83)</f>
        <v>0.1350248169176472</v>
      </c>
      <c r="Z83" s="257">
        <f>SUM(Z64:Z81)</f>
        <v>91.410400701171724</v>
      </c>
      <c r="AA83" s="17"/>
      <c r="AB83" s="17"/>
      <c r="AC83" s="257">
        <f>SUM(AC64:AC81)</f>
        <v>19.614173893968196</v>
      </c>
      <c r="AD83" s="258"/>
      <c r="AE83" s="17"/>
      <c r="AF83" s="257">
        <f>SUM(AF64:AF81)</f>
        <v>0.89286685714285707</v>
      </c>
      <c r="AG83" s="17"/>
      <c r="AH83" s="257">
        <f>SUM(AH64:AH81)</f>
        <v>8.8447542857142842</v>
      </c>
      <c r="AI83" s="257">
        <f>SUM(AI64:AI81)</f>
        <v>0.88447542857142858</v>
      </c>
      <c r="AJ83" s="257"/>
      <c r="AK83" s="17"/>
      <c r="AL83" s="259">
        <f>SUM(AL64:AL81)</f>
        <v>0.34885714285714287</v>
      </c>
      <c r="AM83" s="257">
        <f>SUM(AM64:AM81)</f>
        <v>5.1735514285714288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1.38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170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835.82514138958607</v>
      </c>
      <c r="C4" s="121">
        <f>SummaryReport_Verification!B32</f>
        <v>4.9166184787622713</v>
      </c>
      <c r="D4" s="121">
        <f>SummaryReport_Verification!B28</f>
        <v>150.17485861041393</v>
      </c>
      <c r="E4" s="121">
        <f>SummaryReport_Verification!B29</f>
        <v>222.41143724853291</v>
      </c>
      <c r="F4" s="121">
        <f>SummaryReport_Verification!B30</f>
        <v>1058.236578638119</v>
      </c>
      <c r="G4" s="121">
        <f>SummaryReport_Verification!B31</f>
        <v>-72.236578638118999</v>
      </c>
      <c r="H4" s="121">
        <f>SummaryReport_Verification!B33</f>
        <v>6.2249210508124646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835.82514138958607</v>
      </c>
      <c r="C9" s="122">
        <f t="shared" si="0"/>
        <v>4.9166184787622713</v>
      </c>
      <c r="D9" s="122">
        <f t="shared" si="0"/>
        <v>150.17485861041393</v>
      </c>
      <c r="E9" s="122">
        <f t="shared" si="0"/>
        <v>222.41143724853291</v>
      </c>
      <c r="F9" s="122">
        <f t="shared" si="0"/>
        <v>1058.236578638119</v>
      </c>
      <c r="G9" s="122">
        <f t="shared" si="0"/>
        <v>-72.236578638118999</v>
      </c>
      <c r="H9" s="122">
        <f t="shared" si="0"/>
        <v>6.2249210508124646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170</v>
      </c>
      <c r="C4" s="113"/>
      <c r="D4" s="113"/>
      <c r="E4" s="113"/>
      <c r="F4" s="113"/>
      <c r="G4" s="163">
        <f>AVERAGE(B4:F4)</f>
        <v>170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5.8</v>
      </c>
      <c r="C5" s="96"/>
      <c r="D5" s="96"/>
      <c r="E5" s="96"/>
      <c r="F5" s="96"/>
      <c r="G5" s="96">
        <f>AVERAGE(B5:F5)</f>
        <v>5.8</v>
      </c>
    </row>
    <row r="6" spans="1:8" ht="13.5" x14ac:dyDescent="0.35">
      <c r="A6" s="107" t="s">
        <v>231</v>
      </c>
      <c r="B6" s="114">
        <f>Budget!F3</f>
        <v>986</v>
      </c>
      <c r="C6" s="114"/>
      <c r="D6" s="114"/>
      <c r="E6" s="114"/>
      <c r="F6" s="114"/>
      <c r="G6" s="114">
        <f>AVERAGE(B6:F6)</f>
        <v>986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35.027027027027032</v>
      </c>
      <c r="C9" s="96"/>
      <c r="D9" s="96"/>
      <c r="E9" s="96"/>
      <c r="F9" s="96"/>
      <c r="G9" s="96">
        <f t="shared" ref="G9:G28" si="0">AVERAGE(B9:F9)</f>
        <v>35.027027027027032</v>
      </c>
      <c r="H9" s="1898">
        <f>G9/G$23</f>
        <v>5.0443114061326476E-2</v>
      </c>
    </row>
    <row r="10" spans="1:8" ht="13.9" x14ac:dyDescent="0.4">
      <c r="A10" s="91" t="s">
        <v>224</v>
      </c>
      <c r="B10" s="96">
        <f>SUM(Budget!F7:F13)</f>
        <v>159.34</v>
      </c>
      <c r="C10" s="96"/>
      <c r="D10" s="96"/>
      <c r="E10" s="96"/>
      <c r="F10" s="96"/>
      <c r="G10" s="96">
        <f t="shared" si="0"/>
        <v>159.34</v>
      </c>
      <c r="H10" s="1898">
        <f>G10/G$23</f>
        <v>0.22946868394882339</v>
      </c>
    </row>
    <row r="11" spans="1:8" ht="13.9" x14ac:dyDescent="0.4">
      <c r="A11" s="91" t="str">
        <f>Budget!A14</f>
        <v>Herbicide</v>
      </c>
      <c r="B11" s="96">
        <f>Budget!F14</f>
        <v>127.5680625</v>
      </c>
      <c r="C11" s="96"/>
      <c r="D11" s="96"/>
      <c r="E11" s="96"/>
      <c r="F11" s="96"/>
      <c r="G11" s="96">
        <f t="shared" si="0"/>
        <v>127.5680625</v>
      </c>
      <c r="H11" s="1898">
        <f>SUM(G11:G14)/$G$23</f>
        <v>0.2130345771930339</v>
      </c>
    </row>
    <row r="12" spans="1:8" ht="15" customHeight="1" x14ac:dyDescent="0.4">
      <c r="A12" s="91" t="str">
        <f>Budget!A15</f>
        <v>Insecticide</v>
      </c>
      <c r="B12" s="96">
        <f>Budget!F15</f>
        <v>9.0399999999999991</v>
      </c>
      <c r="C12" s="96"/>
      <c r="D12" s="96"/>
      <c r="E12" s="96"/>
      <c r="F12" s="96"/>
      <c r="G12" s="96">
        <f t="shared" si="0"/>
        <v>9.0399999999999991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11.3203125</v>
      </c>
      <c r="C13" s="96"/>
      <c r="D13" s="96"/>
      <c r="E13" s="96"/>
      <c r="F13" s="96"/>
      <c r="G13" s="96">
        <f t="shared" si="0"/>
        <v>11.3203125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99</v>
      </c>
      <c r="C15" s="96"/>
      <c r="D15" s="96"/>
      <c r="E15" s="96"/>
      <c r="F15" s="96"/>
      <c r="G15" s="96">
        <f t="shared" si="0"/>
        <v>99</v>
      </c>
    </row>
    <row r="16" spans="1:8" ht="13.9" x14ac:dyDescent="0.4">
      <c r="A16" s="91" t="s">
        <v>421</v>
      </c>
      <c r="B16" s="96">
        <f>Budget!F31+Budget!F32</f>
        <v>0.65</v>
      </c>
      <c r="C16" s="96"/>
      <c r="D16" s="96"/>
      <c r="E16" s="96"/>
      <c r="F16" s="96"/>
      <c r="G16" s="96">
        <f>AVERAGE(B16:F16)</f>
        <v>0.65</v>
      </c>
    </row>
    <row r="17" spans="1:7" ht="13.9" x14ac:dyDescent="0.4">
      <c r="A17" s="91" t="s">
        <v>462</v>
      </c>
      <c r="B17" s="96">
        <f>Budget!F25+Budget!F27</f>
        <v>16.926300282774665</v>
      </c>
      <c r="C17" s="96"/>
      <c r="D17" s="96"/>
      <c r="E17" s="96"/>
      <c r="F17" s="96"/>
      <c r="G17" s="96">
        <f t="shared" si="0"/>
        <v>16.926300282774665</v>
      </c>
    </row>
    <row r="18" spans="1:7" ht="13.9" x14ac:dyDescent="0.4">
      <c r="A18" s="91" t="s">
        <v>227</v>
      </c>
      <c r="B18" s="96">
        <f>Budget!F29</f>
        <v>87.167473533834581</v>
      </c>
      <c r="C18" s="96"/>
      <c r="D18" s="96"/>
      <c r="E18" s="96"/>
      <c r="F18" s="96"/>
      <c r="G18" s="96">
        <f>AVERAGE(B18:F18)</f>
        <v>87.167473533834581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546.03917584363626</v>
      </c>
      <c r="C19" s="108"/>
      <c r="D19" s="108"/>
      <c r="E19" s="108"/>
      <c r="F19" s="108"/>
      <c r="G19" s="108">
        <f>AVERAGE(B19:F19)</f>
        <v>546.03917584363626</v>
      </c>
    </row>
    <row r="20" spans="1:7" ht="13.9" x14ac:dyDescent="0.4">
      <c r="A20" s="91" t="s">
        <v>778</v>
      </c>
      <c r="B20" s="96">
        <f>SUM(Budget!F34:F36)</f>
        <v>44.5</v>
      </c>
      <c r="C20" s="108"/>
      <c r="D20" s="108"/>
      <c r="E20" s="108"/>
      <c r="F20" s="108"/>
      <c r="G20" s="96">
        <f t="shared" si="0"/>
        <v>44.5</v>
      </c>
    </row>
    <row r="21" spans="1:7" ht="15.4" x14ac:dyDescent="0.4">
      <c r="A21" s="91" t="s">
        <v>754</v>
      </c>
      <c r="B21" s="96">
        <f>Budget!F26+Budget!F28+Budget!F30</f>
        <v>39.274902791925427</v>
      </c>
      <c r="C21" s="96"/>
      <c r="D21" s="96"/>
      <c r="E21" s="96"/>
      <c r="F21" s="96"/>
      <c r="G21" s="96">
        <f t="shared" si="0"/>
        <v>39.274902791925427</v>
      </c>
    </row>
    <row r="22" spans="1:7" ht="13.9" x14ac:dyDescent="0.4">
      <c r="A22" s="91" t="s">
        <v>214</v>
      </c>
      <c r="B22" s="96">
        <f>Budget!F33</f>
        <v>64.572611774604994</v>
      </c>
      <c r="C22" s="96"/>
      <c r="D22" s="96"/>
      <c r="E22" s="96"/>
      <c r="F22" s="96"/>
      <c r="G22" s="96">
        <f t="shared" si="0"/>
        <v>64.572611774604994</v>
      </c>
    </row>
    <row r="23" spans="1:7" ht="13.9" x14ac:dyDescent="0.4">
      <c r="A23" s="107" t="s">
        <v>640</v>
      </c>
      <c r="B23" s="108">
        <f>SUM(Budget!F6:F18)+SUM(Budget!F20:F23)+SUM(Budget!F25:F36)</f>
        <v>694.38669041016669</v>
      </c>
      <c r="C23" s="96"/>
      <c r="D23" s="96"/>
      <c r="E23" s="96"/>
      <c r="F23" s="96"/>
      <c r="G23" s="108">
        <f t="shared" si="0"/>
        <v>694.38669041016669</v>
      </c>
    </row>
    <row r="24" spans="1:7" ht="13.9" x14ac:dyDescent="0.4">
      <c r="A24" s="91" t="s">
        <v>28</v>
      </c>
      <c r="B24" s="96">
        <f>Budget!F37</f>
        <v>28.643450979419374</v>
      </c>
      <c r="C24" s="96"/>
      <c r="D24" s="96"/>
      <c r="E24" s="96"/>
      <c r="F24" s="96"/>
      <c r="G24" s="96">
        <f t="shared" si="0"/>
        <v>28.643450979419374</v>
      </c>
    </row>
    <row r="25" spans="1:7" ht="15" customHeight="1" x14ac:dyDescent="0.4">
      <c r="A25" s="91" t="s">
        <v>228</v>
      </c>
      <c r="B25" s="96">
        <f>SUM(Budget!F39:F43)</f>
        <v>112.795</v>
      </c>
      <c r="C25" s="96"/>
      <c r="D25" s="96"/>
      <c r="E25" s="96"/>
      <c r="F25" s="96"/>
      <c r="G25" s="96">
        <f t="shared" si="0"/>
        <v>112.795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835.82514138958607</v>
      </c>
      <c r="C27" s="108"/>
      <c r="D27" s="108"/>
      <c r="E27" s="108"/>
      <c r="F27" s="108"/>
      <c r="G27" s="108">
        <f t="shared" si="0"/>
        <v>835.82514138958607</v>
      </c>
    </row>
    <row r="28" spans="1:7" ht="13.5" x14ac:dyDescent="0.35">
      <c r="A28" s="107" t="s">
        <v>233</v>
      </c>
      <c r="B28" s="114">
        <f>B6-B27</f>
        <v>150.17485861041393</v>
      </c>
      <c r="C28" s="114"/>
      <c r="D28" s="114"/>
      <c r="E28" s="114"/>
      <c r="F28" s="114"/>
      <c r="G28" s="114">
        <f t="shared" si="0"/>
        <v>150.17485861041393</v>
      </c>
    </row>
    <row r="29" spans="1:7" ht="13.9" x14ac:dyDescent="0.4">
      <c r="A29" s="91" t="s">
        <v>230</v>
      </c>
      <c r="B29" s="96">
        <f>Budget!F51</f>
        <v>222.41143724853291</v>
      </c>
      <c r="C29" s="96"/>
      <c r="D29" s="96"/>
      <c r="E29" s="96"/>
      <c r="F29" s="96"/>
      <c r="G29" s="96">
        <f>AVERAGE(B29:F29)</f>
        <v>222.41143724853291</v>
      </c>
    </row>
    <row r="30" spans="1:7" ht="15.4" x14ac:dyDescent="0.35">
      <c r="A30" s="107" t="s">
        <v>753</v>
      </c>
      <c r="B30" s="108">
        <f>B27+B29</f>
        <v>1058.236578638119</v>
      </c>
      <c r="C30" s="108"/>
      <c r="D30" s="108"/>
      <c r="E30" s="108"/>
      <c r="F30" s="108"/>
      <c r="G30" s="108">
        <f>AVERAGE(B30:F30)</f>
        <v>1058.236578638119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-72.236578638118999</v>
      </c>
      <c r="C31" s="114"/>
      <c r="D31" s="114"/>
      <c r="E31" s="114"/>
      <c r="F31" s="114"/>
      <c r="G31" s="114">
        <f>AVERAGE(B31:F31)</f>
        <v>-72.236578638118999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4.9166184787622713</v>
      </c>
      <c r="C32" s="96"/>
      <c r="D32" s="96"/>
      <c r="E32" s="96"/>
      <c r="F32" s="96"/>
      <c r="G32" s="96">
        <f>AVERAGE(B32:F32)</f>
        <v>4.9166184787622713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6.2249210508124646</v>
      </c>
      <c r="C33" s="98"/>
      <c r="D33" s="98"/>
      <c r="E33" s="98"/>
      <c r="F33" s="98"/>
      <c r="G33" s="98">
        <f>AVERAGE(B33:F33)</f>
        <v>6.2249210508124646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10. 2026 Rice Enterprise Budget, Conventional Seed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170</v>
      </c>
      <c r="E3" s="307">
        <f>Budget!E3</f>
        <v>5.8</v>
      </c>
      <c r="F3" s="307">
        <f>Budget!F3</f>
        <v>986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72</v>
      </c>
      <c r="E6" s="307">
        <f>Budget!E6</f>
        <v>0.48648648648648651</v>
      </c>
      <c r="F6" s="307">
        <f>Budget!F6</f>
        <v>35.027027027027032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330</v>
      </c>
      <c r="E7" s="307">
        <f>Budget!E7</f>
        <v>0.28083333333333332</v>
      </c>
      <c r="F7" s="307">
        <f>Budget!F7</f>
        <v>92.674999999999997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87</v>
      </c>
      <c r="E8" s="307">
        <f>Budget!E8</f>
        <v>0.40500000000000003</v>
      </c>
      <c r="F8" s="307">
        <f>Budget!F8</f>
        <v>35.234999999999999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1.38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127.5680625</v>
      </c>
      <c r="F13" s="307">
        <f>Budget!F14</f>
        <v>127.5680625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9.0399999999999991</v>
      </c>
      <c r="F14" s="307">
        <f>Budget!F15</f>
        <v>9.0399999999999991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11.3203125</v>
      </c>
      <c r="F15" s="307">
        <f>Budget!F16</f>
        <v>11.3203125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2</v>
      </c>
      <c r="E19" s="307">
        <f>Budget!E20</f>
        <v>9.5</v>
      </c>
      <c r="F19" s="307">
        <f>Budget!F20</f>
        <v>19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5</v>
      </c>
      <c r="E20" s="307">
        <f>Budget!E21</f>
        <v>10</v>
      </c>
      <c r="F20" s="307">
        <f>Budget!F21</f>
        <v>50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330</v>
      </c>
      <c r="E21" s="407">
        <f>Budget!E22</f>
        <v>0.1</v>
      </c>
      <c r="F21" s="307">
        <f>Budget!F22</f>
        <v>30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3.2851812996180412</v>
      </c>
      <c r="E24" s="307">
        <f>Budget!E25</f>
        <v>2.46</v>
      </c>
      <c r="F24" s="307">
        <f>Budget!F25</f>
        <v>8.0815459970603811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7.4694245408143791</v>
      </c>
      <c r="F25" s="307">
        <f>Budget!F26</f>
        <v>7.4694245408143791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3.5954285714285708</v>
      </c>
      <c r="E26" s="307">
        <f>Budget!E27</f>
        <v>2.46</v>
      </c>
      <c r="F26" s="307">
        <f>Budget!F27</f>
        <v>8.8447542857142842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20.507040751111052</v>
      </c>
      <c r="F27" s="307">
        <f>Budget!F28</f>
        <v>20.507040751111052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30</v>
      </c>
      <c r="E28" s="307">
        <f>Budget!E29</f>
        <v>2.9055824511278194</v>
      </c>
      <c r="F28" s="307">
        <f>Budget!F29</f>
        <v>87.167473533834581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30</v>
      </c>
      <c r="E29" s="307">
        <f>Budget!E30</f>
        <v>0.37661458333333331</v>
      </c>
      <c r="F29" s="307">
        <f>Budget!F30</f>
        <v>11.298437499999999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Levee Gates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0.65</v>
      </c>
      <c r="F31" s="307">
        <f>Budget!F32</f>
        <v>0.65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4.354188251827714</v>
      </c>
      <c r="E32" s="307">
        <f>Budget!E33</f>
        <v>14.83</v>
      </c>
      <c r="F32" s="307">
        <f>Budget!F33</f>
        <v>64.572611774604994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8</v>
      </c>
      <c r="F33" s="307">
        <f>Budget!F34</f>
        <v>8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4.5</v>
      </c>
      <c r="F34" s="307">
        <f>Budget!F35</f>
        <v>4.5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32</v>
      </c>
      <c r="F35" s="307">
        <f>Budget!F36</f>
        <v>32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694.38669041016658</v>
      </c>
      <c r="F36" s="307">
        <f>Budget!F37</f>
        <v>28.643450979419374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170</v>
      </c>
      <c r="E39" s="307">
        <f>Budget!E40</f>
        <v>0.4</v>
      </c>
      <c r="F39" s="307">
        <f>Budget!F40</f>
        <v>68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170</v>
      </c>
      <c r="E40" s="307">
        <f>Budget!E41</f>
        <v>0.25</v>
      </c>
      <c r="F40" s="307">
        <f>Budget!F41</f>
        <v>42.5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170</v>
      </c>
      <c r="E41" s="307">
        <f>Budget!E42</f>
        <v>1.35E-2</v>
      </c>
      <c r="F41" s="307">
        <f>Budget!F42</f>
        <v>2.2949999999999999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826.395141389586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159.604858610414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135.43362590513254</v>
      </c>
      <c r="F47" s="311">
        <f>Budget!F48</f>
        <v>135.43362590513254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80.206130048143748</v>
      </c>
      <c r="F48" s="311">
        <f>Budget!F49</f>
        <v>80.206130048143748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6.7716812952566272</v>
      </c>
      <c r="F49" s="311">
        <f>Budget!F50</f>
        <v>6.7716812952566272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222.41143724853291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1048.8065786381189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-62.806578638118935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Rice, Conventional Seed</v>
      </c>
      <c r="H1" s="1246"/>
      <c r="I1" s="1442"/>
    </row>
    <row r="2" spans="1:9" ht="15" customHeight="1" x14ac:dyDescent="0.4">
      <c r="A2" s="1806" t="str">
        <f>Print_Summary!G1</f>
        <v>Rice, Conventional Seed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694386.69041016675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170</v>
      </c>
      <c r="C6" s="1820"/>
      <c r="D6" s="1821">
        <f>B6*Print_Summary!$I$2</f>
        <v>170000</v>
      </c>
      <c r="E6" s="1097" t="s">
        <v>797</v>
      </c>
      <c r="F6" s="1541">
        <f>B6*0.9</f>
        <v>153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/>
      <c r="D7" s="1823">
        <f>B7</f>
        <v>5.8</v>
      </c>
      <c r="E7" s="1097" t="s">
        <v>791</v>
      </c>
      <c r="F7" s="1542">
        <f>B7</f>
        <v>5.8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986</v>
      </c>
      <c r="C9" s="1826"/>
      <c r="D9" s="1827">
        <f>B9*Print_Summary!$I$2</f>
        <v>986000</v>
      </c>
      <c r="E9" s="667" t="s">
        <v>13</v>
      </c>
      <c r="F9" s="1828">
        <f>F6*F7</f>
        <v>887.4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35.027027027027032</v>
      </c>
      <c r="C13" s="1835">
        <f>B13/$B$6</f>
        <v>0.20604133545310019</v>
      </c>
      <c r="D13" s="1821">
        <f>B13*Print_Summary!$I$2</f>
        <v>35027.027027027034</v>
      </c>
      <c r="E13" s="4"/>
      <c r="F13" s="1824">
        <f>B13/$F$9</f>
        <v>3.9471520201743333E-2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159.34</v>
      </c>
      <c r="C14" s="1835">
        <f t="shared" ref="C14:C34" si="0">B14/$B$6</f>
        <v>0.93729411764705883</v>
      </c>
      <c r="D14" s="1821">
        <f>B14*Print_Summary!$I$2</f>
        <v>159340</v>
      </c>
      <c r="E14" s="4"/>
      <c r="F14" s="1824">
        <f t="shared" ref="F14:F19" si="1">B14/$F$9</f>
        <v>0.17955826008564346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147.92837499999999</v>
      </c>
      <c r="C15" s="1835">
        <f t="shared" si="0"/>
        <v>0.87016691176470584</v>
      </c>
      <c r="D15" s="1821">
        <f>B15*Print_Summary!$I$2</f>
        <v>147928.375</v>
      </c>
      <c r="E15" s="4"/>
      <c r="F15" s="1824">
        <f t="shared" si="1"/>
        <v>0.16669864210051835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99</v>
      </c>
      <c r="C16" s="1835">
        <f t="shared" si="0"/>
        <v>0.58235294117647063</v>
      </c>
      <c r="D16" s="1821">
        <f>B16*Print_Summary!$I$2</f>
        <v>99000</v>
      </c>
      <c r="E16" s="4"/>
      <c r="F16" s="1824">
        <f t="shared" si="1"/>
        <v>0.11156186612576065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16.926300282774665</v>
      </c>
      <c r="C17" s="1835">
        <f t="shared" si="0"/>
        <v>9.9566472251615676E-2</v>
      </c>
      <c r="D17" s="1821">
        <f>B17*Print_Summary!$I$2</f>
        <v>16926.300282774664</v>
      </c>
      <c r="E17" s="4"/>
      <c r="F17" s="1824">
        <f t="shared" si="1"/>
        <v>1.9074036829811434E-2</v>
      </c>
    </row>
    <row r="18" spans="1:6" ht="13.9" x14ac:dyDescent="0.4">
      <c r="A18" s="1834" t="s">
        <v>227</v>
      </c>
      <c r="B18" s="1835">
        <f>Budget!F29</f>
        <v>87.167473533834581</v>
      </c>
      <c r="C18" s="1835">
        <f t="shared" si="0"/>
        <v>0.51274984431667403</v>
      </c>
      <c r="D18" s="1821">
        <f>B18*Print_Summary!$I$2</f>
        <v>87167.473533834578</v>
      </c>
      <c r="E18" s="4"/>
      <c r="F18" s="1824">
        <f t="shared" si="1"/>
        <v>9.8227939524267061E-2</v>
      </c>
    </row>
    <row r="19" spans="1:6" ht="13.9" x14ac:dyDescent="0.4">
      <c r="A19" s="1834" t="s">
        <v>421</v>
      </c>
      <c r="B19" s="1835">
        <f>Budget!F31+Budget!F32</f>
        <v>0.65</v>
      </c>
      <c r="C19" s="1835">
        <f t="shared" si="0"/>
        <v>3.8235294117647061E-3</v>
      </c>
      <c r="D19" s="1821">
        <f>B19*Print_Summary!$I$2</f>
        <v>650</v>
      </c>
      <c r="E19" s="4"/>
      <c r="F19" s="1824">
        <f t="shared" si="1"/>
        <v>7.3247689880549924E-4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546.03917584363626</v>
      </c>
      <c r="C20" s="1836">
        <f t="shared" si="0"/>
        <v>3.2119951520213896</v>
      </c>
      <c r="D20" s="1827">
        <f>B20*Print_Summary!$I$2</f>
        <v>546039.17584363627</v>
      </c>
      <c r="E20" s="308"/>
      <c r="F20" s="1837">
        <f t="shared" ref="F20:F28" si="2">B20/$F$9</f>
        <v>0.61532474176654983</v>
      </c>
    </row>
    <row r="21" spans="1:6" ht="13.9" x14ac:dyDescent="0.4">
      <c r="A21" s="1834" t="s">
        <v>778</v>
      </c>
      <c r="B21" s="1835">
        <f>Budget!F34+Budget!F35</f>
        <v>12.5</v>
      </c>
      <c r="C21" s="1835">
        <f t="shared" si="0"/>
        <v>7.3529411764705885E-2</v>
      </c>
      <c r="D21" s="1821">
        <f>B21*Print_Summary!$I$2</f>
        <v>12500</v>
      </c>
      <c r="E21" s="4"/>
      <c r="F21" s="1824">
        <f t="shared" si="2"/>
        <v>1.4086094207798062E-2</v>
      </c>
    </row>
    <row r="22" spans="1:6" ht="13.9" x14ac:dyDescent="0.4">
      <c r="A22" s="1834" t="s">
        <v>1</v>
      </c>
      <c r="B22" s="1835">
        <f>Budget!F36</f>
        <v>32</v>
      </c>
      <c r="C22" s="1835">
        <f t="shared" si="0"/>
        <v>0.18823529411764706</v>
      </c>
      <c r="D22" s="1821">
        <f>B22*Print_Summary!$I$2</f>
        <v>32000</v>
      </c>
      <c r="E22" s="4"/>
      <c r="F22" s="1824">
        <f t="shared" si="2"/>
        <v>3.606040117196304E-2</v>
      </c>
    </row>
    <row r="23" spans="1:6" ht="13.9" x14ac:dyDescent="0.4">
      <c r="A23" s="1834" t="s">
        <v>749</v>
      </c>
      <c r="B23" s="1835">
        <f>Budget!F26+Budget!F28+Budget!F30</f>
        <v>39.274902791925427</v>
      </c>
      <c r="C23" s="1835">
        <f t="shared" si="0"/>
        <v>0.23102883995250251</v>
      </c>
      <c r="D23" s="1821">
        <f>B23*Print_Summary!$I$2</f>
        <v>39274.902791925429</v>
      </c>
      <c r="E23" s="4"/>
      <c r="F23" s="1824">
        <f t="shared" si="2"/>
        <v>4.4258398458333813E-2</v>
      </c>
    </row>
    <row r="24" spans="1:6" ht="13.9" x14ac:dyDescent="0.4">
      <c r="A24" s="1834" t="s">
        <v>214</v>
      </c>
      <c r="B24" s="1835">
        <f>Budget!F33</f>
        <v>64.572611774604994</v>
      </c>
      <c r="C24" s="1835">
        <f t="shared" si="0"/>
        <v>0.37983889279179406</v>
      </c>
      <c r="D24" s="1821">
        <f>B24*Print_Summary!$I$2</f>
        <v>64572.611774604993</v>
      </c>
      <c r="E24" s="4"/>
      <c r="F24" s="1824">
        <f t="shared" si="2"/>
        <v>7.2766071416052513E-2</v>
      </c>
    </row>
    <row r="25" spans="1:6" ht="13.5" x14ac:dyDescent="0.35">
      <c r="A25" s="1825" t="s">
        <v>640</v>
      </c>
      <c r="B25" s="1836">
        <f>SUM(Budget!F6:F18)+SUM(Budget!F20:F23)+SUM(Budget!F25:F36)</f>
        <v>694.38669041016669</v>
      </c>
      <c r="C25" s="1836">
        <f t="shared" si="0"/>
        <v>4.0846275906480392</v>
      </c>
      <c r="D25" s="1827">
        <f>B25*Print_Summary!$I$2</f>
        <v>694386.69041016675</v>
      </c>
      <c r="E25" s="308"/>
      <c r="F25" s="1837">
        <f t="shared" si="2"/>
        <v>0.78249570702069726</v>
      </c>
    </row>
    <row r="26" spans="1:6" ht="13.9" x14ac:dyDescent="0.4">
      <c r="A26" s="1834" t="s">
        <v>28</v>
      </c>
      <c r="B26" s="1835">
        <f>Budget!F37</f>
        <v>28.643450979419374</v>
      </c>
      <c r="C26" s="1835">
        <f t="shared" si="0"/>
        <v>0.1684908881142316</v>
      </c>
      <c r="D26" s="1821">
        <f>B26*Print_Summary!$I$2</f>
        <v>28643.450979419373</v>
      </c>
      <c r="E26" s="4"/>
      <c r="F26" s="1824">
        <f t="shared" si="2"/>
        <v>3.2277947914603755E-2</v>
      </c>
    </row>
    <row r="27" spans="1:6" ht="13.9" x14ac:dyDescent="0.4">
      <c r="A27" s="1834" t="s">
        <v>228</v>
      </c>
      <c r="B27" s="1835">
        <f>SUM(Budget!F39:F43)</f>
        <v>112.795</v>
      </c>
      <c r="C27" s="1835">
        <f t="shared" si="0"/>
        <v>0.66349999999999998</v>
      </c>
      <c r="D27" s="1821">
        <f>B27*Print_Summary!$I$2</f>
        <v>112795</v>
      </c>
      <c r="E27" s="4"/>
      <c r="F27" s="1824">
        <f t="shared" si="2"/>
        <v>0.12710727969348659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835.82514138958607</v>
      </c>
      <c r="C29" s="1836">
        <f t="shared" si="0"/>
        <v>4.9166184787622713</v>
      </c>
      <c r="D29" s="1827">
        <f>B29*Print_Summary!$I$2</f>
        <v>835825.14138958603</v>
      </c>
      <c r="E29" s="308"/>
      <c r="F29" s="1824"/>
    </row>
    <row r="30" spans="1:6" ht="13.5" x14ac:dyDescent="0.35">
      <c r="A30" s="1825" t="s">
        <v>233</v>
      </c>
      <c r="B30" s="1826">
        <f>B9-B29-B31</f>
        <v>150.17485861041393</v>
      </c>
      <c r="C30" s="1826">
        <f t="shared" si="0"/>
        <v>0.88338152123772906</v>
      </c>
      <c r="D30" s="1827">
        <f>B30*Print_Summary!$I$2</f>
        <v>150174.85861041394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222.41143724853291</v>
      </c>
      <c r="C32" s="1835">
        <f t="shared" si="0"/>
        <v>1.3083025720501935</v>
      </c>
      <c r="D32" s="1821">
        <f>B32*Print_Summary!$I$2</f>
        <v>222411.43724853289</v>
      </c>
      <c r="E32" s="4"/>
      <c r="F32" s="1824">
        <f>B32/$F$9</f>
        <v>0.25063267663796812</v>
      </c>
    </row>
    <row r="33" spans="1:6" ht="13.5" x14ac:dyDescent="0.35">
      <c r="A33" s="1825" t="s">
        <v>650</v>
      </c>
      <c r="B33" s="1836">
        <f>B29+B32</f>
        <v>1058.236578638119</v>
      </c>
      <c r="C33" s="1836">
        <f t="shared" si="0"/>
        <v>6.2249210508124646</v>
      </c>
      <c r="D33" s="1827">
        <f>B33*Print_Summary!$I$2</f>
        <v>1058236.5786381189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-72.236578638118999</v>
      </c>
      <c r="C34" s="1826">
        <f t="shared" si="0"/>
        <v>-0.42492105081246467</v>
      </c>
      <c r="D34" s="1827">
        <f>B34*Print_Summary!$I$2</f>
        <v>-72236.578638118997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4.9166184787622713</v>
      </c>
      <c r="C36" s="1097"/>
      <c r="D36" s="1823">
        <f>D29/D6</f>
        <v>4.9166184787622704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6.2249210508124646</v>
      </c>
      <c r="C37" s="1097"/>
      <c r="D37" s="1823">
        <f>D33/D6</f>
        <v>6.2249210508124646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10. 2026 Rice Enterprise Budget, Conventional Seed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14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Rice, Conventional Seed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1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10. Details of Chemicals Applied, Rice, Conventional Seed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10. Machinery Capital Recovery and Operating Costs, Rice, Conventional Seed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10. 2026 Rice Enterprise Budget, Conventional Seed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92.674999999999997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835.82514138958595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135.43362590513254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222.41143724853291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-72.236578638118772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0.1275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170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170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170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170</v>
      </c>
      <c r="J30" s="900"/>
    </row>
    <row r="31" spans="2:10" ht="12.75" customHeight="1" x14ac:dyDescent="0.4">
      <c r="B31" s="901">
        <f>IF(A2_Budget_Look_Up!B13&gt;0,Budget!D3*Budget!B41,I31)</f>
        <v>170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170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36.829980786810793</v>
      </c>
      <c r="I6" s="284"/>
      <c r="J6" s="301"/>
      <c r="K6" s="820">
        <f>((B6*M6)/G6)*Irrigation!L6</f>
        <v>0.19791666666666666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17155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33.253595810407326</v>
      </c>
      <c r="I7" s="284"/>
      <c r="J7" s="301"/>
      <c r="K7" s="820">
        <f>((B7*M7)/G7)*Irrigation!L7</f>
        <v>0.17869791666666668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79.670036298143742</v>
      </c>
      <c r="I10" s="292"/>
      <c r="J10" s="842"/>
      <c r="K10" s="829">
        <f>SUM(K4:K9)</f>
        <v>0.37661458333333331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17155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124.62</v>
      </c>
      <c r="C21" s="694">
        <f t="shared" si="1"/>
        <v>124.62</v>
      </c>
      <c r="D21" s="694">
        <f t="shared" si="1"/>
        <v>124.62</v>
      </c>
      <c r="E21" s="694">
        <f t="shared" si="1"/>
        <v>124.62</v>
      </c>
      <c r="F21" s="694">
        <f t="shared" si="1"/>
        <v>124.62</v>
      </c>
      <c r="G21" s="694">
        <f t="shared" si="1"/>
        <v>124.62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2.9055824511278194</v>
      </c>
      <c r="C26" s="696">
        <f>C22*((0.11345/(C23*C24*C25))*C21)</f>
        <v>0.23358664434782608</v>
      </c>
      <c r="D26" s="696">
        <f>D22*((0.11345/(D23*D24))*D21)</f>
        <v>0.25583299142857141</v>
      </c>
      <c r="E26" s="696">
        <f>E22*((0.11345/(E23*E24*E25))*E21)</f>
        <v>1.5732665954887219</v>
      </c>
      <c r="F26" s="696">
        <f>F22*((0.11345/(F23*F24*F25))*F21)</f>
        <v>3.0924159125085446</v>
      </c>
      <c r="G26" s="696">
        <f>G22*((0.11345/(G23*G24*G25))*G21)</f>
        <v>4.6064112030075197</v>
      </c>
      <c r="H26" s="697" t="s">
        <v>110</v>
      </c>
      <c r="I26" s="387">
        <f>SUM(B34:G34)</f>
        <v>2.9055824511278194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85.775000000000006</v>
      </c>
      <c r="L26" s="957">
        <f>K26/IF(Irrigation!B2=2,Irrigation!I15,Irrigation!I14)</f>
        <v>0.53609375000000004</v>
      </c>
      <c r="M26" s="301"/>
    </row>
    <row r="27" spans="1:13" x14ac:dyDescent="0.35">
      <c r="A27" s="706" t="s">
        <v>109</v>
      </c>
      <c r="B27" s="695">
        <f>B26*Budget!D29</f>
        <v>87.167473533834581</v>
      </c>
      <c r="C27" s="696">
        <f>C26*Budget!D29</f>
        <v>7.0075993304347826</v>
      </c>
      <c r="D27" s="696">
        <f>D26*Budget!D29</f>
        <v>7.6749897428571421</v>
      </c>
      <c r="E27" s="696">
        <f>E26*Budget!D29</f>
        <v>47.197997864661659</v>
      </c>
      <c r="F27" s="696">
        <f>F26*Budget!D29</f>
        <v>92.772477375256344</v>
      </c>
      <c r="G27" s="696">
        <f>G26*Budget!D29</f>
        <v>138.19233609022558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0.37661458333333331</v>
      </c>
      <c r="C29" s="288">
        <f t="shared" si="2"/>
        <v>0.37661458333333331</v>
      </c>
      <c r="D29" s="288">
        <f t="shared" si="2"/>
        <v>0.37661458333333331</v>
      </c>
      <c r="E29" s="288">
        <f t="shared" si="2"/>
        <v>0.37661458333333331</v>
      </c>
      <c r="F29" s="288">
        <f t="shared" si="2"/>
        <v>0.37661458333333331</v>
      </c>
      <c r="G29" s="709">
        <f t="shared" si="2"/>
        <v>0.37661458333333331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3.1961406962406018</v>
      </c>
      <c r="C30" s="698">
        <f>(1+C28)*C26</f>
        <v>0.24059424367826088</v>
      </c>
      <c r="D30" s="698">
        <f>(1+D28)*D26</f>
        <v>0.2737413008285714</v>
      </c>
      <c r="E30" s="698">
        <f>(1+E28)*E26</f>
        <v>1.7620585869473688</v>
      </c>
      <c r="F30" s="698">
        <f>(1+F28)*F26</f>
        <v>3.4635058220095702</v>
      </c>
      <c r="G30" s="698">
        <f>(1+G28)*G26</f>
        <v>5.2973728834586469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38.353688354887225</v>
      </c>
      <c r="C31" s="699">
        <f t="shared" si="3"/>
        <v>2.8871309241391305</v>
      </c>
      <c r="D31" s="699">
        <f t="shared" si="3"/>
        <v>3.2848956099428568</v>
      </c>
      <c r="E31" s="699">
        <f t="shared" si="3"/>
        <v>21.144703043368427</v>
      </c>
      <c r="F31" s="699">
        <f t="shared" si="3"/>
        <v>41.562069864114846</v>
      </c>
      <c r="G31" s="712">
        <f t="shared" si="3"/>
        <v>63.568474601503766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11.298437499999999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11.298437499999999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2.9055824511278194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124.62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2.0999999999999999E-3</v>
      </c>
    </row>
    <row r="39" spans="1:13" x14ac:dyDescent="0.35">
      <c r="A39" s="304"/>
      <c r="B39" s="719">
        <f>IF(Irrigation!B2=1,2,0)</f>
        <v>2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2.0999999999999999E-3</v>
      </c>
    </row>
    <row r="41" spans="1:13" ht="13.5" thickBot="1" x14ac:dyDescent="0.45">
      <c r="A41" s="304"/>
      <c r="B41" s="305">
        <f>SUM(B39:B40)</f>
        <v>2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6.3E-2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17155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124.62</v>
      </c>
      <c r="C64" s="694">
        <f t="shared" si="5"/>
        <v>124.62</v>
      </c>
      <c r="D64" s="694">
        <f t="shared" si="5"/>
        <v>124.62</v>
      </c>
      <c r="E64" s="694">
        <f t="shared" si="5"/>
        <v>124.62</v>
      </c>
      <c r="F64" s="694">
        <f t="shared" si="5"/>
        <v>124.62</v>
      </c>
      <c r="G64" s="694">
        <f t="shared" si="5"/>
        <v>124.62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2.9055824511278194</v>
      </c>
      <c r="C69" s="696">
        <f>C65*((0.11345/(C66*C67*C68))*C64)</f>
        <v>0.23358664434782608</v>
      </c>
      <c r="D69" s="696">
        <f>D65*((0.11345/(D66*D67))*D64)</f>
        <v>0.25583299142857141</v>
      </c>
      <c r="E69" s="696">
        <f>E65*((0.11345/(E66*E67*E68))*E64)</f>
        <v>1.5732665954887219</v>
      </c>
      <c r="F69" s="696">
        <f>F65*((0.11345/(F66*F67*F68))*F64)</f>
        <v>3.0924159125085446</v>
      </c>
      <c r="G69" s="696">
        <f>G65*((0.11345/(G66*G67*G68))*G64)</f>
        <v>4.6064112030075197</v>
      </c>
      <c r="H69" s="697" t="s">
        <v>110</v>
      </c>
      <c r="I69" s="387">
        <f>SUM(B77:G77)</f>
        <v>2.9055824511278194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87.167473533834581</v>
      </c>
      <c r="C70" s="696">
        <f>C69*Budget!D29</f>
        <v>7.0075993304347826</v>
      </c>
      <c r="D70" s="696">
        <f>D69*Budget!D29</f>
        <v>7.6749897428571421</v>
      </c>
      <c r="E70" s="696">
        <f>E69*Budget!D29</f>
        <v>47.197997864661659</v>
      </c>
      <c r="F70" s="696">
        <f>F69*Budget!D29</f>
        <v>92.772477375256344</v>
      </c>
      <c r="G70" s="696">
        <f>G69*Budget!D29</f>
        <v>138.19233609022558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3.1961406962406018</v>
      </c>
      <c r="C73" s="698">
        <f>(1+C71)*C69</f>
        <v>0.24059424367826088</v>
      </c>
      <c r="D73" s="698">
        <f>(1+D71)*D69</f>
        <v>0.2737413008285714</v>
      </c>
      <c r="E73" s="698">
        <f>(1+E71)*E69</f>
        <v>1.7620585869473688</v>
      </c>
      <c r="F73" s="698">
        <f>(1+F71)*F69</f>
        <v>3.4635058220095702</v>
      </c>
      <c r="G73" s="698">
        <f>(1+G71)*G69</f>
        <v>5.2973728834586469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38.353688354887225</v>
      </c>
      <c r="C74" s="699">
        <f t="shared" si="7"/>
        <v>2.8871309241391305</v>
      </c>
      <c r="D74" s="699">
        <f t="shared" si="7"/>
        <v>3.2848956099428568</v>
      </c>
      <c r="E74" s="699">
        <f t="shared" si="7"/>
        <v>21.144703043368427</v>
      </c>
      <c r="F74" s="699">
        <f t="shared" si="7"/>
        <v>41.562069864114846</v>
      </c>
      <c r="G74" s="712">
        <f t="shared" si="7"/>
        <v>63.568474601503766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2.9055824511278194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124.62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2.0999999999999999E-3</v>
      </c>
    </row>
    <row r="82" spans="1:13" x14ac:dyDescent="0.35">
      <c r="A82" s="304"/>
      <c r="B82" s="719">
        <f>IF(Irrigation!B2=1,2,0)</f>
        <v>2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2.0999999999999999E-3</v>
      </c>
    </row>
    <row r="84" spans="1:13" ht="13.5" thickBot="1" x14ac:dyDescent="0.45">
      <c r="A84" s="304"/>
      <c r="B84" s="305">
        <f>SUM(B82:B83)</f>
        <v>2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6.3E-2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Rice, Conventional Seed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170</v>
      </c>
      <c r="C6" s="1822">
        <f>B6*Print_Summary!$I$2</f>
        <v>170000</v>
      </c>
      <c r="D6" s="1845"/>
      <c r="E6" s="1096">
        <f t="shared" si="0"/>
        <v>170</v>
      </c>
      <c r="F6" s="1821">
        <f t="shared" si="0"/>
        <v>170000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5.8</v>
      </c>
      <c r="C7" s="1097">
        <f>B7</f>
        <v>5.8</v>
      </c>
      <c r="D7" s="1846"/>
      <c r="E7" s="1097">
        <f t="shared" si="0"/>
        <v>5.8</v>
      </c>
      <c r="F7" s="1847">
        <f t="shared" si="0"/>
        <v>5.8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986</v>
      </c>
      <c r="C9" s="1829">
        <f>B9*Print_Summary!$I$2</f>
        <v>986000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35.027027027027032</v>
      </c>
      <c r="C13" s="1822">
        <f>B13*Print_Summary!$I$2</f>
        <v>35027.027027027034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-85.14797297297298</v>
      </c>
    </row>
    <row r="14" spans="1:9" ht="13.9" x14ac:dyDescent="0.4">
      <c r="A14" s="1834" t="s">
        <v>224</v>
      </c>
      <c r="B14" s="1835">
        <f>SUM(Budget!F7:F13)</f>
        <v>159.34</v>
      </c>
      <c r="C14" s="1822">
        <f>B14*Print_Summary!$I$2</f>
        <v>159340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68.551200000000009</v>
      </c>
    </row>
    <row r="15" spans="1:9" ht="13.9" x14ac:dyDescent="0.4">
      <c r="A15" s="1834" t="s">
        <v>494</v>
      </c>
      <c r="B15" s="1835">
        <f>SUM(Budget!F14:F18)</f>
        <v>147.92837499999999</v>
      </c>
      <c r="C15" s="1822">
        <f>B15*Print_Summary!$I$2</f>
        <v>147928.375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-61.124124999999992</v>
      </c>
    </row>
    <row r="16" spans="1:9" ht="13.9" x14ac:dyDescent="0.4">
      <c r="A16" s="1834" t="s">
        <v>225</v>
      </c>
      <c r="B16" s="1835">
        <f>SUM(Budget!F20:F23)</f>
        <v>99</v>
      </c>
      <c r="C16" s="1822">
        <f>B16*Print_Summary!$I$2</f>
        <v>99000</v>
      </c>
      <c r="D16" s="1845"/>
      <c r="E16" s="1097">
        <f>(Budget!D20*Budget!E20)+(Budget!D21*Budget!E21)+(Budget!D22*Budget!E22)+(Budget!D23*Budget!E23)-B16</f>
        <v>3</v>
      </c>
      <c r="F16" s="1821">
        <f>E16*Print_Summary!$I$2</f>
        <v>3000</v>
      </c>
      <c r="G16" s="4"/>
      <c r="H16" s="1097">
        <v>14</v>
      </c>
      <c r="I16" s="1097">
        <f>B16+E16-H16</f>
        <v>88</v>
      </c>
    </row>
    <row r="17" spans="1:9" ht="13.9" x14ac:dyDescent="0.4">
      <c r="A17" s="1834" t="s">
        <v>462</v>
      </c>
      <c r="B17" s="1835">
        <f>Budget!F25+Budget!F27</f>
        <v>16.926300282774665</v>
      </c>
      <c r="C17" s="1822">
        <f>B17*Print_Summary!$I$2</f>
        <v>16926.300282774664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-11.140563466122355</v>
      </c>
    </row>
    <row r="18" spans="1:9" ht="13.9" x14ac:dyDescent="0.4">
      <c r="A18" s="1834" t="s">
        <v>227</v>
      </c>
      <c r="B18" s="1835">
        <f>Budget!F29</f>
        <v>87.167473533834581</v>
      </c>
      <c r="C18" s="1822">
        <f>B18*Print_Summary!$I$2</f>
        <v>87167.473533834578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52.017012661654128</v>
      </c>
    </row>
    <row r="19" spans="1:9" ht="13.9" x14ac:dyDescent="0.4">
      <c r="A19" s="1834" t="s">
        <v>780</v>
      </c>
      <c r="B19" s="1835">
        <f>Budget!F31+Budget!F32</f>
        <v>0.65</v>
      </c>
      <c r="C19" s="1822">
        <f>B19*Print_Summary!$I$2</f>
        <v>650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-2.8000000000000003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546.03917584363626</v>
      </c>
      <c r="C20" s="1827">
        <f>B20*Print_Summary!$I$2</f>
        <v>546039.17584363627</v>
      </c>
      <c r="D20" s="1845"/>
      <c r="E20" s="1099">
        <f>SUM(E13:E19)</f>
        <v>3</v>
      </c>
      <c r="F20" s="1827">
        <f>E20*Print_Summary!$I$2</f>
        <v>3000</v>
      </c>
      <c r="G20" s="4"/>
      <c r="H20" s="1099">
        <v>500.68362462107746</v>
      </c>
      <c r="I20" s="1099">
        <f t="shared" si="1"/>
        <v>48.355551222558802</v>
      </c>
    </row>
    <row r="21" spans="1:9" ht="13.9" x14ac:dyDescent="0.4">
      <c r="A21" s="1834" t="s">
        <v>778</v>
      </c>
      <c r="B21" s="1835">
        <f>Budget!F34+Budget!F35</f>
        <v>12.5</v>
      </c>
      <c r="C21" s="1822">
        <f>B21*Print_Summary!$I$2</f>
        <v>12500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-11.5</v>
      </c>
    </row>
    <row r="22" spans="1:9" ht="13.9" x14ac:dyDescent="0.4">
      <c r="A22" s="1834" t="s">
        <v>1</v>
      </c>
      <c r="B22" s="1835">
        <f>Budget!F36</f>
        <v>32</v>
      </c>
      <c r="C22" s="1822">
        <f>B22*Print_Summary!$I$2</f>
        <v>32000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32</v>
      </c>
    </row>
    <row r="23" spans="1:9" ht="15.4" x14ac:dyDescent="0.4">
      <c r="A23" s="1834" t="s">
        <v>750</v>
      </c>
      <c r="B23" s="1835">
        <f>Budget!F26+Budget!F28+Budget!F30</f>
        <v>39.274902791925427</v>
      </c>
      <c r="C23" s="1822">
        <f>B23*Print_Summary!$I$2</f>
        <v>39274.902791925429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6.250658987871951</v>
      </c>
    </row>
    <row r="24" spans="1:9" ht="15" customHeight="1" x14ac:dyDescent="0.4">
      <c r="A24" s="1834" t="s">
        <v>214</v>
      </c>
      <c r="B24" s="1835">
        <f>Budget!F33</f>
        <v>64.572611774604994</v>
      </c>
      <c r="C24" s="1822">
        <f>B24*Print_Summary!$I$2</f>
        <v>64572.611774604993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41.244765950126009</v>
      </c>
    </row>
    <row r="25" spans="1:9" ht="15" customHeight="1" x14ac:dyDescent="0.4">
      <c r="A25" s="1825" t="s">
        <v>640</v>
      </c>
      <c r="B25" s="1836">
        <f>SUM(Budget!F6:F18)+SUM(Budget!F20:F23)+SUM(Budget!F25:F36)</f>
        <v>694.38669041016669</v>
      </c>
      <c r="C25" s="1829">
        <f>B25*Print_Summary!$I$2</f>
        <v>694386.69041016675</v>
      </c>
      <c r="D25" s="1849"/>
      <c r="E25" s="1099">
        <f>SUM(E13:E19)+SUM(E23:E24)</f>
        <v>3</v>
      </c>
      <c r="F25" s="1827">
        <f>E25*Print_Summary!$I$2</f>
        <v>3000</v>
      </c>
      <c r="G25" s="4"/>
      <c r="H25" s="1099">
        <v>581.0357142496099</v>
      </c>
      <c r="I25" s="1099">
        <f t="shared" si="1"/>
        <v>116.3509761605568</v>
      </c>
    </row>
    <row r="26" spans="1:9" ht="13.9" x14ac:dyDescent="0.4">
      <c r="A26" s="1834" t="s">
        <v>28</v>
      </c>
      <c r="B26" s="1835">
        <f>Budget!F37</f>
        <v>28.643450979419374</v>
      </c>
      <c r="C26" s="1822">
        <f>B26*Print_Summary!$I$2</f>
        <v>28643.450979419373</v>
      </c>
      <c r="D26" s="1845"/>
      <c r="E26" s="1097">
        <f>((Budget!D37/100)*Program_Variables!D34)*(E20+E25)</f>
        <v>0.2475</v>
      </c>
      <c r="F26" s="1821">
        <f>E26*Print_Summary!$I$2</f>
        <v>247.5</v>
      </c>
      <c r="G26" s="4"/>
      <c r="H26" s="1097">
        <v>13.799598213428238</v>
      </c>
      <c r="I26" s="1097">
        <f t="shared" si="1"/>
        <v>15.091352765991134</v>
      </c>
    </row>
    <row r="27" spans="1:9" ht="13.9" x14ac:dyDescent="0.4">
      <c r="A27" s="1834" t="s">
        <v>228</v>
      </c>
      <c r="B27" s="1835">
        <f>SUM(Budget!F39:F43)</f>
        <v>112.795</v>
      </c>
      <c r="C27" s="1822">
        <f>B27*Print_Summary!$I$2</f>
        <v>112795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-31.984999999999999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835.82514138958607</v>
      </c>
      <c r="C29" s="1829">
        <f>B29*Print_Summary!$I$2</f>
        <v>835825.14138958603</v>
      </c>
      <c r="D29" s="1849"/>
      <c r="E29" s="1099">
        <f>SUM(E13:E19)+SUM(E21:E24)+SUM(E26:E28)-IF(A2_Budget_Look_Up!B7=1,E10,0)</f>
        <v>3.2475000000000001</v>
      </c>
      <c r="F29" s="1827">
        <f>E29*Print_Summary!$I$2</f>
        <v>3247.5</v>
      </c>
      <c r="G29" s="4"/>
      <c r="H29" s="1099">
        <v>594.83531246303824</v>
      </c>
      <c r="I29" s="1099">
        <f t="shared" si="1"/>
        <v>244.23732892654778</v>
      </c>
    </row>
    <row r="30" spans="1:9" ht="13.9" x14ac:dyDescent="0.4">
      <c r="A30" s="1825" t="s">
        <v>233</v>
      </c>
      <c r="B30" s="1826">
        <f>B9-B29-B31</f>
        <v>150.17485861041393</v>
      </c>
      <c r="C30" s="1829">
        <f>B30*Print_Summary!$I$2</f>
        <v>150174.85861041394</v>
      </c>
      <c r="D30" s="1849"/>
      <c r="E30" s="173">
        <f>E9+E31-E29</f>
        <v>-3.2475000000000001</v>
      </c>
      <c r="F30" s="1827">
        <f>E30*Print_Summary!$I$2</f>
        <v>-3247.5</v>
      </c>
      <c r="G30" s="4"/>
      <c r="H30" s="173">
        <v>185.16468753696176</v>
      </c>
      <c r="I30" s="173">
        <f t="shared" si="1"/>
        <v>-38.237328926547832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222.41143724853291</v>
      </c>
      <c r="C32" s="1822">
        <f>B32*Print_Summary!$I$2</f>
        <v>222411.43724853289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43.816447310408876</v>
      </c>
    </row>
    <row r="33" spans="1:9" ht="13.9" x14ac:dyDescent="0.4">
      <c r="A33" s="1825" t="s">
        <v>650</v>
      </c>
      <c r="B33" s="1836">
        <f>B29+B32</f>
        <v>1058.236578638119</v>
      </c>
      <c r="C33" s="1829">
        <f>B33*Print_Summary!$I$2</f>
        <v>1058236.5786381189</v>
      </c>
      <c r="D33" s="1849"/>
      <c r="E33" s="1099">
        <f>E29+E32</f>
        <v>3.2475000000000001</v>
      </c>
      <c r="F33" s="1827">
        <f>E33*Print_Summary!$I$2</f>
        <v>3247.5</v>
      </c>
      <c r="G33" s="4"/>
      <c r="H33" s="1099">
        <v>773.43030240116229</v>
      </c>
      <c r="I33" s="1099">
        <f t="shared" si="1"/>
        <v>288.05377623695665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-72.236578638118999</v>
      </c>
      <c r="C34" s="1829">
        <f>B34*Print_Summary!$I$2</f>
        <v>-72236.578638118997</v>
      </c>
      <c r="D34" s="1849"/>
      <c r="E34" s="173">
        <f>E9+E31-E33</f>
        <v>-3.2475000000000001</v>
      </c>
      <c r="F34" s="1827">
        <f>E34*Print_Summary!$I$2</f>
        <v>-3247.5</v>
      </c>
      <c r="G34" s="4"/>
      <c r="H34" s="173">
        <v>6.5696975988377062</v>
      </c>
      <c r="I34" s="173">
        <f t="shared" si="1"/>
        <v>-82.053776236956708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4.9166184787622713</v>
      </c>
      <c r="C36" s="1097">
        <f>C29/C6</f>
        <v>4.9166184787622704</v>
      </c>
      <c r="D36" s="1846"/>
      <c r="E36" s="1097">
        <f>MAX(E29,0)/E6</f>
        <v>1.910294117647059E-2</v>
      </c>
      <c r="F36" s="1823">
        <f>MAX(F29,0)/F6</f>
        <v>1.910294117647059E-2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6.2249210508124646</v>
      </c>
      <c r="C37" s="1839">
        <f>C33/C6</f>
        <v>6.2249210508124646</v>
      </c>
      <c r="D37" s="1846"/>
      <c r="E37" s="1839">
        <f>MAX(E33,0)/E6</f>
        <v>1.910294117647059E-2</v>
      </c>
      <c r="F37" s="1840">
        <f>MAX(F33,0)/F6</f>
        <v>1.910294117647059E-2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-1.6052573030693112E-2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10. 2026 Rice Enterprise Budget, Conventional Seed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170</v>
      </c>
      <c r="E3" s="1258">
        <f>A3_Production_Look_Up!B5</f>
        <v>5.8</v>
      </c>
      <c r="F3" s="9">
        <f>IF('C1_Messages_Indicators'!B3=1,(D3*E3*B3),"Error")</f>
        <v>986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72</v>
      </c>
      <c r="E6" s="10">
        <f>Seed_Chemical!D4</f>
        <v>0.48648648648648651</v>
      </c>
      <c r="F6" s="9">
        <f t="shared" ref="F6:F11" si="0">D6*E6*B6</f>
        <v>35.027027027027032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330</v>
      </c>
      <c r="E7" s="10">
        <f>Fertilizer!E3</f>
        <v>0.28083333333333332</v>
      </c>
      <c r="F7" s="9">
        <f t="shared" si="0"/>
        <v>92.674999999999997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87</v>
      </c>
      <c r="E8" s="10">
        <f>Fertilizer!E4</f>
        <v>0.40500000000000003</v>
      </c>
      <c r="F8" s="9">
        <f t="shared" si="0"/>
        <v>35.234999999999999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1.38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0.115</v>
      </c>
      <c r="E12" s="10">
        <f>Fertilizer!E8</f>
        <v>82</v>
      </c>
      <c r="F12" s="9">
        <f>D12*E12*B12</f>
        <v>9.43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127.5680625</v>
      </c>
      <c r="F14" s="9">
        <f t="shared" si="1"/>
        <v>127.5680625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9.0399999999999991</v>
      </c>
      <c r="F15" s="9">
        <f t="shared" si="1"/>
        <v>9.0399999999999991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11.3203125</v>
      </c>
      <c r="F16" s="9">
        <f t="shared" si="1"/>
        <v>11.3203125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2</v>
      </c>
      <c r="E20" s="2">
        <v>9.5</v>
      </c>
      <c r="F20" s="9">
        <f>D20*E20*B20</f>
        <v>19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5</v>
      </c>
      <c r="E21" s="2">
        <v>10</v>
      </c>
      <c r="F21" s="9">
        <f>D21*E21*B21</f>
        <v>50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330</v>
      </c>
      <c r="E22" s="2">
        <v>0.1</v>
      </c>
      <c r="F22" s="9">
        <f>ROUND(D22*E22*B22,-1)</f>
        <v>30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3.2851812996180412</v>
      </c>
      <c r="E25" s="18">
        <f>Irrigation!B14</f>
        <v>2.46</v>
      </c>
      <c r="F25" s="9">
        <f t="shared" ref="F25:F36" si="2">D25*E25*B25</f>
        <v>8.0815459970603811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7.4694245408143791</v>
      </c>
      <c r="F26" s="9">
        <f t="shared" si="2"/>
        <v>7.4694245408143791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3.5954285714285708</v>
      </c>
      <c r="E27" s="18">
        <f>Irrigation!B14</f>
        <v>2.46</v>
      </c>
      <c r="F27" s="9">
        <f t="shared" si="2"/>
        <v>8.8447542857142842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20.507040751111052</v>
      </c>
      <c r="F28" s="9">
        <f t="shared" si="2"/>
        <v>20.507040751111052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30</v>
      </c>
      <c r="E29" s="10">
        <f>'C2_Irrigation_Calculations'!I26*'C1_Messages_Indicators'!B34</f>
        <v>2.9055824511278194</v>
      </c>
      <c r="F29" s="9">
        <f t="shared" si="2"/>
        <v>87.167473533834581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30</v>
      </c>
      <c r="E30" s="10">
        <f>IF(D29&gt;0,('C2_Irrigation_Calculations'!I33/D29),0)</f>
        <v>0.37661458333333331</v>
      </c>
      <c r="F30" s="9">
        <f>D30*E30</f>
        <v>11.298437499999999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Levee Gates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0.65</v>
      </c>
      <c r="F32" s="9">
        <f t="shared" si="2"/>
        <v>0.65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4.354188251827714</v>
      </c>
      <c r="E33" s="316">
        <v>14.83</v>
      </c>
      <c r="F33" s="9">
        <f t="shared" si="2"/>
        <v>64.572611774604994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8</v>
      </c>
      <c r="F34" s="9">
        <f t="shared" si="2"/>
        <v>8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4.5</v>
      </c>
      <c r="F35" s="9">
        <f t="shared" si="2"/>
        <v>4.5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32</v>
      </c>
      <c r="F36" s="9">
        <f t="shared" si="2"/>
        <v>32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694.38669041016658</v>
      </c>
      <c r="F37" s="9">
        <f>((D37/100)*Program_Variables!D34)*SUM(F6:F36)*B37</f>
        <v>28.643450979419374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170</v>
      </c>
      <c r="E40" s="2">
        <f>A3_Production_Look_Up!B37</f>
        <v>0.4</v>
      </c>
      <c r="F40" s="9">
        <f>D40*E40*B40</f>
        <v>68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170</v>
      </c>
      <c r="E41" s="2">
        <f>A3_Production_Look_Up!B38</f>
        <v>0.25</v>
      </c>
      <c r="F41" s="9">
        <f>D41*E41*B41</f>
        <v>42.5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170</v>
      </c>
      <c r="E42" s="1963">
        <f>A3_Production_Look_Up!B39</f>
        <v>1.35E-2</v>
      </c>
      <c r="F42" s="9">
        <f>D42*E42*B42</f>
        <v>2.2949999999999999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835.82514138958595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150.17485861041405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135.43362590513254</v>
      </c>
      <c r="F48" s="9">
        <f>D48*E48</f>
        <v>135.43362590513254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80.206130048143748</v>
      </c>
      <c r="F49" s="9">
        <f>D49*E49</f>
        <v>80.206130048143748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6.7716812952566272</v>
      </c>
      <c r="F50" s="9">
        <f>D50*E50</f>
        <v>6.7716812952566272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222.41143724853291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1058.2365786381188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-72.236578638118772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330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87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330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1.38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0.115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151.80000000000001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0.48648648648648651</v>
      </c>
      <c r="E4" s="1586">
        <f>A3_Production_Look_Up!B45</f>
        <v>72</v>
      </c>
      <c r="F4" s="1587">
        <f>D4*E4</f>
        <v>35.027027027027032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35.027027027027032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0.140625</v>
      </c>
      <c r="E12" s="1586">
        <f>IF(A5_Chem_Look_Up!$F6&gt;0,A5_Chem_Look_Up!E6,0)</f>
        <v>32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Command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0.67414062499999994</v>
      </c>
      <c r="E13" s="1586">
        <f>IF(A5_Chem_Look_Up!$F7&gt;0,A5_Chem_Look_Up!E7,0)</f>
        <v>12.8</v>
      </c>
      <c r="F13" s="1587">
        <f t="shared" ref="F13:F25" si="0">D13*E13</f>
        <v>8.6289999999999996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Roundup Powermax 3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0.140625</v>
      </c>
      <c r="E14" s="1586">
        <f>IF(A5_Chem_Look_Up!$F8&gt;0,A5_Chem_Look_Up!E8,0)</f>
        <v>32</v>
      </c>
      <c r="F14" s="1587">
        <f t="shared" si="0"/>
        <v>4.5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Sharpen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6.7</v>
      </c>
      <c r="E15" s="1586">
        <f>IF(A5_Chem_Look_Up!$F9&gt;0,A5_Chem_Look_Up!E9,0)</f>
        <v>3</v>
      </c>
      <c r="F15" s="1587">
        <f t="shared" si="0"/>
        <v>20.100000000000001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Facet L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0.6640625</v>
      </c>
      <c r="E16" s="1586">
        <f>IF(A5_Chem_Look_Up!$F10&gt;0,A5_Chem_Look_Up!E10,0)</f>
        <v>25</v>
      </c>
      <c r="F16" s="1587">
        <f t="shared" si="0"/>
        <v>16.6015625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Ricestar HT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1.47484375</v>
      </c>
      <c r="E17" s="1586">
        <f>IF(A5_Chem_Look_Up!$F11&gt;0,A5_Chem_Look_Up!E11,0)</f>
        <v>24</v>
      </c>
      <c r="F17" s="1587">
        <f t="shared" si="0"/>
        <v>35.396250000000002</v>
      </c>
      <c r="G17" s="20"/>
    </row>
    <row r="18" spans="1:10" ht="12.95" customHeight="1" x14ac:dyDescent="0.35">
      <c r="A18" s="1601" t="str">
        <f>IF(A5_Chem_Look_Up!$F12&gt;0,A5_Chem_Look_Up!A12," ")</f>
        <v>Gambit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14.5</v>
      </c>
      <c r="E18" s="1586">
        <f>IF(A5_Chem_Look_Up!$F12&gt;0,A5_Chem_Look_Up!E12,0)</f>
        <v>1.5</v>
      </c>
      <c r="F18" s="1587">
        <f t="shared" si="0"/>
        <v>21.75</v>
      </c>
      <c r="G18" s="20"/>
      <c r="H18" s="989"/>
    </row>
    <row r="19" spans="1:10" ht="12.95" customHeight="1" x14ac:dyDescent="0.35">
      <c r="A19" s="1601" t="str">
        <f>IF(A5_Chem_Look_Up!$F13&gt;0,A5_Chem_Look_Up!A13," ")</f>
        <v>Basagran</v>
      </c>
      <c r="B19" s="1602" t="str">
        <f>IF(A5_Chem_Look_Up!$F13&gt;0,A5_Chem_Look_Up!B13," ")</f>
        <v/>
      </c>
      <c r="C19" s="1603" t="str">
        <f>IF(A5_Chem_Look_Up!$F13&gt;0,A5_Chem_Look_Up!C13," ")</f>
        <v>oz</v>
      </c>
      <c r="D19" s="1601">
        <f>IF(A5_Chem_Look_Up!$F13&gt;0,A5_Chem_Look_Up!D13,0)</f>
        <v>0.67046874999999995</v>
      </c>
      <c r="E19" s="1586">
        <f>IF(A5_Chem_Look_Up!$F13&gt;0,A5_Chem_Look_Up!E13,0)</f>
        <v>24</v>
      </c>
      <c r="F19" s="1587">
        <f t="shared" si="0"/>
        <v>16.091249999999999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127.5680625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Tenchu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1.1299999999999999</v>
      </c>
      <c r="E30" s="1586">
        <f>IF(A5_Chem_Look_Up!$F24&gt;0,A5_Chem_Look_Up!E24,0)</f>
        <v>8</v>
      </c>
      <c r="F30" s="1587">
        <f t="shared" ref="F30:F39" si="1">D30*E30</f>
        <v>9.0399999999999991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9.0399999999999991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>Aframe Plus</v>
      </c>
      <c r="B44" s="1602" t="str">
        <f>IF(A5_Chem_Look_Up!$F38&gt;0,A5_Chem_Look_Up!B38," ")</f>
        <v/>
      </c>
      <c r="C44" s="1605" t="str">
        <f>IF(A5_Chem_Look_Up!$F38&gt;0,A5_Chem_Look_Up!C38," ")</f>
        <v>oz</v>
      </c>
      <c r="D44" s="1601">
        <f>IF(A5_Chem_Look_Up!$F38&gt;0,A5_Chem_Look_Up!D38,0)</f>
        <v>0.5390625</v>
      </c>
      <c r="E44" s="1586">
        <f>IF(A5_Chem_Look_Up!$F38&gt;0,A5_Chem_Look_Up!E38,0)</f>
        <v>21</v>
      </c>
      <c r="F44" s="1587">
        <f>D44*E44</f>
        <v>11.3203125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11.3203125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1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36.829980786810793</v>
      </c>
      <c r="L6" s="1517">
        <f>IF(AND(Budget!$B$3=1,Budget!$E$44=0),1,0)</f>
        <v>1</v>
      </c>
      <c r="M6" s="560">
        <v>1</v>
      </c>
      <c r="N6" s="869">
        <f>'C2_Irrigation_Calculations'!K6*Budget!D$30</f>
        <v>5.9375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33.253595810407326</v>
      </c>
      <c r="L7" s="1517">
        <v>1</v>
      </c>
      <c r="M7" s="560">
        <v>1</v>
      </c>
      <c r="N7" s="869">
        <f>'C2_Irrigation_Calculations'!K7*Budget!D$30</f>
        <v>5.3609375000000004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79.670036298143742</v>
      </c>
      <c r="L10" s="1384"/>
      <c r="M10" s="1329" t="s">
        <v>766</v>
      </c>
      <c r="N10" s="870">
        <f>SUM(N4:N9)</f>
        <v>11.2984375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160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12832.980807702999</v>
      </c>
      <c r="F38" s="926">
        <f>(SUM(Trips!B30:B31)+SUM(Trips!B33:B37))*IF(B2=2,I15,I14)</f>
        <v>831.67103510938455</v>
      </c>
      <c r="G38" s="927">
        <f t="shared" ref="G38:G43" si="0">SUM(E38:F38)</f>
        <v>13664.651842812384</v>
      </c>
    </row>
    <row r="39" spans="4:7" ht="13.9" x14ac:dyDescent="0.4">
      <c r="D39" s="863" t="s">
        <v>243</v>
      </c>
      <c r="E39" s="926">
        <f>Trips!C76*IF(B2=2,I15,I14)</f>
        <v>1807.7499999999998</v>
      </c>
      <c r="F39" s="926">
        <f>(SUM(Trips!C30:C31)+SUM(Trips!C33:C37))*IF(B2=2,I15,I14)</f>
        <v>89.385022304003172</v>
      </c>
      <c r="G39" s="927">
        <f t="shared" si="0"/>
        <v>1897.1350223040029</v>
      </c>
    </row>
    <row r="40" spans="4:7" ht="13.9" x14ac:dyDescent="0.4">
      <c r="D40" s="863" t="s">
        <v>615</v>
      </c>
      <c r="E40" s="926">
        <f>Trips!D76*IF(B2=2,I15,I14)</f>
        <v>13946.795765413533</v>
      </c>
      <c r="F40" s="926">
        <f>(SUM(Trips!D30:D31)+SUM(Trips!D33:D37))*IF(B2=2,I15,I14)</f>
        <v>287.51934450676532</v>
      </c>
      <c r="G40" s="927">
        <f t="shared" si="0"/>
        <v>14234.315109920299</v>
      </c>
    </row>
    <row r="41" spans="4:7" ht="13.9" x14ac:dyDescent="0.4">
      <c r="D41" s="863" t="s">
        <v>55</v>
      </c>
      <c r="E41" s="926">
        <f>Trips!E76*IF(B2=2,I15,I14)</f>
        <v>149.4864</v>
      </c>
      <c r="F41" s="926">
        <f>(SUM(Trips!E30:E31)+SUM(Trips!E33:E37))*IF(B2=2,I15,I14)</f>
        <v>327.75080223183625</v>
      </c>
      <c r="G41" s="927">
        <f t="shared" si="0"/>
        <v>477.23720223183625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41.58355175546923</v>
      </c>
      <c r="G43" s="927">
        <f t="shared" si="0"/>
        <v>41.58355175546923</v>
      </c>
    </row>
    <row r="44" spans="4:7" ht="13.9" thickBot="1" x14ac:dyDescent="0.4">
      <c r="D44" s="504" t="s">
        <v>22</v>
      </c>
      <c r="E44" s="928">
        <f>SUM(E38:E43)</f>
        <v>28737.012973116536</v>
      </c>
      <c r="F44" s="928">
        <f>SUM(F38:F43)</f>
        <v>1577.9097559074585</v>
      </c>
      <c r="G44" s="929">
        <f>SUM(G38:G43)</f>
        <v>30314.922729023991</v>
      </c>
    </row>
    <row r="45" spans="4:7" ht="13.9" x14ac:dyDescent="0.4">
      <c r="D45" s="922" t="s">
        <v>630</v>
      </c>
      <c r="E45" s="935">
        <f>IF(B2&lt;3,Budget!D29,0)</f>
        <v>30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80.206130048143748</v>
      </c>
      <c r="F48" s="82">
        <f t="shared" si="1"/>
        <v>5.1979439694336538</v>
      </c>
      <c r="G48" s="934">
        <f t="shared" si="1"/>
        <v>85.4040740175774</v>
      </c>
    </row>
    <row r="49" spans="4:7" ht="13.9" x14ac:dyDescent="0.4">
      <c r="D49" s="863" t="s">
        <v>243</v>
      </c>
      <c r="E49" s="82">
        <f t="shared" si="1"/>
        <v>11.298437499999999</v>
      </c>
      <c r="F49" s="82">
        <f t="shared" si="1"/>
        <v>0.55865638940001983</v>
      </c>
      <c r="G49" s="934">
        <f t="shared" si="1"/>
        <v>11.857093889400018</v>
      </c>
    </row>
    <row r="50" spans="4:7" ht="13.9" x14ac:dyDescent="0.4">
      <c r="D50" s="863" t="s">
        <v>615</v>
      </c>
      <c r="E50" s="82">
        <f t="shared" si="1"/>
        <v>87.167473533834581</v>
      </c>
      <c r="F50" s="82">
        <f t="shared" si="1"/>
        <v>1.7969959031672833</v>
      </c>
      <c r="G50" s="934">
        <f t="shared" si="1"/>
        <v>88.964469437001867</v>
      </c>
    </row>
    <row r="51" spans="4:7" ht="13.9" x14ac:dyDescent="0.4">
      <c r="D51" s="863" t="s">
        <v>55</v>
      </c>
      <c r="E51" s="82">
        <f t="shared" si="1"/>
        <v>0.93429000000000006</v>
      </c>
      <c r="F51" s="82">
        <f t="shared" si="1"/>
        <v>2.0484425139489764</v>
      </c>
      <c r="G51" s="934">
        <f t="shared" si="1"/>
        <v>2.9827325139489766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0.25989719847168269</v>
      </c>
      <c r="G53" s="934">
        <f t="shared" si="1"/>
        <v>0.25989719847168269</v>
      </c>
    </row>
    <row r="54" spans="4:7" ht="13.9" thickBot="1" x14ac:dyDescent="0.4">
      <c r="D54" s="504" t="s">
        <v>22</v>
      </c>
      <c r="E54" s="864">
        <f t="shared" si="1"/>
        <v>179.60633108197834</v>
      </c>
      <c r="F54" s="864">
        <f t="shared" si="1"/>
        <v>9.8619359744216162</v>
      </c>
      <c r="G54" s="870">
        <f t="shared" si="1"/>
        <v>189.46826705639995</v>
      </c>
    </row>
    <row r="55" spans="4:7" ht="13.9" x14ac:dyDescent="0.4">
      <c r="D55" s="922" t="s">
        <v>631</v>
      </c>
      <c r="E55" s="935">
        <f>E34</f>
        <v>160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427.76602692343329</v>
      </c>
      <c r="F58" s="82">
        <f>IF(Budget!$D$29&gt;0,F38/Budget!$D$29,)</f>
        <v>27.722367836979483</v>
      </c>
      <c r="G58" s="934">
        <f>IF(Budget!$D$29&gt;0,G38/Budget!$D$29,)</f>
        <v>455.4883947604128</v>
      </c>
    </row>
    <row r="59" spans="4:7" ht="13.9" x14ac:dyDescent="0.4">
      <c r="D59" s="863" t="s">
        <v>243</v>
      </c>
      <c r="E59" s="82">
        <f>IF(Budget!$D$29&gt;0,E39/Budget!$D$29,)</f>
        <v>60.258333333333326</v>
      </c>
      <c r="F59" s="82">
        <f>IF(Budget!$D$29&gt;0,F39/Budget!$D$29,)</f>
        <v>2.9795007434667724</v>
      </c>
      <c r="G59" s="934">
        <f>IF(Budget!$D$29&gt;0,G39/Budget!$D$29,)</f>
        <v>63.237834076800098</v>
      </c>
    </row>
    <row r="60" spans="4:7" ht="13.9" x14ac:dyDescent="0.4">
      <c r="D60" s="863" t="s">
        <v>615</v>
      </c>
      <c r="E60" s="82">
        <f>IF(Budget!$D$29&gt;0,E40/Budget!$D$29,)</f>
        <v>464.89319218045114</v>
      </c>
      <c r="F60" s="82">
        <f>IF(Budget!$D$29&gt;0,F40/Budget!$D$29,)</f>
        <v>9.5839781502255104</v>
      </c>
      <c r="G60" s="934">
        <f>IF(Budget!$D$29&gt;0,G40/Budget!$D$29,)</f>
        <v>474.47717033067664</v>
      </c>
    </row>
    <row r="61" spans="4:7" ht="13.9" x14ac:dyDescent="0.4">
      <c r="D61" s="863" t="s">
        <v>55</v>
      </c>
      <c r="E61" s="82">
        <f>IF(Budget!$D$29&gt;0,E41/Budget!$D$29,)</f>
        <v>4.9828799999999998</v>
      </c>
      <c r="F61" s="82">
        <f>IF(Budget!$D$29&gt;0,F41/Budget!$D$29,)</f>
        <v>10.925026741061208</v>
      </c>
      <c r="G61" s="934">
        <f>IF(Budget!$D$29&gt;0,G41/Budget!$D$29,)</f>
        <v>15.907906741061208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1.3861183918489743</v>
      </c>
      <c r="G63" s="934">
        <f>IF(Budget!$D$29&gt;0,G43/Budget!$D$29,)</f>
        <v>1.3861183918489743</v>
      </c>
    </row>
    <row r="64" spans="4:7" ht="13.9" thickBot="1" x14ac:dyDescent="0.4">
      <c r="D64" s="504" t="s">
        <v>22</v>
      </c>
      <c r="E64" s="864">
        <f>IF(Budget!$D$29&gt;0,E44/Budget!$D$29,)</f>
        <v>957.90043243721789</v>
      </c>
      <c r="F64" s="864">
        <f>IF(Budget!$D$29&gt;0,F44/Budget!$D$29,)</f>
        <v>52.596991863581948</v>
      </c>
      <c r="G64" s="870">
        <f>IF(Budget!$D$29&gt;0,G44/Budget!$D$29,)</f>
        <v>1010.4974243007997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0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1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1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1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1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0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1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3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1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3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2.5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1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2.5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0</v>
      </c>
      <c r="C10" s="48">
        <f>Z1_Equipment_Calculations!AC20+Z1_Equipment_Calculations!AF20</f>
        <v>0</v>
      </c>
      <c r="D10" s="48">
        <f>Z1_Equipment_Calculations!AJ20</f>
        <v>0</v>
      </c>
      <c r="E10" s="48">
        <f>Z1_Equipment_Calculations!AM20</f>
        <v>0</v>
      </c>
      <c r="F10" s="53">
        <f t="shared" si="0"/>
        <v>0</v>
      </c>
      <c r="G10" s="62" t="str">
        <f>IF(Machine!$B20&gt;0,B10/Machine!$B20," ")</f>
        <v xml:space="preserve"> </v>
      </c>
      <c r="H10" s="48" t="str">
        <f>IF(Machine!$B20&gt;0,C10/Machine!$B20," ")</f>
        <v xml:space="preserve"> </v>
      </c>
      <c r="I10" s="48" t="str">
        <f>IF(Machine!$B20&gt;0,D10/Machine!$B20," ")</f>
        <v xml:space="preserve"> </v>
      </c>
      <c r="J10" s="48" t="str">
        <f>IF(Machine!$B20&gt;0,E10/Machine!$B20," ")</f>
        <v xml:space="preserve"> </v>
      </c>
      <c r="K10" s="53" t="str">
        <f>IF(Machine!$B20&gt;0,F10/Machine!$B20," ")</f>
        <v xml:space="preserve"> 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0.2848391797680131</v>
      </c>
      <c r="C15" s="48">
        <f>Z1_Equipment_Calculations!AC25+Z1_Equipment_Calculations!AF25</f>
        <v>2.3048128981700555E-2</v>
      </c>
      <c r="D15" s="48">
        <f>Z1_Equipment_Calculations!AJ25</f>
        <v>7.8815609788038712E-2</v>
      </c>
      <c r="E15" s="48">
        <f>Z1_Equipment_Calculations!AM25</f>
        <v>6.4174264221459137E-2</v>
      </c>
      <c r="F15" s="53">
        <f t="shared" si="0"/>
        <v>0.45087718275921151</v>
      </c>
      <c r="G15" s="62">
        <f>IF(Machine!$B25&gt;0,B15/Machine!$B25," ")</f>
        <v>0.2848391797680131</v>
      </c>
      <c r="H15" s="48">
        <f>IF(Machine!$B25&gt;0,C15/Machine!$B25," ")</f>
        <v>2.3048128981700555E-2</v>
      </c>
      <c r="I15" s="48">
        <f>IF(Machine!$B25&gt;0,D15/Machine!$B25," ")</f>
        <v>7.8815609788038712E-2</v>
      </c>
      <c r="J15" s="48">
        <f>IF(Machine!$B25&gt;0,E15/Machine!$B25," ")</f>
        <v>6.4174264221459137E-2</v>
      </c>
      <c r="K15" s="53">
        <f>IF(Machine!$B25&gt;0,F15/Machine!$B25," ")</f>
        <v>0.45087718275921151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4.4752474296676494</v>
      </c>
      <c r="C17" s="48">
        <f>Z1_Equipment_Calculations!AC27+Z1_Equipment_Calculations!AF27</f>
        <v>0.48523465365719193</v>
      </c>
      <c r="D17" s="48">
        <f>Z1_Equipment_Calculations!AJ27</f>
        <v>0.81502142857142845</v>
      </c>
      <c r="E17" s="48">
        <f>Z1_Equipment_Calculations!AM27</f>
        <v>0.50492619047619047</v>
      </c>
      <c r="F17" s="53">
        <f>SUM(B17:E17)</f>
        <v>6.2804297023724605</v>
      </c>
      <c r="G17" s="62">
        <f>IF(Machine!$B27&gt;0,B17/Machine!$B27," ")</f>
        <v>4.4752474296676494</v>
      </c>
      <c r="H17" s="48">
        <f>IF(Machine!$B27&gt;0,C17/Machine!$B27," ")</f>
        <v>0.48523465365719193</v>
      </c>
      <c r="I17" s="48">
        <f>IF(Machine!$B27&gt;0,D17/Machine!$B27," ")</f>
        <v>0.81502142857142845</v>
      </c>
      <c r="J17" s="48">
        <f>IF(Machine!$B27&gt;0,E17/Machine!$B27," ")</f>
        <v>0.50492619047619047</v>
      </c>
      <c r="K17" s="53">
        <f>IF(Machine!$B27&gt;0,F17/Machine!$B27," ")</f>
        <v>6.2804297023724605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5.5774602530790922</v>
      </c>
      <c r="C18" s="48">
        <f>Z1_Equipment_Calculations!AC28+Z1_Equipment_Calculations!AF28</f>
        <v>0.98421540662822871</v>
      </c>
      <c r="D18" s="48">
        <f>Z1_Equipment_Calculations!AJ28</f>
        <v>0.82187034813925552</v>
      </c>
      <c r="E18" s="48">
        <f>Z1_Equipment_Calculations!AM28</f>
        <v>0.50916926770708282</v>
      </c>
      <c r="F18" s="53">
        <f t="shared" si="0"/>
        <v>7.8927152755536598</v>
      </c>
      <c r="G18" s="62">
        <f>IF(Machine!$B28&gt;0,B18/Machine!$B28," ")</f>
        <v>5.5774602530790922</v>
      </c>
      <c r="H18" s="48">
        <f>IF(Machine!$B28&gt;0,C18/Machine!$B28," ")</f>
        <v>0.98421540662822871</v>
      </c>
      <c r="I18" s="48">
        <f>IF(Machine!$B28&gt;0,D18/Machine!$B28," ")</f>
        <v>0.82187034813925552</v>
      </c>
      <c r="J18" s="48">
        <f>IF(Machine!$B28&gt;0,E18/Machine!$B28," ")</f>
        <v>0.50916926770708282</v>
      </c>
      <c r="K18" s="53">
        <f>IF(Machine!$B28&gt;0,F18/Machine!$B28," ")</f>
        <v>7.8927152755536598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5.3107606503887093</v>
      </c>
      <c r="C22" s="48">
        <f>Z1_Equipment_Calculations!AC32+Z1_Equipment_Calculations!AF32</f>
        <v>0.47808343853108243</v>
      </c>
      <c r="D22" s="48">
        <f>Z1_Equipment_Calculations!AJ32</f>
        <v>1.4177170771422756</v>
      </c>
      <c r="E22" s="48">
        <f>Z1_Equipment_Calculations!AM32</f>
        <v>1.0359568491756563</v>
      </c>
      <c r="F22" s="53">
        <f t="shared" si="1"/>
        <v>8.2425180152377227</v>
      </c>
      <c r="G22" s="62">
        <f>IF(Machine!$B32&gt;0,B22/Machine!$B32," ")</f>
        <v>5.3107606503887093</v>
      </c>
      <c r="H22" s="48">
        <f>IF(Machine!$B32&gt;0,C22/Machine!$B32," ")</f>
        <v>0.47808343853108243</v>
      </c>
      <c r="I22" s="48">
        <f>IF(Machine!$B32&gt;0,D22/Machine!$B32," ")</f>
        <v>1.4177170771422756</v>
      </c>
      <c r="J22" s="48">
        <f>IF(Machine!$B32&gt;0,E22/Machine!$B32," ")</f>
        <v>1.0359568491756563</v>
      </c>
      <c r="K22" s="53">
        <f>IF(Machine!$B32&gt;0,F22/Machine!$B32," ")</f>
        <v>8.2425180152377227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0</v>
      </c>
      <c r="C25" s="48">
        <f>Z1_Equipment_Calculations!AC35+Z1_Equipment_Calculations!AF35</f>
        <v>0</v>
      </c>
      <c r="D25" s="48">
        <f>Z1_Equipment_Calculations!AJ35</f>
        <v>0</v>
      </c>
      <c r="E25" s="48">
        <f>Z1_Equipment_Calculations!AM35</f>
        <v>0</v>
      </c>
      <c r="F25" s="53">
        <f t="shared" si="1"/>
        <v>0</v>
      </c>
      <c r="G25" s="62" t="str">
        <f>IF(Machine!$B35&gt;0,B25/Machine!$B35," ")</f>
        <v xml:space="preserve"> </v>
      </c>
      <c r="H25" s="48" t="str">
        <f>IF(Machine!$B35&gt;0,C25/Machine!$B35," ")</f>
        <v xml:space="preserve"> </v>
      </c>
      <c r="I25" s="48" t="str">
        <f>IF(Machine!$B35&gt;0,D25/Machine!$B35," ")</f>
        <v xml:space="preserve"> </v>
      </c>
      <c r="J25" s="48" t="str">
        <f>IF(Machine!$B35&gt;0,E25/Machine!$B35," ")</f>
        <v xml:space="preserve"> </v>
      </c>
      <c r="K25" s="53" t="str">
        <f>IF(Machine!$B35&gt;0,F25/Machine!$B35," ")</f>
        <v xml:space="preserve"> 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13.965842305470707</v>
      </c>
      <c r="C27" s="48">
        <f>Z1_Equipment_Calculations!AC37+Z1_Equipment_Calculations!AF37</f>
        <v>3.6733904333868472</v>
      </c>
      <c r="D27" s="48">
        <f>Z1_Equipment_Calculations!AJ37</f>
        <v>1.7782285714285715</v>
      </c>
      <c r="E27" s="48">
        <f>Z1_Equipment_Calculations!AM37</f>
        <v>1.1758071428571433</v>
      </c>
      <c r="F27" s="53">
        <f t="shared" si="1"/>
        <v>20.593268453143267</v>
      </c>
      <c r="G27" s="62">
        <f>IF(Machine!$B37&gt;0,B27/Machine!$B37," ")</f>
        <v>13.965842305470707</v>
      </c>
      <c r="H27" s="48">
        <f>IF(Machine!$B37&gt;0,C27/Machine!$B37," ")</f>
        <v>3.6733904333868472</v>
      </c>
      <c r="I27" s="48">
        <f>IF(Machine!$B37&gt;0,D27/Machine!$B37," ")</f>
        <v>1.7782285714285715</v>
      </c>
      <c r="J27" s="48">
        <f>IF(Machine!$B37&gt;0,E27/Machine!$B37," ")</f>
        <v>1.1758071428571433</v>
      </c>
      <c r="K27" s="53">
        <f>IF(Machine!$B37&gt;0,F27/Machine!$B37," ")</f>
        <v>20.593268453143267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2.1552531292519945</v>
      </c>
      <c r="C33" s="48">
        <f>Z1_Equipment_Calculations!AC43+Z1_Equipment_Calculations!AF43</f>
        <v>0.23788255187183938</v>
      </c>
      <c r="D33" s="48">
        <f>Z1_Equipment_Calculations!AJ43</f>
        <v>0.71879836126691332</v>
      </c>
      <c r="E33" s="48">
        <f>Z1_Equipment_Calculations!AM43</f>
        <v>0.58526928969970748</v>
      </c>
      <c r="F33" s="53">
        <f t="shared" si="1"/>
        <v>3.6972033320904547</v>
      </c>
      <c r="G33" s="62">
        <f>IF(Machine!$B43&gt;0,B33/Machine!$B43," ")</f>
        <v>0.71841770975066488</v>
      </c>
      <c r="H33" s="48">
        <f>IF(Machine!$B43&gt;0,C33/Machine!$B43," ")</f>
        <v>7.9294183957279787E-2</v>
      </c>
      <c r="I33" s="48">
        <f>IF(Machine!$B43&gt;0,D33/Machine!$B43," ")</f>
        <v>0.23959945375563776</v>
      </c>
      <c r="J33" s="48">
        <f>IF(Machine!$B43&gt;0,E33/Machine!$B43," ")</f>
        <v>0.19508976323323582</v>
      </c>
      <c r="K33" s="53">
        <f>IF(Machine!$B43&gt;0,F33/Machine!$B43," ")</f>
        <v>1.2324011106968182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0.91913585321238644</v>
      </c>
      <c r="C36" s="48">
        <f>Z1_Equipment_Calculations!AC46+Z1_Equipment_Calculations!AF46</f>
        <v>8.7653087866037427E-2</v>
      </c>
      <c r="D36" s="48">
        <f>Z1_Equipment_Calculations!AJ46</f>
        <v>0.35939918063345666</v>
      </c>
      <c r="E36" s="48">
        <f>Z1_Equipment_Calculations!AM46</f>
        <v>0.87790393454956128</v>
      </c>
      <c r="F36" s="53">
        <f t="shared" si="1"/>
        <v>2.2440920562614419</v>
      </c>
      <c r="G36" s="62">
        <f>IF(Machine!$B46&gt;0,B36/Machine!$B46," ")</f>
        <v>0.91913585321238644</v>
      </c>
      <c r="H36" s="48">
        <f>IF(Machine!$B46&gt;0,C36/Machine!$B46," ")</f>
        <v>8.7653087866037427E-2</v>
      </c>
      <c r="I36" s="48">
        <f>IF(Machine!$B46&gt;0,D36/Machine!$B46," ")</f>
        <v>0.35939918063345666</v>
      </c>
      <c r="J36" s="48">
        <f>IF(Machine!$B46&gt;0,E36/Machine!$B46," ")</f>
        <v>0.87790393454956128</v>
      </c>
      <c r="K36" s="53">
        <f>IF(Machine!$B46&gt;0,F36/Machine!$B46," ")</f>
        <v>2.2440920562614419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2.1235549869692725</v>
      </c>
      <c r="C37" s="48">
        <f>Z1_Equipment_Calculations!AC47+Z1_Equipment_Calculations!AF47</f>
        <v>0.23312074966214308</v>
      </c>
      <c r="D37" s="48">
        <f>Z1_Equipment_Calculations!AJ47</f>
        <v>0.71879836126691332</v>
      </c>
      <c r="E37" s="48">
        <f>Z1_Equipment_Calculations!AM47</f>
        <v>0.58526928969970748</v>
      </c>
      <c r="F37" s="53">
        <f t="shared" si="1"/>
        <v>3.6607433875980364</v>
      </c>
      <c r="G37" s="62">
        <f>IF(Machine!$B47&gt;0,B37/Machine!$B47," ")</f>
        <v>0.70785166232309082</v>
      </c>
      <c r="H37" s="48">
        <f>IF(Machine!$B47&gt;0,C37/Machine!$B47," ")</f>
        <v>7.7706916554047697E-2</v>
      </c>
      <c r="I37" s="48">
        <f>IF(Machine!$B47&gt;0,D37/Machine!$B47," ")</f>
        <v>0.23959945375563776</v>
      </c>
      <c r="J37" s="48">
        <f>IF(Machine!$B47&gt;0,E37/Machine!$B47," ")</f>
        <v>0.19508976323323582</v>
      </c>
      <c r="K37" s="53">
        <f>IF(Machine!$B47&gt;0,F37/Machine!$B47," ")</f>
        <v>1.2202477958660121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44.02322520396082</v>
      </c>
      <c r="C45" s="77">
        <f>SUM(C4:C44)</f>
        <v>7.46942454081438</v>
      </c>
      <c r="D45" s="77">
        <f>SUM(D4:D44)</f>
        <v>8.0815459970603811</v>
      </c>
      <c r="E45" s="77">
        <f>SUM(E4:E44)</f>
        <v>6.1890203460335655</v>
      </c>
      <c r="F45" s="77">
        <f>SUM(F4:F44)</f>
        <v>65.763216087869139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68.050782359882163</v>
      </c>
      <c r="C59" s="75">
        <f>Z1_Equipment_Calculations!AC69+Z1_Equipment_Calculations!AF69</f>
        <v>12.721140077962811</v>
      </c>
      <c r="D59" s="75">
        <f>Z1_Equipment_Calculations!AJ69</f>
        <v>5.5279714285714281</v>
      </c>
      <c r="E59" s="75">
        <f>Z1_Equipment_Calculations!AM69</f>
        <v>2.5867757142857144</v>
      </c>
      <c r="F59" s="75">
        <f t="shared" si="2"/>
        <v>88.886669580702119</v>
      </c>
      <c r="G59" s="74">
        <f>IF(Machine!$B69&gt;0,B59/Machine!$B69," ")</f>
        <v>68.050782359882163</v>
      </c>
      <c r="H59" s="75">
        <f>IF(Machine!$B69&gt;0,C59/Machine!$B69," ")</f>
        <v>12.721140077962811</v>
      </c>
      <c r="I59" s="75">
        <f>IF(Machine!$B69&gt;0,D59/Machine!$B69," ")</f>
        <v>5.5279714285714281</v>
      </c>
      <c r="J59" s="75">
        <f>IF(Machine!$B69&gt;0,E59/Machine!$B69," ")</f>
        <v>2.5867757142857144</v>
      </c>
      <c r="K59" s="76">
        <f>IF(Machine!$B69&gt;0,F59/Machine!$B69," ")</f>
        <v>88.886669580702119</v>
      </c>
      <c r="L59" s="638">
        <f>Z1_Equipment_Calculations!N69</f>
        <v>6.3636363636363633</v>
      </c>
      <c r="M59" s="639">
        <f>Z1_Equipment_Calculations!O69</f>
        <v>0.15714285714285714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7.2378775283988324</v>
      </c>
      <c r="C62" s="48">
        <f>Z1_Equipment_Calculations!AC72+Z1_Equipment_Calculations!AF72</f>
        <v>4.6256530109018721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11.863530539300704</v>
      </c>
      <c r="G62" s="62">
        <f>IF(Machine!$B72&gt;0,B62/Machine!$B72," ")</f>
        <v>7.2378775283988324</v>
      </c>
      <c r="H62" s="48">
        <f>IF(Machine!$B72&gt;0,C62/Machine!$B72," ")</f>
        <v>4.6256530109018721</v>
      </c>
      <c r="I62" s="48">
        <f>IF(Machine!$B72&gt;0,D62/Machine!$B72," ")</f>
        <v>0</v>
      </c>
      <c r="J62" s="48">
        <f>IF(Machine!$B72&gt;0,E62/Machine!$B72," ")</f>
        <v>0</v>
      </c>
      <c r="K62" s="53">
        <f>IF(Machine!$B72&gt;0,F62/Machine!$B72," ")</f>
        <v>11.863530539300704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16.121740812890732</v>
      </c>
      <c r="C64" s="72">
        <f>Z1_Equipment_Calculations!AC74+Z1_Equipment_Calculations!AF74</f>
        <v>3.1602476622463698</v>
      </c>
      <c r="D64" s="72">
        <f>Z1_Equipment_Calculations!AJ74</f>
        <v>3.316782857142857</v>
      </c>
      <c r="E64" s="72">
        <f>Z1_Equipment_Calculations!AM74</f>
        <v>2.5867757142857144</v>
      </c>
      <c r="F64" s="72">
        <f t="shared" si="2"/>
        <v>25.185547046565674</v>
      </c>
      <c r="G64" s="71">
        <f>IF(Machine!$B74&gt;0,B64/Machine!$B74," ")</f>
        <v>16.121740812890732</v>
      </c>
      <c r="H64" s="72">
        <f>IF(Machine!$B74&gt;0,C64/Machine!$B74," ")</f>
        <v>3.1602476622463698</v>
      </c>
      <c r="I64" s="72">
        <f>IF(Machine!$B74&gt;0,D64/Machine!$B74," ")</f>
        <v>3.316782857142857</v>
      </c>
      <c r="J64" s="72">
        <f>IF(Machine!$B74&gt;0,E64/Machine!$B74," ")</f>
        <v>2.5867757142857144</v>
      </c>
      <c r="K64" s="73">
        <f>IF(Machine!$B74&gt;0,F64/Machine!$B74," ")</f>
        <v>25.185547046565674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91.410400701171724</v>
      </c>
      <c r="C72" s="77">
        <f>SUM(C54:C71)</f>
        <v>20.507040751111052</v>
      </c>
      <c r="D72" s="77">
        <f>SUM(D54:D71)</f>
        <v>8.8447542857142842</v>
      </c>
      <c r="E72" s="77">
        <f>SUM(E54:E71)</f>
        <v>5.1735514285714288</v>
      </c>
      <c r="F72" s="77">
        <f>SUM(F54:F71)</f>
        <v>125.9357471665685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135.43362590513254</v>
      </c>
      <c r="C74" s="77">
        <f>C45+C51+C72</f>
        <v>27.976465291925432</v>
      </c>
      <c r="D74" s="77">
        <f>D45+D51+D72</f>
        <v>16.926300282774665</v>
      </c>
      <c r="E74" s="77">
        <f>E45+E51+E72</f>
        <v>11.362571774604994</v>
      </c>
      <c r="F74" s="77">
        <f>F45+F51+F72</f>
        <v>191.69896325443764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80.206130048143748</v>
      </c>
      <c r="C76" s="77">
        <f>Budget!F30</f>
        <v>11.298437499999999</v>
      </c>
      <c r="D76" s="77">
        <f>Budget!F29</f>
        <v>87.167473533834581</v>
      </c>
      <c r="E76" s="77">
        <f>'C2_Irrigation_Calculations'!M41*Budget!E33</f>
        <v>0.93429000000000006</v>
      </c>
      <c r="F76" s="77">
        <f>SUM(B76:E76)</f>
        <v>179.60633108197831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60.11029774083454</v>
      </c>
      <c r="D59" s="1288">
        <f>SUM(Z2_Machine_Custom_Calculations!W69:Y69)</f>
        <v>7.9404846190476199</v>
      </c>
      <c r="E59" s="1288">
        <f>Z2_Machine_Custom_Calculations!AC69+Z2_Machine_Custom_Calculations!AF69</f>
        <v>12.721140077962811</v>
      </c>
      <c r="F59" s="1288">
        <f>Z2_Machine_Custom_Calculations!AJ69</f>
        <v>5.5279714285714281</v>
      </c>
      <c r="G59" s="1288">
        <f>Z2_Machine_Custom_Calculations!AM69</f>
        <v>2.5867757142857144</v>
      </c>
      <c r="H59" s="1289">
        <f t="shared" si="10"/>
        <v>88.886669580702119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64.844288713116768</v>
      </c>
      <c r="T60" s="1292">
        <f t="shared" si="18"/>
        <v>8.5658380761904773</v>
      </c>
      <c r="U60" s="1292">
        <f t="shared" si="18"/>
        <v>16.146241925729846</v>
      </c>
      <c r="V60" s="1292">
        <f t="shared" si="18"/>
        <v>5.5279714285714281</v>
      </c>
      <c r="W60" s="1292">
        <f t="shared" si="18"/>
        <v>2.5867757142857144</v>
      </c>
      <c r="X60" s="1292">
        <f t="shared" si="18"/>
        <v>97.67111585789425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62.089572316874651</v>
      </c>
      <c r="T61" s="1292">
        <f t="shared" si="18"/>
        <v>8.2019439682539694</v>
      </c>
      <c r="U61" s="1292">
        <f t="shared" si="18"/>
        <v>14.15317006013345</v>
      </c>
      <c r="V61" s="1292">
        <f t="shared" si="18"/>
        <v>5.5279714285714281</v>
      </c>
      <c r="W61" s="1292">
        <f t="shared" si="18"/>
        <v>2.5867757142857144</v>
      </c>
      <c r="X61" s="1292">
        <f t="shared" si="18"/>
        <v>92.559433488119211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66.503625754947663</v>
      </c>
      <c r="T62" s="1292">
        <f t="shared" si="18"/>
        <v>8.7850341333333333</v>
      </c>
      <c r="U62" s="1292">
        <f t="shared" si="18"/>
        <v>17.346793088864683</v>
      </c>
      <c r="V62" s="1292">
        <f t="shared" si="18"/>
        <v>5.5279714285714281</v>
      </c>
      <c r="W62" s="1292">
        <f t="shared" si="18"/>
        <v>2.5867757142857144</v>
      </c>
      <c r="X62" s="1292">
        <f t="shared" si="18"/>
        <v>100.75020012000283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61.80100880236391</v>
      </c>
      <c r="T63" s="1292">
        <f t="shared" si="18"/>
        <v>8.163825139455783</v>
      </c>
      <c r="U63" s="1292">
        <f t="shared" si="18"/>
        <v>13.94439073787961</v>
      </c>
      <c r="V63" s="1292">
        <f t="shared" si="18"/>
        <v>5.5279714285714281</v>
      </c>
      <c r="W63" s="1292">
        <f t="shared" si="18"/>
        <v>2.5867757142857144</v>
      </c>
      <c r="X63" s="1292">
        <f t="shared" si="18"/>
        <v>92.023971822556447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14.032411289081207</v>
      </c>
      <c r="D64" s="1298">
        <f>SUM(Z2_Machine_Custom_Calculations!W74:Y74)</f>
        <v>2.089329523809524</v>
      </c>
      <c r="E64" s="1298">
        <f>Z2_Machine_Custom_Calculations!AC74+Z2_Machine_Custom_Calculations!AF74</f>
        <v>3.1602476622463698</v>
      </c>
      <c r="F64" s="1298">
        <f>Z2_Machine_Custom_Calculations!AJ74</f>
        <v>3.316782857142857</v>
      </c>
      <c r="G64" s="1298">
        <f>Z2_Machine_Custom_Calculations!AM74</f>
        <v>2.5867757142857144</v>
      </c>
      <c r="H64" s="1299">
        <f t="shared" si="10"/>
        <v>25.185547046565674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14.032411289081207</v>
      </c>
      <c r="T64" s="1292">
        <f t="shared" si="19"/>
        <v>2.089329523809524</v>
      </c>
      <c r="U64" s="1292">
        <f t="shared" si="19"/>
        <v>3.1602476622463698</v>
      </c>
      <c r="V64" s="1292">
        <f t="shared" si="19"/>
        <v>3.316782857142857</v>
      </c>
      <c r="W64" s="1292">
        <f t="shared" si="19"/>
        <v>2.5867757142857144</v>
      </c>
      <c r="X64" s="1292">
        <f t="shared" si="19"/>
        <v>25.185547046565674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1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>
        <f>IF(Q2&gt;0,A2_Budget_Look_Up!$C$4," ")</f>
        <v>14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170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170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5.8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5.8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330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330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87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87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100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0.115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0.115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3.5249999999999999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3.5249999999999999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2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2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5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5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330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330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30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30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Levee Gates</v>
      </c>
      <c r="B31" s="1024">
        <f>IF(B$2=1,SUM(BC31:CZ31),"Error")</f>
        <v>0.65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0.65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8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8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4.5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4.5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32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32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0.4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0.4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0.25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1.35E-2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17.7</v>
      </c>
      <c r="H39" s="1049">
        <f>(1+2.2)+(0.005*500*Budget!$E$3)</f>
        <v>17.7</v>
      </c>
      <c r="I39" s="1049">
        <f>(1+2.2)+(0.005*500*Budget!$E$3)</f>
        <v>17.7</v>
      </c>
      <c r="J39" s="1049">
        <f>(1+2.2)+(0.005*500*Budget!$E$3)</f>
        <v>17.7</v>
      </c>
      <c r="K39" s="1049">
        <f>(1+2.2)+(0.005*500*Budget!$E$3)</f>
        <v>17.7</v>
      </c>
      <c r="L39" s="1049">
        <f>(1+2.2)+(0.005*500*Budget!$E$3)</f>
        <v>17.7</v>
      </c>
      <c r="M39" s="1049">
        <f>(1+2.2)+(0.005*500*Budget!$E$3)</f>
        <v>17.7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2.8999999999999998E-2</v>
      </c>
      <c r="W39" s="1886">
        <f>(Budget!$E$3*(0.01/2))</f>
        <v>2.8999999999999998E-2</v>
      </c>
      <c r="X39" s="1886">
        <f>(Budget!$E$3*(0.01/2))</f>
        <v>2.8999999999999998E-2</v>
      </c>
      <c r="Y39" s="1886">
        <f>(Budget!$E$3*(0.01/2))</f>
        <v>2.8999999999999998E-2</v>
      </c>
      <c r="Z39" s="1886">
        <f>(Budget!$E$3*(0.01/2))</f>
        <v>2.8999999999999998E-2</v>
      </c>
      <c r="AA39" s="1886">
        <f>(Budget!$E$3*(0.01/2))</f>
        <v>2.8999999999999998E-2</v>
      </c>
      <c r="AB39" s="1886">
        <f>(Budget!$E$3*(0.01/2))</f>
        <v>2.8999999999999998E-2</v>
      </c>
      <c r="AC39" s="1886">
        <f>(Budget!$E$3*(0.01/2))</f>
        <v>2.8999999999999998E-2</v>
      </c>
      <c r="AD39" s="1886">
        <f>(Budget!$E$3*(0.01/2))</f>
        <v>2.8999999999999998E-2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2.8999999999999998E-2</v>
      </c>
      <c r="AM39" s="1886">
        <f>(Budget!$E$3*(0.01/2))</f>
        <v>2.8999999999999998E-2</v>
      </c>
      <c r="AN39" s="1886">
        <f>(Budget!$E$3*(0.01/2))</f>
        <v>2.8999999999999998E-2</v>
      </c>
      <c r="AO39" s="1049">
        <f>(1+2.2)+(0.005*500*Budget!$E$3)</f>
        <v>17.7</v>
      </c>
      <c r="AP39" s="1049">
        <f>(1+2.2)+(0.005*500*Budget!$E$3)</f>
        <v>17.7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1.35E-2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0.48648648648648651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0.48648648648648651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72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72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1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1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1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0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1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1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1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1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1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1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1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1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0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1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1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3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3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1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1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1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1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1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1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160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12832.980807702999</v>
      </c>
      <c r="C7" s="1224">
        <f>Irrigation!F38</f>
        <v>831.67103510938455</v>
      </c>
      <c r="D7" s="1225">
        <f>Irrigation!G38</f>
        <v>13664.651842812384</v>
      </c>
    </row>
    <row r="8" spans="1:4" ht="13.9" x14ac:dyDescent="0.4">
      <c r="A8" s="1222" t="str">
        <f>Irrigation!D39</f>
        <v>Repairs</v>
      </c>
      <c r="B8" s="1224">
        <f>Irrigation!E39</f>
        <v>1807.7499999999998</v>
      </c>
      <c r="C8" s="1224">
        <f>Irrigation!F39</f>
        <v>89.385022304003172</v>
      </c>
      <c r="D8" s="1225">
        <f>Irrigation!G39</f>
        <v>1897.1350223040029</v>
      </c>
    </row>
    <row r="9" spans="1:4" ht="13.9" x14ac:dyDescent="0.4">
      <c r="A9" s="1222" t="str">
        <f>Irrigation!D40</f>
        <v>Fuel, Energy</v>
      </c>
      <c r="B9" s="1224">
        <f>Irrigation!E40</f>
        <v>13946.795765413533</v>
      </c>
      <c r="C9" s="1224">
        <f>Irrigation!F40</f>
        <v>287.51934450676532</v>
      </c>
      <c r="D9" s="1225">
        <f>Irrigation!G40</f>
        <v>14234.315109920299</v>
      </c>
    </row>
    <row r="10" spans="1:4" ht="13.9" x14ac:dyDescent="0.4">
      <c r="A10" s="1222" t="str">
        <f>Irrigation!D41</f>
        <v>Labor</v>
      </c>
      <c r="B10" s="1224">
        <f>Irrigation!E41</f>
        <v>149.4864</v>
      </c>
      <c r="C10" s="1224">
        <f>Irrigation!F41</f>
        <v>327.75080223183625</v>
      </c>
      <c r="D10" s="1225">
        <f>Irrigation!G41</f>
        <v>477.23720223183625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41.58355175546923</v>
      </c>
      <c r="D12" s="1225">
        <f>Irrigation!G43</f>
        <v>41.58355175546923</v>
      </c>
    </row>
    <row r="13" spans="1:4" ht="13.9" thickBot="1" x14ac:dyDescent="0.4">
      <c r="A13" s="1226" t="str">
        <f>Irrigation!D44</f>
        <v>Total</v>
      </c>
      <c r="B13" s="1227">
        <f>Irrigation!E44</f>
        <v>28737.012973116536</v>
      </c>
      <c r="C13" s="1227">
        <f>Irrigation!F44</f>
        <v>1577.9097559074585</v>
      </c>
      <c r="D13" s="1228">
        <f>Irrigation!G44</f>
        <v>30314.922729023991</v>
      </c>
    </row>
    <row r="14" spans="1:4" ht="13.9" x14ac:dyDescent="0.4">
      <c r="A14" s="1219" t="str">
        <f>Irrigation!D45</f>
        <v>Irrigation Expenses per Acre</v>
      </c>
      <c r="B14" s="1229">
        <f>Irrigation!E45</f>
        <v>30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80.206130048143748</v>
      </c>
      <c r="C17" s="1230">
        <f>Irrigation!F48</f>
        <v>5.1979439694336538</v>
      </c>
      <c r="D17" s="1231">
        <f>Irrigation!G48</f>
        <v>85.4040740175774</v>
      </c>
    </row>
    <row r="18" spans="1:4" ht="13.9" x14ac:dyDescent="0.4">
      <c r="A18" s="1222" t="str">
        <f>Irrigation!D49</f>
        <v>Repairs</v>
      </c>
      <c r="B18" s="1230">
        <f>Irrigation!E49</f>
        <v>11.298437499999999</v>
      </c>
      <c r="C18" s="1230">
        <f>Irrigation!F49</f>
        <v>0.55865638940001983</v>
      </c>
      <c r="D18" s="1231">
        <f>Irrigation!G49</f>
        <v>11.857093889400018</v>
      </c>
    </row>
    <row r="19" spans="1:4" ht="13.9" x14ac:dyDescent="0.4">
      <c r="A19" s="1222" t="str">
        <f>Irrigation!D50</f>
        <v>Fuel, Energy</v>
      </c>
      <c r="B19" s="1230">
        <f>Irrigation!E50</f>
        <v>87.167473533834581</v>
      </c>
      <c r="C19" s="1230">
        <f>Irrigation!F50</f>
        <v>1.7969959031672833</v>
      </c>
      <c r="D19" s="1231">
        <f>Irrigation!G50</f>
        <v>88.964469437001867</v>
      </c>
    </row>
    <row r="20" spans="1:4" ht="13.9" x14ac:dyDescent="0.4">
      <c r="A20" s="1222" t="str">
        <f>Irrigation!D51</f>
        <v>Labor</v>
      </c>
      <c r="B20" s="1230">
        <f>Irrigation!E51</f>
        <v>0.93429000000000006</v>
      </c>
      <c r="C20" s="1230">
        <f>Irrigation!F51</f>
        <v>2.0484425139489764</v>
      </c>
      <c r="D20" s="1231">
        <f>Irrigation!G51</f>
        <v>2.9827325139489766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0.25989719847168269</v>
      </c>
      <c r="D22" s="1231">
        <f>Irrigation!G53</f>
        <v>0.25989719847168269</v>
      </c>
    </row>
    <row r="23" spans="1:4" ht="13.9" thickBot="1" x14ac:dyDescent="0.4">
      <c r="A23" s="1226" t="str">
        <f>Irrigation!D54</f>
        <v>Total</v>
      </c>
      <c r="B23" s="1232">
        <f>Irrigation!E54</f>
        <v>179.60633108197834</v>
      </c>
      <c r="C23" s="1232">
        <f>Irrigation!F54</f>
        <v>9.8619359744216162</v>
      </c>
      <c r="D23" s="1233">
        <f>Irrigation!G54</f>
        <v>189.46826705639995</v>
      </c>
    </row>
    <row r="24" spans="1:4" ht="13.9" x14ac:dyDescent="0.4">
      <c r="A24" s="1219" t="str">
        <f>Irrigation!D55</f>
        <v>Irrigation Expenses per Inch</v>
      </c>
      <c r="B24" s="1229">
        <f>Irrigation!E55</f>
        <v>160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427.76602692343329</v>
      </c>
      <c r="C27" s="1230">
        <f>Irrigation!F58</f>
        <v>27.722367836979483</v>
      </c>
      <c r="D27" s="1231">
        <f>Irrigation!G58</f>
        <v>455.4883947604128</v>
      </c>
    </row>
    <row r="28" spans="1:4" ht="13.9" x14ac:dyDescent="0.4">
      <c r="A28" s="1222" t="str">
        <f>Irrigation!D59</f>
        <v>Repairs</v>
      </c>
      <c r="B28" s="1230">
        <f>Irrigation!E59</f>
        <v>60.258333333333326</v>
      </c>
      <c r="C28" s="1230">
        <f>Irrigation!F59</f>
        <v>2.9795007434667724</v>
      </c>
      <c r="D28" s="1231">
        <f>Irrigation!G59</f>
        <v>63.237834076800098</v>
      </c>
    </row>
    <row r="29" spans="1:4" ht="13.9" x14ac:dyDescent="0.4">
      <c r="A29" s="1222" t="str">
        <f>Irrigation!D60</f>
        <v>Fuel, Energy</v>
      </c>
      <c r="B29" s="1230">
        <f>Irrigation!E60</f>
        <v>464.89319218045114</v>
      </c>
      <c r="C29" s="1230">
        <f>Irrigation!F60</f>
        <v>9.5839781502255104</v>
      </c>
      <c r="D29" s="1231">
        <f>Irrigation!G60</f>
        <v>474.47717033067664</v>
      </c>
    </row>
    <row r="30" spans="1:4" ht="13.9" x14ac:dyDescent="0.4">
      <c r="A30" s="1222" t="str">
        <f>Irrigation!D61</f>
        <v>Labor</v>
      </c>
      <c r="B30" s="1230">
        <f>Irrigation!E61</f>
        <v>4.9828799999999998</v>
      </c>
      <c r="C30" s="1230">
        <f>Irrigation!F61</f>
        <v>10.925026741061208</v>
      </c>
      <c r="D30" s="1231">
        <f>Irrigation!G61</f>
        <v>15.907906741061208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1.3861183918489743</v>
      </c>
      <c r="D32" s="1231">
        <f>Irrigation!G63</f>
        <v>1.3861183918489743</v>
      </c>
    </row>
    <row r="33" spans="1:4" ht="13.9" thickBot="1" x14ac:dyDescent="0.4">
      <c r="A33" s="1226" t="str">
        <f>Irrigation!D64</f>
        <v>Total</v>
      </c>
      <c r="B33" s="1232">
        <f>Irrigation!E64</f>
        <v>957.90043243721789</v>
      </c>
      <c r="C33" s="1232">
        <f>Irrigation!F64</f>
        <v>52.596991863581948</v>
      </c>
      <c r="D33" s="1233">
        <f>Irrigation!G64</f>
        <v>1010.4974243007997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2.5</v>
      </c>
      <c r="M69" s="224">
        <f>EquipmentSpecs!C69</f>
        <v>0.7</v>
      </c>
      <c r="N69" s="89">
        <f t="shared" si="30"/>
        <v>6.3636363636363633</v>
      </c>
      <c r="O69" s="226">
        <f t="shared" si="31"/>
        <v>0.15714285714285714</v>
      </c>
      <c r="P69" s="270"/>
      <c r="Q69" s="20"/>
      <c r="R69" s="339">
        <f>Machine!H69</f>
        <v>325</v>
      </c>
      <c r="S69" s="1197">
        <v>1</v>
      </c>
      <c r="T69" s="89">
        <f t="shared" si="32"/>
        <v>60.11029774083454</v>
      </c>
      <c r="U69" s="269"/>
      <c r="V69" s="269"/>
      <c r="W69" s="1144">
        <f t="shared" si="33"/>
        <v>2.7193440476190478</v>
      </c>
      <c r="X69" s="1144">
        <f t="shared" si="33"/>
        <v>2.7193440476190478</v>
      </c>
      <c r="Y69" s="1144">
        <f t="shared" si="33"/>
        <v>2.5017965238095239</v>
      </c>
      <c r="Z69" s="1136">
        <f t="shared" si="34"/>
        <v>68.050782359882163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12.721140077962811</v>
      </c>
      <c r="AD69" s="271"/>
      <c r="AE69" s="272"/>
      <c r="AF69" s="269"/>
      <c r="AG69" s="229">
        <f t="shared" si="35"/>
        <v>14.299999999999999</v>
      </c>
      <c r="AH69" s="89">
        <f t="shared" si="36"/>
        <v>5.5279714285714281</v>
      </c>
      <c r="AI69" s="89">
        <f t="shared" si="37"/>
        <v>0.55279714285714288</v>
      </c>
      <c r="AJ69" s="89">
        <f t="shared" si="38"/>
        <v>5.5279714285714281</v>
      </c>
      <c r="AK69" s="227">
        <f>EquipmentSpecs!L69</f>
        <v>1.1100000000000001</v>
      </c>
      <c r="AL69" s="226">
        <f t="shared" si="39"/>
        <v>0.17442857142857143</v>
      </c>
      <c r="AM69" s="230">
        <f t="shared" si="40"/>
        <v>2.5867757142857144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2.5</v>
      </c>
      <c r="M74" s="233">
        <f>EquipmentSpecs!C74</f>
        <v>0.7</v>
      </c>
      <c r="N74" s="235">
        <f t="shared" si="30"/>
        <v>6.3636363636363633</v>
      </c>
      <c r="O74" s="236">
        <f t="shared" si="31"/>
        <v>0.15714285714285714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4.4174062949373605</v>
      </c>
      <c r="U74" s="235">
        <f>(((P74-(AQ74*P74))*AS74)+(AR74*(AQ74*P74)))/AO74</f>
        <v>61.186395417279016</v>
      </c>
      <c r="V74" s="235">
        <f>U74*O74*S74</f>
        <v>9.6150049941438454</v>
      </c>
      <c r="W74" s="1146">
        <f t="shared" si="33"/>
        <v>0.71552380952380945</v>
      </c>
      <c r="X74" s="1146">
        <f t="shared" si="33"/>
        <v>0.71552380952380945</v>
      </c>
      <c r="Y74" s="1146">
        <f t="shared" si="33"/>
        <v>0.65828190476190485</v>
      </c>
      <c r="Z74" s="1139">
        <f t="shared" si="34"/>
        <v>16.121740812890732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2.2673808051035125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0.89286685714285707</v>
      </c>
      <c r="AG74" s="240">
        <f>0.044*R74</f>
        <v>8.58</v>
      </c>
      <c r="AH74" s="235">
        <f t="shared" ref="AH74:AH81" si="41">AG74*O74*$AJ$11*S74</f>
        <v>3.316782857142857</v>
      </c>
      <c r="AI74" s="235">
        <f>AH74*0.1</f>
        <v>0.3316782857142857</v>
      </c>
      <c r="AJ74" s="235">
        <f>AH74</f>
        <v>3.316782857142857</v>
      </c>
      <c r="AK74" s="459">
        <f>EquipmentSpecs!L74</f>
        <v>1.1100000000000001</v>
      </c>
      <c r="AL74" s="236">
        <f t="shared" si="39"/>
        <v>0.17442857142857143</v>
      </c>
      <c r="AM74" s="241">
        <f t="shared" si="40"/>
        <v>2.5867757142857144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319.89140463844774</v>
      </c>
      <c r="U83" s="17"/>
      <c r="V83" s="257">
        <f>SUM(V64:V81)</f>
        <v>1540.2307463788256</v>
      </c>
      <c r="W83" s="1147"/>
      <c r="X83" s="1147">
        <f>Z83-(T83+V83)</f>
        <v>268.50234516894693</v>
      </c>
      <c r="Y83" s="1148">
        <f>(Z83-(T83+V83))/(T83+V83)</f>
        <v>0.1443466199368181</v>
      </c>
      <c r="Z83" s="257">
        <f>SUM(Z64:Z81)</f>
        <v>2128.6244961862203</v>
      </c>
      <c r="AA83" s="17"/>
      <c r="AB83" s="17"/>
      <c r="AC83" s="257">
        <f>SUM(AC64:AC81)</f>
        <v>115.46253338292983</v>
      </c>
      <c r="AD83" s="258"/>
      <c r="AE83" s="17"/>
      <c r="AF83" s="257">
        <f>SUM(AF64:AF81)</f>
        <v>142.98460431141552</v>
      </c>
      <c r="AG83" s="17"/>
      <c r="AH83" s="257">
        <f>SUM(AH64:AH81)</f>
        <v>972.83295414881309</v>
      </c>
      <c r="AI83" s="257">
        <f>SUM(AI64:AI81)</f>
        <v>97.283295414881309</v>
      </c>
      <c r="AJ83" s="257"/>
      <c r="AK83" s="17"/>
      <c r="AL83" s="259">
        <f>SUM(AL64:AL81)</f>
        <v>42.14866494452032</v>
      </c>
      <c r="AM83" s="257">
        <f>SUM(AM64:AM81)</f>
        <v>625.06470112723639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170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170</v>
      </c>
    </row>
    <row r="5" spans="2:14" ht="13.9" x14ac:dyDescent="0.4">
      <c r="B5" s="4" t="s">
        <v>21</v>
      </c>
      <c r="C5" s="1792">
        <f>Print_Budget!E3</f>
        <v>5.8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5.8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986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35.027027027027032</v>
      </c>
      <c r="D9" s="3"/>
      <c r="E9" s="1190"/>
      <c r="F9" s="3"/>
      <c r="G9" s="1185" t="s">
        <v>223</v>
      </c>
      <c r="H9" s="1800">
        <f>C9</f>
        <v>35.027027027027032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149.91</v>
      </c>
      <c r="D10" s="3"/>
      <c r="E10" s="1190"/>
      <c r="F10" s="3"/>
      <c r="G10" s="1185" t="s">
        <v>420</v>
      </c>
      <c r="H10" s="1794">
        <f t="shared" ref="H10:H21" si="0">C10</f>
        <v>149.91</v>
      </c>
      <c r="I10" s="3"/>
      <c r="J10" s="3"/>
      <c r="K10" s="1190"/>
      <c r="L10" s="3"/>
      <c r="M10" s="648" t="s">
        <v>777</v>
      </c>
      <c r="N10" s="1542">
        <f>Print_Summary!B20</f>
        <v>546.03917584363626</v>
      </c>
    </row>
    <row r="11" spans="2:14" ht="13.9" x14ac:dyDescent="0.4">
      <c r="B11" s="1185" t="s">
        <v>494</v>
      </c>
      <c r="C11" s="1794">
        <f>SUM(Print_Budget!F13:F17)</f>
        <v>147.92837499999999</v>
      </c>
      <c r="D11" s="3"/>
      <c r="E11" s="1190"/>
      <c r="F11" s="3"/>
      <c r="G11" s="1185" t="s">
        <v>494</v>
      </c>
      <c r="H11" s="1794">
        <f t="shared" si="0"/>
        <v>147.92837499999999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176.99096554594982</v>
      </c>
    </row>
    <row r="12" spans="2:14" ht="13.9" x14ac:dyDescent="0.4">
      <c r="B12" s="1185" t="s">
        <v>225</v>
      </c>
      <c r="C12" s="1794">
        <f>SUM(Print_Budget!F19:F22)</f>
        <v>99</v>
      </c>
      <c r="D12" s="3"/>
      <c r="E12" s="1190"/>
      <c r="F12" s="3"/>
      <c r="G12" s="1185" t="s">
        <v>225</v>
      </c>
      <c r="H12" s="1794">
        <f t="shared" si="0"/>
        <v>99</v>
      </c>
      <c r="I12" s="3"/>
      <c r="J12" s="3"/>
      <c r="K12" s="1190"/>
      <c r="L12" s="3"/>
      <c r="M12" s="648" t="s">
        <v>168</v>
      </c>
      <c r="N12" s="182">
        <f>SUM(N10:N11)</f>
        <v>723.03014138958611</v>
      </c>
    </row>
    <row r="13" spans="2:14" ht="13.9" x14ac:dyDescent="0.4">
      <c r="B13" s="1185" t="s">
        <v>421</v>
      </c>
      <c r="C13" s="1794">
        <f>Print_Budget!F30+Print_Budget!F31</f>
        <v>0.65</v>
      </c>
      <c r="D13" s="3"/>
      <c r="E13" s="1190"/>
      <c r="F13" s="3"/>
      <c r="G13" s="1185" t="s">
        <v>780</v>
      </c>
      <c r="H13" s="1794">
        <f t="shared" si="0"/>
        <v>0.65</v>
      </c>
      <c r="I13" s="3"/>
      <c r="J13" s="3"/>
      <c r="K13" s="1190"/>
      <c r="L13" s="3"/>
      <c r="M13" s="648" t="s">
        <v>790</v>
      </c>
      <c r="N13" s="1804">
        <f>Print_Summary!B27</f>
        <v>112.795</v>
      </c>
    </row>
    <row r="14" spans="2:14" ht="13.9" x14ac:dyDescent="0.4">
      <c r="B14" s="1185" t="s">
        <v>779</v>
      </c>
      <c r="C14" s="1794">
        <f>Print_Budget!F24+Print_Budget!F26</f>
        <v>16.926300282774665</v>
      </c>
      <c r="D14" s="3"/>
      <c r="E14" s="1190"/>
      <c r="F14" s="3"/>
      <c r="G14" s="1185" t="s">
        <v>779</v>
      </c>
      <c r="H14" s="1794">
        <f t="shared" si="0"/>
        <v>16.926300282774665</v>
      </c>
      <c r="I14" s="3"/>
      <c r="J14" s="3"/>
      <c r="K14" s="1190"/>
      <c r="L14" s="3"/>
      <c r="M14" s="652" t="s">
        <v>1007</v>
      </c>
      <c r="N14" s="173">
        <f>SUM(N12:N13)-N8</f>
        <v>835.82514138958607</v>
      </c>
    </row>
    <row r="15" spans="2:14" ht="13.9" x14ac:dyDescent="0.4">
      <c r="B15" s="1185" t="s">
        <v>422</v>
      </c>
      <c r="C15" s="1794">
        <f>Print_Budget!F28</f>
        <v>87.167473533834581</v>
      </c>
      <c r="D15" s="3"/>
      <c r="E15" s="1190"/>
      <c r="F15" s="3"/>
      <c r="G15" s="1185" t="s">
        <v>422</v>
      </c>
      <c r="H15" s="1794">
        <f t="shared" si="0"/>
        <v>87.167473533834581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12.5</v>
      </c>
      <c r="D16" s="3"/>
      <c r="E16" s="1190"/>
      <c r="F16" s="3"/>
      <c r="G16" s="1185" t="s">
        <v>778</v>
      </c>
      <c r="H16" s="1794">
        <f t="shared" si="0"/>
        <v>12.5</v>
      </c>
      <c r="I16" s="3"/>
      <c r="J16" s="3"/>
      <c r="K16" s="1190"/>
      <c r="L16" s="3"/>
      <c r="M16" s="652" t="s">
        <v>233</v>
      </c>
      <c r="N16" s="173">
        <f>N7-N14-N15</f>
        <v>150.17485861041393</v>
      </c>
    </row>
    <row r="17" spans="2:14" ht="13.9" x14ac:dyDescent="0.4">
      <c r="B17" s="1185" t="s">
        <v>1</v>
      </c>
      <c r="C17" s="1794">
        <f>Print_Budget!F35</f>
        <v>32</v>
      </c>
      <c r="D17" s="3"/>
      <c r="E17" s="1190"/>
      <c r="F17" s="3"/>
      <c r="G17" s="1185" t="s">
        <v>1</v>
      </c>
      <c r="H17" s="1794">
        <f t="shared" si="0"/>
        <v>32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39.274902791925427</v>
      </c>
      <c r="D18" s="3"/>
      <c r="E18" s="1190"/>
      <c r="F18" s="3"/>
      <c r="G18" s="1185" t="s">
        <v>205</v>
      </c>
      <c r="H18" s="1794">
        <f t="shared" si="0"/>
        <v>39.274902791925427</v>
      </c>
      <c r="I18" s="3"/>
      <c r="J18" s="3"/>
      <c r="K18" s="1190"/>
      <c r="L18" s="3"/>
      <c r="M18" s="648" t="s">
        <v>249</v>
      </c>
      <c r="N18" s="1803">
        <f>Print_Summary!B32</f>
        <v>222.41143724853291</v>
      </c>
    </row>
    <row r="19" spans="2:14" ht="13.9" x14ac:dyDescent="0.4">
      <c r="B19" s="1185" t="s">
        <v>214</v>
      </c>
      <c r="C19" s="1794">
        <f>Trips!E45+Trips!E51+Trips!E72+Trips!E76</f>
        <v>12.296861774604995</v>
      </c>
      <c r="D19" s="3"/>
      <c r="E19" s="1190"/>
      <c r="F19" s="3"/>
      <c r="G19" s="1185" t="s">
        <v>214</v>
      </c>
      <c r="H19" s="1794">
        <f t="shared" si="0"/>
        <v>12.296861774604995</v>
      </c>
      <c r="I19" s="3"/>
      <c r="J19" s="3"/>
      <c r="K19" s="1190"/>
      <c r="L19" s="3"/>
      <c r="M19" s="308" t="s">
        <v>650</v>
      </c>
      <c r="N19" s="173">
        <f>N14+N18</f>
        <v>1058.236578638119</v>
      </c>
    </row>
    <row r="20" spans="2:14" ht="13.9" x14ac:dyDescent="0.4">
      <c r="B20" s="1185" t="s">
        <v>28</v>
      </c>
      <c r="C20" s="1794">
        <f>Print_Budget!F36</f>
        <v>28.643450979419374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-72.236578638118999</v>
      </c>
    </row>
    <row r="22" spans="2:14" ht="13.9" x14ac:dyDescent="0.4">
      <c r="B22" s="1185" t="s">
        <v>790</v>
      </c>
      <c r="C22" s="1794">
        <f>Print_Budget!F39+Print_Budget!F40</f>
        <v>110.5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2.2949999999999999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215.63975595327628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135.43362590513254</v>
      </c>
      <c r="D26" s="3"/>
      <c r="E26" s="1190"/>
      <c r="F26" s="3"/>
      <c r="G26" s="648" t="s">
        <v>647</v>
      </c>
      <c r="H26" s="1801">
        <f>C28</f>
        <v>6.7716812952566272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80.206130048143748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6.7716812952566272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536.60917584363619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632.68094041016661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774.11939138958599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222.41143724853291</v>
      </c>
    </row>
    <row r="34" spans="2:3" ht="13.5" x14ac:dyDescent="0.35">
      <c r="B34" s="308" t="s">
        <v>650</v>
      </c>
      <c r="C34" s="173">
        <f>C32+C33</f>
        <v>996.53082863811892</v>
      </c>
    </row>
    <row r="35" spans="2:3" ht="13.5" x14ac:dyDescent="0.35">
      <c r="B35" s="308" t="s">
        <v>761</v>
      </c>
      <c r="C35" s="173">
        <f>(C4*C5*C6)-C24-C34</f>
        <v>-10.530828638118919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 t="str">
        <f>IF(Machine!B20&gt;0,Machine!B20," ")</f>
        <v xml:space="preserve"> </v>
      </c>
      <c r="E11" s="1525">
        <v>1000</v>
      </c>
      <c r="F11" s="1354" t="str">
        <f>IF(Machine!$B20&gt;0,E11*Trips!$M10*$D11," ")</f>
        <v xml:space="preserve"> </v>
      </c>
      <c r="G11" s="1394">
        <f>IF(AND($D11&gt;0,Machine!$H20&lt;=170),$E11,0)</f>
        <v>0</v>
      </c>
      <c r="H11" s="1393" t="str">
        <f>IF(Machine!$B20&gt;0,G11*Trips!$M10*$D11," ")</f>
        <v xml:space="preserve"> </v>
      </c>
      <c r="I11" s="1398">
        <f>IF(AND($D11&gt;0,Machine!$H20&gt;170,Machine!$H20&lt;200),$E11,0)</f>
        <v>0</v>
      </c>
      <c r="J11" s="1399" t="str">
        <f>IF(Machine!$B20&gt;0,I11*Trips!$M10*$D11," ")</f>
        <v xml:space="preserve"> </v>
      </c>
      <c r="K11" s="1404">
        <f>IF(AND($D11&gt;0,Machine!$H20&gt;=200,Machine!$H20&lt;250),$E11,0)</f>
        <v>1000</v>
      </c>
      <c r="L11" s="1405" t="str">
        <f>IF(Machine!$B20&gt;0,K11*Trips!$M10*$D11," ")</f>
        <v xml:space="preserve"> </v>
      </c>
      <c r="M11" s="1413">
        <f>IF(AND($D11&gt;0,Machine!$H20&gt;=250),$E11,0)</f>
        <v>0</v>
      </c>
      <c r="N11" s="1412" t="str">
        <f>IF(Machine!$B20&gt;0,M11*Trips!$M10*$D11," ")</f>
        <v xml:space="preserve"> 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>
        <f>IF(Machine!B25&gt;0,Machine!B25," ")</f>
        <v>1</v>
      </c>
      <c r="E16" s="1525"/>
      <c r="F16" s="1354">
        <f>IF(Machine!$B25&gt;0,E16*Trips!$M15*$D16," ")</f>
        <v>0</v>
      </c>
      <c r="G16" s="1394">
        <f>IF(AND($D16&gt;0,Machine!$H25&lt;=170),$E16,0)</f>
        <v>0</v>
      </c>
      <c r="H16" s="1393">
        <f>IF(Machine!$B25&gt;0,G16*Trips!$M15*$D16," ")</f>
        <v>0</v>
      </c>
      <c r="I16" s="1398">
        <f>IF(AND($D16&gt;0,Machine!$H25&gt;170,Machine!$H25&lt;200),$E16,0)</f>
        <v>0</v>
      </c>
      <c r="J16" s="1399">
        <f>IF(Machine!$B25&gt;0,I16*Trips!$M15*$D16," ")</f>
        <v>0</v>
      </c>
      <c r="K16" s="1404">
        <f>IF(AND($D16&gt;0,Machine!$H25&gt;=200,Machine!$H25&lt;250),$E16,0)</f>
        <v>0</v>
      </c>
      <c r="L16" s="1405">
        <f>IF(Machine!$B25&gt;0,K16*Trips!$M15*$D16," ")</f>
        <v>0</v>
      </c>
      <c r="M16" s="1413">
        <f>IF(AND($D16&gt;0,Machine!$H25&gt;=250),$E16,0)</f>
        <v>0</v>
      </c>
      <c r="N16" s="1412">
        <f>IF(Machine!$B25&gt;0,M16*Trips!$M15*$D16," ")</f>
        <v>0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>
        <f>IF(Machine!B27&gt;0,Machine!B27," ")</f>
        <v>1</v>
      </c>
      <c r="E18" s="1525"/>
      <c r="F18" s="1354">
        <f>IF(Machine!$B27&gt;0,E18*Trips!$M17*$D18," ")</f>
        <v>0</v>
      </c>
      <c r="G18" s="1394">
        <f>IF(AND($D18&gt;0,Machine!$H27&lt;=170),$E18,0)</f>
        <v>0</v>
      </c>
      <c r="H18" s="1393">
        <f>IF(Machine!$B27&gt;0,G18*Trips!$M17*$D18," ")</f>
        <v>0</v>
      </c>
      <c r="I18" s="1398">
        <f>IF(AND($D18&gt;0,Machine!$H27&gt;170,Machine!$H27&lt;200),$E18,0)</f>
        <v>0</v>
      </c>
      <c r="J18" s="1399">
        <f>IF(Machine!$B27&gt;0,I18*Trips!$M17*$D18," ")</f>
        <v>0</v>
      </c>
      <c r="K18" s="1404">
        <f>IF(AND($D18&gt;0,Machine!$H27&gt;=200,Machine!$H27&lt;250),$E18,0)</f>
        <v>0</v>
      </c>
      <c r="L18" s="1405">
        <f>IF(Machine!$B27&gt;0,K18*Trips!$M17*$D18," ")</f>
        <v>0</v>
      </c>
      <c r="M18" s="1413">
        <f>IF(AND($D18&gt;0,Machine!$H27&gt;=250),$E18,0)</f>
        <v>0</v>
      </c>
      <c r="N18" s="1412">
        <f>IF(Machine!$B27&gt;0,M18*Trips!$M17*$D18," ")</f>
        <v>0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>
        <f>IF(Machine!B28&gt;0,Machine!B28," ")</f>
        <v>1</v>
      </c>
      <c r="E19" s="1525"/>
      <c r="F19" s="1354">
        <f>IF(Machine!$B28&gt;0,E19*Trips!$M18*$D19," ")</f>
        <v>0</v>
      </c>
      <c r="G19" s="1394">
        <f>IF(AND($D19&gt;0,Machine!$H28&lt;=170),$E19,0)</f>
        <v>0</v>
      </c>
      <c r="H19" s="1393">
        <f>IF(Machine!$B28&gt;0,G19*Trips!$M18*$D19," ")</f>
        <v>0</v>
      </c>
      <c r="I19" s="1398">
        <f>IF(AND($D19&gt;0,Machine!$H28&gt;170,Machine!$H28&lt;200),$E19,0)</f>
        <v>0</v>
      </c>
      <c r="J19" s="1399">
        <f>IF(Machine!$B28&gt;0,I19*Trips!$M18*$D19," ")</f>
        <v>0</v>
      </c>
      <c r="K19" s="1404">
        <f>IF(AND($D19&gt;0,Machine!$H28&gt;=200,Machine!$H28&lt;250),$E19,0)</f>
        <v>0</v>
      </c>
      <c r="L19" s="1405">
        <f>IF(Machine!$B28&gt;0,K19*Trips!$M18*$D19," ")</f>
        <v>0</v>
      </c>
      <c r="M19" s="1413">
        <f>IF(AND($D19&gt;0,Machine!$H28&gt;=250),$E19,0)</f>
        <v>0</v>
      </c>
      <c r="N19" s="1412">
        <f>IF(Machine!$B28&gt;0,M19*Trips!$M18*$D19," ")</f>
        <v>0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>
        <f>IF(Machine!B32&gt;0,Machine!B32," ")</f>
        <v>1</v>
      </c>
      <c r="E23" s="1525"/>
      <c r="F23" s="1354">
        <f>IF(Machine!$B32&gt;0,E23*Trips!$M22*$D23," ")</f>
        <v>0</v>
      </c>
      <c r="G23" s="1394">
        <f>IF(AND($D23&gt;0,Machine!$H32&lt;=170),$E23,0)</f>
        <v>0</v>
      </c>
      <c r="H23" s="1393">
        <f>IF(Machine!$B32&gt;0,G23*Trips!$M22*$D23," ")</f>
        <v>0</v>
      </c>
      <c r="I23" s="1398">
        <f>IF(AND($D23&gt;0,Machine!$H32&gt;170,Machine!$H32&lt;200),$E23,0)</f>
        <v>0</v>
      </c>
      <c r="J23" s="1399">
        <f>IF(Machine!$B32&gt;0,I23*Trips!$M22*$D23," ")</f>
        <v>0</v>
      </c>
      <c r="K23" s="1404">
        <f>IF(AND($D23&gt;0,Machine!$H32&gt;=200,Machine!$H32&lt;250),$E23,0)</f>
        <v>0</v>
      </c>
      <c r="L23" s="1405">
        <f>IF(Machine!$B32&gt;0,K23*Trips!$M22*$D23," ")</f>
        <v>0</v>
      </c>
      <c r="M23" s="1413">
        <f>IF(AND($D23&gt;0,Machine!$H32&gt;=250),$E23,0)</f>
        <v>0</v>
      </c>
      <c r="N23" s="1412">
        <f>IF(Machine!$B32&gt;0,M23*Trips!$M22*$D23," ")</f>
        <v>0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 t="str">
        <f>IF(Machine!B35&gt;0,Machine!B35," ")</f>
        <v xml:space="preserve"> </v>
      </c>
      <c r="E26" s="1525">
        <v>1000</v>
      </c>
      <c r="F26" s="1354" t="str">
        <f>IF(Machine!$B35&gt;0,E26*Trips!$M25*$D26," ")</f>
        <v xml:space="preserve"> </v>
      </c>
      <c r="G26" s="1394">
        <f>IF(AND($D26&gt;0,Machine!$H35&lt;=170),$E26,0)</f>
        <v>0</v>
      </c>
      <c r="H26" s="1393" t="str">
        <f>IF(Machine!$B35&gt;0,G26*Trips!$M25*$D26," ")</f>
        <v xml:space="preserve"> </v>
      </c>
      <c r="I26" s="1398">
        <f>IF(AND($D26&gt;0,Machine!$H35&gt;170,Machine!$H35&lt;200),$E26,0)</f>
        <v>1000</v>
      </c>
      <c r="J26" s="1399" t="str">
        <f>IF(Machine!$B35&gt;0,I26*Trips!$M25*$D26," ")</f>
        <v xml:space="preserve"> </v>
      </c>
      <c r="K26" s="1404">
        <f>IF(AND($D26&gt;0,Machine!$H35&gt;=200,Machine!$H35&lt;250),$E26,0)</f>
        <v>0</v>
      </c>
      <c r="L26" s="1405" t="str">
        <f>IF(Machine!$B35&gt;0,K26*Trips!$M25*$D26," ")</f>
        <v xml:space="preserve"> </v>
      </c>
      <c r="M26" s="1413">
        <f>IF(AND($D26&gt;0,Machine!$H35&gt;=250),$E26,0)</f>
        <v>0</v>
      </c>
      <c r="N26" s="1412" t="str">
        <f>IF(Machine!$B35&gt;0,M26*Trips!$M25*$D26," ")</f>
        <v xml:space="preserve"> 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>
        <f>IF(Machine!B37&gt;0,Machine!B37," ")</f>
        <v>1</v>
      </c>
      <c r="E28" s="1525"/>
      <c r="F28" s="1354">
        <f>IF(Machine!$B37&gt;0,E28*Trips!$M27*$D28," ")</f>
        <v>0</v>
      </c>
      <c r="G28" s="1394">
        <f>IF(AND($D28&gt;0,Machine!$H37&lt;=170),$E28,0)</f>
        <v>0</v>
      </c>
      <c r="H28" s="1393">
        <f>IF(Machine!$B37&gt;0,G28*Trips!$M27*$D28," ")</f>
        <v>0</v>
      </c>
      <c r="I28" s="1398">
        <f>IF(AND($D28&gt;0,Machine!$H37&gt;170,Machine!$H37&lt;200),$E28,0)</f>
        <v>0</v>
      </c>
      <c r="J28" s="1399">
        <f>IF(Machine!$B37&gt;0,I28*Trips!$M27*$D28," ")</f>
        <v>0</v>
      </c>
      <c r="K28" s="1404">
        <f>IF(AND($D28&gt;0,Machine!$H37&gt;=200,Machine!$H37&lt;250),$E28,0)</f>
        <v>0</v>
      </c>
      <c r="L28" s="1405">
        <f>IF(Machine!$B37&gt;0,K28*Trips!$M27*$D28," ")</f>
        <v>0</v>
      </c>
      <c r="M28" s="1413">
        <f>IF(AND($D28&gt;0,Machine!$H37&gt;=250),$E28,0)</f>
        <v>0</v>
      </c>
      <c r="N28" s="1412">
        <f>IF(Machine!$B37&gt;0,M28*Trips!$M27*$D28," ")</f>
        <v>0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>
        <f>IF(Machine!B43&gt;0,Machine!B43," ")</f>
        <v>3</v>
      </c>
      <c r="E34" s="1525"/>
      <c r="F34" s="1354">
        <f>IF(Machine!$B43&gt;0,E34*Trips!$M33*$D34," ")</f>
        <v>0</v>
      </c>
      <c r="G34" s="1394">
        <f>IF(AND($D34&gt;0,Machine!$H43&lt;=170),$E34,0)</f>
        <v>0</v>
      </c>
      <c r="H34" s="1393">
        <f>IF(Machine!$B43&gt;0,G34*Trips!$M33*$D34," ")</f>
        <v>0</v>
      </c>
      <c r="I34" s="1398">
        <f>IF(AND($D34&gt;0,Machine!$H43&gt;170,Machine!$H43&lt;200),$E34,0)</f>
        <v>0</v>
      </c>
      <c r="J34" s="1399">
        <f>IF(Machine!$B43&gt;0,I34*Trips!$M33*$D34," ")</f>
        <v>0</v>
      </c>
      <c r="K34" s="1404">
        <f>IF(AND($D34&gt;0,Machine!$H43&gt;=200,Machine!$H43&lt;250),$E34,0)</f>
        <v>0</v>
      </c>
      <c r="L34" s="1405">
        <f>IF(Machine!$B43&gt;0,K34*Trips!$M33*$D34," ")</f>
        <v>0</v>
      </c>
      <c r="M34" s="1413">
        <f>IF(AND($D34&gt;0,Machine!$H43&gt;=250),$E34,0)</f>
        <v>0</v>
      </c>
      <c r="N34" s="1412">
        <f>IF(Machine!$B43&gt;0,M34*Trips!$M33*$D34," ")</f>
        <v>0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>
        <f>IF(Machine!B46&gt;0,Machine!B46," ")</f>
        <v>1</v>
      </c>
      <c r="E37" s="1525"/>
      <c r="F37" s="1354">
        <f>IF(Machine!$B46&gt;0,E37*Trips!$M36*$D37," ")</f>
        <v>0</v>
      </c>
      <c r="G37" s="1394">
        <f>IF(AND($D37&gt;0,Machine!$H46&lt;=170),$E37,0)</f>
        <v>0</v>
      </c>
      <c r="H37" s="1393">
        <f>IF(Machine!$B46&gt;0,G37*Trips!$M36*$D37," ")</f>
        <v>0</v>
      </c>
      <c r="I37" s="1398">
        <f>IF(AND($D37&gt;0,Machine!$H46&gt;170,Machine!$H46&lt;200),$E37,0)</f>
        <v>0</v>
      </c>
      <c r="J37" s="1399">
        <f>IF(Machine!$B46&gt;0,I37*Trips!$M36*$D37," ")</f>
        <v>0</v>
      </c>
      <c r="K37" s="1404">
        <f>IF(AND($D37&gt;0,Machine!$H46&gt;=200,Machine!$H46&lt;250),$E37,0)</f>
        <v>0</v>
      </c>
      <c r="L37" s="1405">
        <f>IF(Machine!$B46&gt;0,K37*Trips!$M36*$D37," ")</f>
        <v>0</v>
      </c>
      <c r="M37" s="1413">
        <f>IF(AND($D37&gt;0,Machine!$H46&gt;=250),$E37,0)</f>
        <v>0</v>
      </c>
      <c r="N37" s="1412">
        <f>IF(Machine!$B46&gt;0,M37*Trips!$M36*$D37," ")</f>
        <v>0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>
        <f>IF(Machine!B47&gt;0,Machine!B47," ")</f>
        <v>3</v>
      </c>
      <c r="E38" s="1525"/>
      <c r="F38" s="1354">
        <f>IF(Machine!$B47&gt;0,E38*Trips!$M37*$D38," ")</f>
        <v>0</v>
      </c>
      <c r="G38" s="1394">
        <f>IF(AND($D38&gt;0,Machine!$H47&lt;=170),$E38,0)</f>
        <v>0</v>
      </c>
      <c r="H38" s="1393">
        <f>IF(Machine!$B47&gt;0,G38*Trips!$M37*$D38," ")</f>
        <v>0</v>
      </c>
      <c r="I38" s="1398">
        <f>IF(AND($D38&gt;0,Machine!$H47&gt;170,Machine!$H47&lt;200),$E38,0)</f>
        <v>0</v>
      </c>
      <c r="J38" s="1399">
        <f>IF(Machine!$B47&gt;0,I38*Trips!$M37*$D38," ")</f>
        <v>0</v>
      </c>
      <c r="K38" s="1404">
        <f>IF(AND($D38&gt;0,Machine!$H47&gt;=200,Machine!$H47&lt;250),$E38,0)</f>
        <v>0</v>
      </c>
      <c r="L38" s="1405">
        <f>IF(Machine!$B47&gt;0,K38*Trips!$M37*$D38," ")</f>
        <v>0</v>
      </c>
      <c r="M38" s="1413">
        <f>IF(AND($D38&gt;0,Machine!$H47&gt;=250),$E38,0)</f>
        <v>0</v>
      </c>
      <c r="N38" s="1412">
        <f>IF(Machine!$B47&gt;0,M38*Trips!$M37*$D38," ")</f>
        <v>0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>
        <f>IF(Machine!B72&gt;0,Machine!B72," ")</f>
        <v>1</v>
      </c>
      <c r="E63" s="1525"/>
      <c r="F63" s="1354">
        <f>IF(Machine!$B72&gt;0,E63*Trips!$M$59*$D63," ")</f>
        <v>0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0</v>
      </c>
      <c r="K73" s="3"/>
      <c r="L73" s="1359">
        <f>SUM(L5:L72)</f>
        <v>0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2185.4</v>
      </c>
      <c r="C4" s="182">
        <f>SUM(A5_Chem_Look_Up!G24:G33)+SUM(A5_Chem_Look_Up!G38:G39)</f>
        <v>29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2185.4</v>
      </c>
      <c r="C6" s="182">
        <f>C4+C5</f>
        <v>29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64.630034896788317</v>
      </c>
      <c r="C7" s="1456">
        <f>C6/$E$6</f>
        <v>0.85763293310463118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416.2174247353168</v>
      </c>
      <c r="C9" s="1459">
        <f>C7*C8</f>
        <v>4.6655231560891943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330</v>
      </c>
      <c r="D15" s="1456">
        <f>C15/$B$12</f>
        <v>149.68532063276066</v>
      </c>
      <c r="E15" s="1456">
        <v>1.3</v>
      </c>
      <c r="F15" s="1456">
        <f>D15*E15</f>
        <v>194.59091682258887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87</v>
      </c>
      <c r="D16" s="1456">
        <f>C16/$B$12</f>
        <v>39.462493621364175</v>
      </c>
      <c r="E16" s="1456">
        <v>0.2</v>
      </c>
      <c r="F16" s="1456">
        <f>D16*E16</f>
        <v>7.8924987242728353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209.74088563814706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330</v>
      </c>
      <c r="D22" s="1456">
        <f>C22/$B$12</f>
        <v>149.68532063276066</v>
      </c>
      <c r="E22" s="1456">
        <v>1.27</v>
      </c>
      <c r="F22" s="1459">
        <f>D22*E22</f>
        <v>190.10035720360605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6.8806098710466124</v>
      </c>
      <c r="D28" s="1456">
        <f>C28/$B$25</f>
        <v>26.046144039999287</v>
      </c>
      <c r="E28" s="1456">
        <v>0.84</v>
      </c>
      <c r="F28" s="1456">
        <f>D28*E28</f>
        <v>21.8787609935994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35.433932330827069</v>
      </c>
      <c r="D29" s="1450">
        <f>C29/$B$25</f>
        <v>134.13306708114877</v>
      </c>
      <c r="E29" s="1450">
        <v>0.84</v>
      </c>
      <c r="F29" s="1450">
        <f>D29*E29</f>
        <v>112.67177634816495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134.55053734176437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3785.7251999999999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4740.9999280749234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11715.484922265943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469.75699268583088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11245.727929580113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14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0.140625</v>
      </c>
      <c r="E6" s="1165">
        <f>VLOOKUP(1,$I$6:$P$3099,6,FALSE)</f>
        <v>32</v>
      </c>
      <c r="F6" s="82">
        <f>D6*E6</f>
        <v>4.5</v>
      </c>
      <c r="G6" s="1166">
        <f>VLOOKUP(1,$I$6:$P$3099,8,FALSE)</f>
        <v>32</v>
      </c>
      <c r="H6" s="1073">
        <f>VLOOKUP(1,$I$6:$Q$3099,9,FALSE)</f>
        <v>14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Command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0.67414062499999994</v>
      </c>
      <c r="E7" s="1165">
        <f>VLOOKUP(2,$I$6:$P$3099,6,FALSE)</f>
        <v>12.8</v>
      </c>
      <c r="F7" s="82">
        <f>D7*E7</f>
        <v>8.6289999999999996</v>
      </c>
      <c r="G7" s="1166">
        <f>VLOOKUP(2,$I$6:$P$3099,8,FALSE)</f>
        <v>1638.4</v>
      </c>
      <c r="H7" s="1073">
        <f>VLOOKUP(2,$I$6:$Q$3099,9,FALSE)</f>
        <v>14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Roundup Powermax 3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0.140625</v>
      </c>
      <c r="E8" s="1165">
        <f>VLOOKUP(3,$I$6:$P$3099,6,FALSE)</f>
        <v>32</v>
      </c>
      <c r="F8" s="82">
        <f t="shared" ref="F8:F19" si="2">D8*E8</f>
        <v>4.5</v>
      </c>
      <c r="G8" s="1166">
        <f>VLOOKUP(3,$I$6:$P$3099,8,FALSE)</f>
        <v>512</v>
      </c>
      <c r="H8" s="1073">
        <f>VLOOKUP(3,$I$6:$Q$3099,9,FALSE)</f>
        <v>14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Sharpen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6.7</v>
      </c>
      <c r="E9" s="1165">
        <f>VLOOKUP(4,$I$6:$P$3099,6,FALSE)</f>
        <v>3</v>
      </c>
      <c r="F9" s="82">
        <f t="shared" si="2"/>
        <v>20.100000000000001</v>
      </c>
      <c r="G9" s="1166">
        <f>VLOOKUP(4,$I$6:$P$3099,8,FALSE)</f>
        <v>3</v>
      </c>
      <c r="H9" s="1073">
        <f>VLOOKUP(4,$I$6:$Q$3099,9,FALSE)</f>
        <v>14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Facet L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0.6640625</v>
      </c>
      <c r="E10" s="1165">
        <f>VLOOKUP(5,$I$6:$P$3099,6,FALSE)</f>
        <v>25</v>
      </c>
      <c r="F10" s="82">
        <f t="shared" si="2"/>
        <v>16.6015625</v>
      </c>
      <c r="G10" s="1166">
        <f>VLOOKUP(5,$I$6:$P$3099,8,FALSE)</f>
        <v>0</v>
      </c>
      <c r="H10" s="1073">
        <f>VLOOKUP(5,$I$6:$Q$3099,9,FALSE)</f>
        <v>14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Ricestar HT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1.47484375</v>
      </c>
      <c r="E11" s="1165">
        <f>VLOOKUP(6,$I$6:$P$3099,6,FALSE)</f>
        <v>24</v>
      </c>
      <c r="F11" s="82">
        <f t="shared" si="2"/>
        <v>35.396250000000002</v>
      </c>
      <c r="G11" s="1166">
        <f>VLOOKUP(6,$I$6:$P$3099,8,FALSE)</f>
        <v>0</v>
      </c>
      <c r="H11" s="1073">
        <f>VLOOKUP(6,$I$6:$Q$3099,9,FALSE)</f>
        <v>14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Gambit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14.5</v>
      </c>
      <c r="E12" s="1165">
        <f>VLOOKUP(7,$I$6:$P$3099,6,FALSE)</f>
        <v>1.5</v>
      </c>
      <c r="F12" s="82">
        <f t="shared" si="2"/>
        <v>21.75</v>
      </c>
      <c r="G12" s="1166">
        <f>VLOOKUP(7,$I$6:$P$3099,8,FALSE)</f>
        <v>0</v>
      </c>
      <c r="H12" s="1073">
        <f>VLOOKUP(7,$I$6:$Q$3099,9,FALSE)</f>
        <v>14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Basagran</v>
      </c>
      <c r="B13" s="1166" t="str">
        <f>VLOOKUP(8,$I$6:$P$3099,3,FALSE)</f>
        <v/>
      </c>
      <c r="C13" s="1166" t="str">
        <f>VLOOKUP(8,$I$6:$P$3099,4,FALSE)</f>
        <v>oz</v>
      </c>
      <c r="D13" s="1165">
        <f>VLOOKUP(8,$I$6:$P$3099,5,FALSE)</f>
        <v>0.67046874999999995</v>
      </c>
      <c r="E13" s="1165">
        <f>VLOOKUP(8,$I$6:$P$3099,6,FALSE)</f>
        <v>24</v>
      </c>
      <c r="F13" s="82">
        <f t="shared" si="2"/>
        <v>16.091249999999999</v>
      </c>
      <c r="G13" s="1166">
        <f>VLOOKUP(8,$I$6:$P$3099,8,FALSE)</f>
        <v>0</v>
      </c>
      <c r="H13" s="1073">
        <f>VLOOKUP(8,$I$6:$Q$3099,9,FALSE)</f>
        <v>14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14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14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14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14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14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14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127.5680625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Tenchu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1.1299999999999999</v>
      </c>
      <c r="E24" s="1165">
        <f>VLOOKUP(15,$I$6:$P$3099,6,FALSE)</f>
        <v>8</v>
      </c>
      <c r="F24" s="82">
        <f t="shared" ref="F24:F33" si="4">D24*E24</f>
        <v>9.0399999999999991</v>
      </c>
      <c r="G24" s="1166">
        <f>VLOOKUP(15,$I$6:$P$3099,8,FALSE)</f>
        <v>8</v>
      </c>
      <c r="H24" s="1073">
        <f>VLOOKUP(15,$I$6:$Q$3099,9,FALSE)</f>
        <v>14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14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14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14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14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14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14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14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14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14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9.0399999999999991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Aframe Plus</v>
      </c>
      <c r="B38" s="1166" t="str">
        <f>VLOOKUP(25,$I$6:$P$3099,3,FALSE)</f>
        <v/>
      </c>
      <c r="C38" s="1166" t="str">
        <f>VLOOKUP(25,$I$6:$P$3099,4,FALSE)</f>
        <v>oz</v>
      </c>
      <c r="D38" s="1165">
        <f>VLOOKUP(25,$I$6:$P$3099,5,FALSE)</f>
        <v>0.5390625</v>
      </c>
      <c r="E38" s="1165">
        <f>VLOOKUP(25,$I$6:$P$3099,6,FALSE)</f>
        <v>21</v>
      </c>
      <c r="F38" s="82">
        <f>D38*E38</f>
        <v>11.3203125</v>
      </c>
      <c r="G38" s="1166">
        <f>VLOOKUP(25,$I$6:$P$3099,8,FALSE)</f>
        <v>21</v>
      </c>
      <c r="H38" s="1073">
        <f>VLOOKUP(25,$I$6:$Q$3099,9,FALSE)</f>
        <v>14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14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11.3203125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14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14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14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14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14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14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14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14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14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14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14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14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14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14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1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14</v>
      </c>
    </row>
    <row r="813" spans="9:17" ht="13.9" x14ac:dyDescent="0.4">
      <c r="I813" s="1073">
        <f t="shared" ref="I813:I825" si="168">IF($A$1=14,I812+1,0)</f>
        <v>2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14</v>
      </c>
    </row>
    <row r="814" spans="9:17" ht="13.9" x14ac:dyDescent="0.4">
      <c r="I814" s="1073">
        <f t="shared" si="168"/>
        <v>3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14</v>
      </c>
    </row>
    <row r="815" spans="9:17" ht="13.9" x14ac:dyDescent="0.4">
      <c r="I815" s="1073">
        <f t="shared" si="168"/>
        <v>4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14</v>
      </c>
    </row>
    <row r="816" spans="9:17" ht="13.9" x14ac:dyDescent="0.4">
      <c r="I816" s="1073">
        <f t="shared" si="168"/>
        <v>5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14</v>
      </c>
    </row>
    <row r="817" spans="9:17" ht="13.9" x14ac:dyDescent="0.4">
      <c r="I817" s="1073">
        <f t="shared" si="168"/>
        <v>6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14</v>
      </c>
    </row>
    <row r="818" spans="9:17" ht="13.9" x14ac:dyDescent="0.4">
      <c r="I818" s="1073">
        <f t="shared" si="168"/>
        <v>7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14</v>
      </c>
    </row>
    <row r="819" spans="9:17" ht="13.9" x14ac:dyDescent="0.4">
      <c r="I819" s="1073">
        <f t="shared" si="168"/>
        <v>8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14</v>
      </c>
    </row>
    <row r="820" spans="9:17" ht="13.9" x14ac:dyDescent="0.4">
      <c r="I820" s="1073">
        <f t="shared" si="168"/>
        <v>9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14</v>
      </c>
    </row>
    <row r="821" spans="9:17" ht="13.9" x14ac:dyDescent="0.4">
      <c r="I821" s="1073">
        <f t="shared" si="168"/>
        <v>10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14</v>
      </c>
    </row>
    <row r="822" spans="9:17" ht="13.9" x14ac:dyDescent="0.4">
      <c r="I822" s="1073">
        <f t="shared" si="168"/>
        <v>11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14</v>
      </c>
    </row>
    <row r="823" spans="9:17" ht="13.9" x14ac:dyDescent="0.4">
      <c r="I823" s="1073">
        <f t="shared" si="168"/>
        <v>12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14</v>
      </c>
    </row>
    <row r="824" spans="9:17" ht="13.9" x14ac:dyDescent="0.4">
      <c r="I824" s="1073">
        <f t="shared" si="168"/>
        <v>13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14</v>
      </c>
    </row>
    <row r="825" spans="9:17" ht="13.9" x14ac:dyDescent="0.4">
      <c r="I825" s="1073">
        <f t="shared" si="168"/>
        <v>14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14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15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14</v>
      </c>
    </row>
    <row r="831" spans="9:17" ht="13.9" x14ac:dyDescent="0.4">
      <c r="I831" s="1073">
        <f t="shared" ref="I831:I839" si="171">IF($A$1=14,I830+1,0)</f>
        <v>16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14</v>
      </c>
    </row>
    <row r="832" spans="9:17" ht="13.9" x14ac:dyDescent="0.4">
      <c r="I832" s="1073">
        <f t="shared" si="171"/>
        <v>17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14</v>
      </c>
    </row>
    <row r="833" spans="9:17" ht="13.9" x14ac:dyDescent="0.4">
      <c r="I833" s="1073">
        <f t="shared" si="171"/>
        <v>18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14</v>
      </c>
    </row>
    <row r="834" spans="9:17" ht="13.9" x14ac:dyDescent="0.4">
      <c r="I834" s="1073">
        <f t="shared" si="171"/>
        <v>19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14</v>
      </c>
    </row>
    <row r="835" spans="9:17" ht="13.9" x14ac:dyDescent="0.4">
      <c r="I835" s="1073">
        <f t="shared" si="171"/>
        <v>20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14</v>
      </c>
    </row>
    <row r="836" spans="9:17" ht="13.9" x14ac:dyDescent="0.4">
      <c r="I836" s="1073">
        <f t="shared" si="171"/>
        <v>21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14</v>
      </c>
    </row>
    <row r="837" spans="9:17" ht="13.9" x14ac:dyDescent="0.4">
      <c r="I837" s="1073">
        <f t="shared" si="171"/>
        <v>22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14</v>
      </c>
    </row>
    <row r="838" spans="9:17" ht="13.9" x14ac:dyDescent="0.4">
      <c r="I838" s="1073">
        <f t="shared" si="171"/>
        <v>23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14</v>
      </c>
    </row>
    <row r="839" spans="9:17" ht="13.9" x14ac:dyDescent="0.4">
      <c r="I839" s="1073">
        <f t="shared" si="171"/>
        <v>24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14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25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14</v>
      </c>
    </row>
    <row r="845" spans="9:17" ht="13.9" x14ac:dyDescent="0.4">
      <c r="I845" s="1073">
        <f>IF($A$1=14,I844+1,0)</f>
        <v>26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14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27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14</v>
      </c>
    </row>
    <row r="851" spans="9:17" ht="13.9" x14ac:dyDescent="0.4">
      <c r="I851" s="1073">
        <f t="shared" ref="I851:I856" si="174">IF($A$1=14,I850+1,0)</f>
        <v>28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14</v>
      </c>
    </row>
    <row r="852" spans="9:17" ht="13.9" x14ac:dyDescent="0.4">
      <c r="I852" s="1073">
        <f t="shared" si="174"/>
        <v>29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14</v>
      </c>
    </row>
    <row r="853" spans="9:17" ht="13.9" x14ac:dyDescent="0.4">
      <c r="I853" s="1073">
        <f t="shared" si="174"/>
        <v>30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14</v>
      </c>
    </row>
    <row r="854" spans="9:17" ht="13.9" x14ac:dyDescent="0.4">
      <c r="I854" s="1073">
        <f t="shared" si="174"/>
        <v>31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14</v>
      </c>
    </row>
    <row r="855" spans="9:17" ht="13.9" x14ac:dyDescent="0.4">
      <c r="I855" s="1073">
        <f t="shared" si="174"/>
        <v>32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14</v>
      </c>
    </row>
    <row r="856" spans="9:17" ht="13.9" x14ac:dyDescent="0.4">
      <c r="I856" s="1073">
        <f t="shared" si="174"/>
        <v>33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14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34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14</v>
      </c>
    </row>
    <row r="862" spans="9:17" ht="13.9" x14ac:dyDescent="0.4">
      <c r="I862" s="1073">
        <f t="shared" ref="I862:I867" si="177">IF($A$1=14,I861+1,0)</f>
        <v>35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14</v>
      </c>
    </row>
    <row r="863" spans="9:17" ht="13.9" x14ac:dyDescent="0.4">
      <c r="I863" s="1073">
        <f t="shared" si="177"/>
        <v>36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14</v>
      </c>
    </row>
    <row r="864" spans="9:17" ht="13.9" x14ac:dyDescent="0.4">
      <c r="I864" s="1073">
        <f t="shared" si="177"/>
        <v>37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14</v>
      </c>
    </row>
    <row r="865" spans="9:17" ht="13.9" x14ac:dyDescent="0.4">
      <c r="I865" s="1073">
        <f t="shared" si="177"/>
        <v>38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14</v>
      </c>
    </row>
    <row r="866" spans="9:17" ht="13.9" x14ac:dyDescent="0.4">
      <c r="I866" s="1073">
        <f t="shared" si="177"/>
        <v>39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14</v>
      </c>
    </row>
    <row r="867" spans="9:17" ht="13.9" x14ac:dyDescent="0.4">
      <c r="I867" s="1073">
        <f t="shared" si="177"/>
        <v>40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14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2.5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2.5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2.5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2.5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2.5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2.5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2.5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10. Details of Chemicals Applied, Rice, Conventional Seed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Roundup Powermax 3</v>
      </c>
      <c r="B6" s="104" t="e">
        <f>Seed_Chemical!#REF!</f>
        <v>#REF!</v>
      </c>
      <c r="C6" s="104" t="str">
        <f>Seed_Chemical!C14</f>
        <v>oz</v>
      </c>
      <c r="D6" s="96">
        <f>Seed_Chemical!D14</f>
        <v>0.140625</v>
      </c>
      <c r="E6" s="96">
        <f>Seed_Chemical!E14</f>
        <v>32</v>
      </c>
      <c r="F6" s="96">
        <f>Seed_Chemical!F14</f>
        <v>4.5</v>
      </c>
      <c r="G6" s="106" t="e">
        <f>Seed_Chemical!#REF!</f>
        <v>#REF!</v>
      </c>
    </row>
    <row r="7" spans="1:7" ht="13.9" x14ac:dyDescent="0.4">
      <c r="A7" s="96" t="str">
        <f>Seed_Chemical!A15</f>
        <v>Sharpen</v>
      </c>
      <c r="B7" s="104" t="e">
        <f>Seed_Chemical!#REF!</f>
        <v>#REF!</v>
      </c>
      <c r="C7" s="104" t="str">
        <f>Seed_Chemical!C15</f>
        <v>oz</v>
      </c>
      <c r="D7" s="96">
        <f>Seed_Chemical!D15</f>
        <v>6.7</v>
      </c>
      <c r="E7" s="96">
        <f>Seed_Chemical!E15</f>
        <v>3</v>
      </c>
      <c r="F7" s="96">
        <f>Seed_Chemical!F15</f>
        <v>20.100000000000001</v>
      </c>
      <c r="G7" s="106" t="e">
        <f>Seed_Chemical!#REF!</f>
        <v>#REF!</v>
      </c>
    </row>
    <row r="8" spans="1:7" ht="13.9" x14ac:dyDescent="0.4">
      <c r="A8" s="96" t="str">
        <f>Seed_Chemical!A16</f>
        <v>Facet L</v>
      </c>
      <c r="B8" s="104" t="e">
        <f>Seed_Chemical!#REF!</f>
        <v>#REF!</v>
      </c>
      <c r="C8" s="104" t="str">
        <f>Seed_Chemical!C16</f>
        <v>oz</v>
      </c>
      <c r="D8" s="96">
        <f>Seed_Chemical!D16</f>
        <v>0.6640625</v>
      </c>
      <c r="E8" s="96">
        <f>Seed_Chemical!E16</f>
        <v>25</v>
      </c>
      <c r="F8" s="96">
        <f>Seed_Chemical!F16</f>
        <v>16.6015625</v>
      </c>
      <c r="G8" s="106" t="e">
        <f>Seed_Chemical!#REF!</f>
        <v>#REF!</v>
      </c>
    </row>
    <row r="9" spans="1:7" ht="13.9" x14ac:dyDescent="0.4">
      <c r="A9" s="96" t="str">
        <f>Seed_Chemical!A17</f>
        <v>Ricestar HT</v>
      </c>
      <c r="B9" s="104" t="e">
        <f>Seed_Chemical!#REF!</f>
        <v>#REF!</v>
      </c>
      <c r="C9" s="104" t="str">
        <f>Seed_Chemical!C17</f>
        <v>oz</v>
      </c>
      <c r="D9" s="96">
        <f>Seed_Chemical!D17</f>
        <v>1.47484375</v>
      </c>
      <c r="E9" s="96">
        <f>Seed_Chemical!E17</f>
        <v>24</v>
      </c>
      <c r="F9" s="96">
        <f>Seed_Chemical!F17</f>
        <v>35.396250000000002</v>
      </c>
      <c r="G9" s="106" t="e">
        <f>Seed_Chemical!#REF!</f>
        <v>#REF!</v>
      </c>
    </row>
    <row r="10" spans="1:7" ht="13.9" x14ac:dyDescent="0.4">
      <c r="A10" s="96" t="str">
        <f>Seed_Chemical!A18</f>
        <v>Gambit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14.5</v>
      </c>
      <c r="E10" s="96">
        <f>Seed_Chemical!E18</f>
        <v>1.5</v>
      </c>
      <c r="F10" s="96">
        <f>Seed_Chemical!F18</f>
        <v>21.75</v>
      </c>
      <c r="G10" s="106" t="e">
        <f>Seed_Chemical!#REF!</f>
        <v>#REF!</v>
      </c>
    </row>
    <row r="11" spans="1:7" ht="13.9" x14ac:dyDescent="0.4">
      <c r="A11" s="96" t="str">
        <f>Seed_Chemical!A19</f>
        <v>Basagran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0.67046874999999995</v>
      </c>
      <c r="E11" s="96">
        <f>Seed_Chemical!E19</f>
        <v>24</v>
      </c>
      <c r="F11" s="96">
        <f>Seed_Chemical!F19</f>
        <v>16.091249999999999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127.5680625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Tenchu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1.1299999999999999</v>
      </c>
      <c r="E22" s="96">
        <f>Seed_Chemical!E30</f>
        <v>8</v>
      </c>
      <c r="F22" s="96">
        <f>Seed_Chemical!F30</f>
        <v>9.0399999999999991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9.0399999999999991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>Aframe Plus</v>
      </c>
      <c r="B36" s="104" t="e">
        <f>Seed_Chemical!#REF!</f>
        <v>#REF!</v>
      </c>
      <c r="C36" s="104" t="str">
        <f>Seed_Chemical!C44</f>
        <v>oz</v>
      </c>
      <c r="D36" s="96">
        <f>Seed_Chemical!D44</f>
        <v>0.5390625</v>
      </c>
      <c r="E36" s="96">
        <f>Seed_Chemical!E44</f>
        <v>21</v>
      </c>
      <c r="F36" s="96">
        <f>Seed_Chemical!F44</f>
        <v>11.3203125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11.3203125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10. Details of Chemicals Applied, Rice, Conventional Seed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Command</v>
      </c>
      <c r="B5" s="104" t="e">
        <f>Seed_Chemical!#REF!</f>
        <v>#REF!</v>
      </c>
      <c r="C5" s="104" t="str">
        <f>Seed_Chemical!C13</f>
        <v>oz</v>
      </c>
      <c r="D5" s="96">
        <f>Seed_Chemical!D13</f>
        <v>0.67414062499999994</v>
      </c>
      <c r="E5" s="96">
        <f>Seed_Chemical!E13</f>
        <v>12.8</v>
      </c>
      <c r="F5" s="96">
        <f>Seed_Chemical!F13</f>
        <v>8.6289999999999996</v>
      </c>
      <c r="G5" s="106" t="e">
        <f>Seed_Chemical!#REF!</f>
        <v>#REF!</v>
      </c>
    </row>
    <row r="6" spans="1:7" ht="13.9" x14ac:dyDescent="0.4">
      <c r="A6" s="96" t="str">
        <f>Seed_Chemical!A14</f>
        <v>Roundup Powermax 3</v>
      </c>
      <c r="B6" s="104" t="e">
        <f>Seed_Chemical!#REF!</f>
        <v>#REF!</v>
      </c>
      <c r="C6" s="104" t="str">
        <f>Seed_Chemical!C14</f>
        <v>oz</v>
      </c>
      <c r="D6" s="96">
        <f>Seed_Chemical!D14</f>
        <v>0.140625</v>
      </c>
      <c r="E6" s="96">
        <f>Seed_Chemical!E14</f>
        <v>32</v>
      </c>
      <c r="F6" s="96">
        <f>Seed_Chemical!F14</f>
        <v>4.5</v>
      </c>
      <c r="G6" s="106" t="e">
        <f>Seed_Chemical!#REF!</f>
        <v>#REF!</v>
      </c>
    </row>
    <row r="7" spans="1:7" ht="13.9" x14ac:dyDescent="0.4">
      <c r="A7" s="96" t="str">
        <f>Seed_Chemical!A15</f>
        <v>Sharpen</v>
      </c>
      <c r="B7" s="104" t="e">
        <f>Seed_Chemical!#REF!</f>
        <v>#REF!</v>
      </c>
      <c r="C7" s="104" t="str">
        <f>Seed_Chemical!C15</f>
        <v>oz</v>
      </c>
      <c r="D7" s="96">
        <f>Seed_Chemical!D15</f>
        <v>6.7</v>
      </c>
      <c r="E7" s="96">
        <f>Seed_Chemical!E15</f>
        <v>3</v>
      </c>
      <c r="F7" s="96">
        <f>Seed_Chemical!F15</f>
        <v>20.100000000000001</v>
      </c>
      <c r="G7" s="106" t="e">
        <f>Seed_Chemical!#REF!</f>
        <v>#REF!</v>
      </c>
    </row>
    <row r="8" spans="1:7" ht="13.9" x14ac:dyDescent="0.4">
      <c r="A8" s="96" t="str">
        <f>Seed_Chemical!A16</f>
        <v>Facet L</v>
      </c>
      <c r="B8" s="104" t="e">
        <f>Seed_Chemical!#REF!</f>
        <v>#REF!</v>
      </c>
      <c r="C8" s="104" t="str">
        <f>Seed_Chemical!C16</f>
        <v>oz</v>
      </c>
      <c r="D8" s="96">
        <f>Seed_Chemical!D16</f>
        <v>0.6640625</v>
      </c>
      <c r="E8" s="96">
        <f>Seed_Chemical!E16</f>
        <v>25</v>
      </c>
      <c r="F8" s="96">
        <f>Seed_Chemical!F16</f>
        <v>16.6015625</v>
      </c>
      <c r="G8" s="106" t="e">
        <f>Seed_Chemical!#REF!</f>
        <v>#REF!</v>
      </c>
    </row>
    <row r="9" spans="1:7" ht="13.9" x14ac:dyDescent="0.4">
      <c r="A9" s="96" t="str">
        <f>Seed_Chemical!A17</f>
        <v>Ricestar HT</v>
      </c>
      <c r="B9" s="104" t="e">
        <f>Seed_Chemical!#REF!</f>
        <v>#REF!</v>
      </c>
      <c r="C9" s="104" t="str">
        <f>Seed_Chemical!C17</f>
        <v>oz</v>
      </c>
      <c r="D9" s="96">
        <f>Seed_Chemical!D17</f>
        <v>1.47484375</v>
      </c>
      <c r="E9" s="96">
        <f>Seed_Chemical!E17</f>
        <v>24</v>
      </c>
      <c r="F9" s="96">
        <f>Seed_Chemical!F17</f>
        <v>35.396250000000002</v>
      </c>
      <c r="G9" s="106" t="e">
        <f>Seed_Chemical!#REF!</f>
        <v>#REF!</v>
      </c>
    </row>
    <row r="10" spans="1:7" ht="13.9" x14ac:dyDescent="0.4">
      <c r="A10" s="96" t="str">
        <f>Seed_Chemical!A18</f>
        <v>Gambit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14.5</v>
      </c>
      <c r="E10" s="96">
        <f>Seed_Chemical!E18</f>
        <v>1.5</v>
      </c>
      <c r="F10" s="96">
        <f>Seed_Chemical!F18</f>
        <v>21.75</v>
      </c>
      <c r="G10" s="106" t="e">
        <f>Seed_Chemical!#REF!</f>
        <v>#REF!</v>
      </c>
    </row>
    <row r="11" spans="1:7" ht="13.9" x14ac:dyDescent="0.4">
      <c r="A11" s="96" t="str">
        <f>Seed_Chemical!A19</f>
        <v>Basagran</v>
      </c>
      <c r="B11" s="104" t="e">
        <f>Seed_Chemical!#REF!</f>
        <v>#REF!</v>
      </c>
      <c r="C11" s="104" t="str">
        <f>Seed_Chemical!C19</f>
        <v>oz</v>
      </c>
      <c r="D11" s="96">
        <f>Seed_Chemical!D19</f>
        <v>0.67046874999999995</v>
      </c>
      <c r="E11" s="96">
        <f>Seed_Chemical!E19</f>
        <v>24</v>
      </c>
      <c r="F11" s="96">
        <f>Seed_Chemical!F19</f>
        <v>16.091249999999999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127.5680625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Tenchu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1.1299999999999999</v>
      </c>
      <c r="E18" s="96">
        <f>Seed_Chemical!E30</f>
        <v>8</v>
      </c>
      <c r="F18" s="96">
        <f>Seed_Chemical!F30</f>
        <v>9.0399999999999991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9.0399999999999991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11.3203125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